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yip\Desktop\vtap\binder\truck-app\"/>
    </mc:Choice>
  </mc:AlternateContent>
  <xr:revisionPtr revIDLastSave="0" documentId="13_ncr:1_{4830863B-0DA6-4FEC-8CEA-811E6823F199}" xr6:coauthVersionLast="45" xr6:coauthVersionMax="45" xr10:uidLastSave="{00000000-0000-0000-0000-000000000000}"/>
  <bookViews>
    <workbookView xWindow="-19320" yWindow="-120" windowWidth="19440" windowHeight="10590" tabRatio="926" firstSheet="12" activeTab="20"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Veh Price" sheetId="27" r:id="rId15"/>
    <sheet name="Fuel2ShrbyTech" sheetId="25" r:id="rId16"/>
    <sheet name="MPG" sheetId="26" r:id="rId17"/>
    <sheet name="Market Data" sheetId="5" r:id="rId18"/>
    <sheet name="Adoption Decision" sheetId="7" r:id="rId19"/>
    <sheet name="FuelAvail" sheetId="23"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7">'Market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E54" i="4" l="1"/>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P46" i="1"/>
  <c r="P47" i="1" s="1"/>
  <c r="P48" i="1" s="1"/>
  <c r="P49" i="1" s="1"/>
  <c r="P50" i="1" s="1"/>
  <c r="P51" i="1" s="1"/>
  <c r="P52" i="1" s="1"/>
  <c r="P53" i="1" s="1"/>
  <c r="P54" i="1" s="1"/>
  <c r="P55" i="1" s="1"/>
  <c r="P56" i="1" s="1"/>
  <c r="P57" i="1" s="1"/>
  <c r="P58" i="1" s="1"/>
  <c r="P59" i="1" s="1"/>
  <c r="P60" i="1" s="1"/>
  <c r="P61" i="1" s="1"/>
  <c r="P62" i="1" s="1"/>
  <c r="P63" i="1" s="1"/>
  <c r="P64" i="1" s="1"/>
  <c r="P65" i="1" s="1"/>
  <c r="O46" i="1"/>
  <c r="O47" i="1" s="1"/>
  <c r="O48" i="1" s="1"/>
  <c r="O49" i="1" s="1"/>
  <c r="O50" i="1" s="1"/>
  <c r="O51" i="1" s="1"/>
  <c r="O52" i="1" s="1"/>
  <c r="O53" i="1" s="1"/>
  <c r="O54" i="1" s="1"/>
  <c r="O55" i="1" s="1"/>
  <c r="O56" i="1" s="1"/>
  <c r="O57" i="1" s="1"/>
  <c r="O58" i="1" s="1"/>
  <c r="O59" i="1" s="1"/>
  <c r="O60" i="1" s="1"/>
  <c r="O61" i="1" s="1"/>
  <c r="O62" i="1" s="1"/>
  <c r="O63" i="1" s="1"/>
  <c r="O64" i="1" s="1"/>
  <c r="O65" i="1" s="1"/>
  <c r="F56" i="1"/>
  <c r="O24" i="12" l="1"/>
  <c r="O23" i="12" s="1"/>
  <c r="O22" i="12" s="1"/>
  <c r="P24" i="12"/>
  <c r="P23" i="12" s="1"/>
  <c r="P22" i="1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AL35" i="9"/>
  <c r="AM35" i="9" s="1"/>
  <c r="AN35" i="9" s="1"/>
  <c r="U50" i="4" s="1"/>
  <c r="AL36" i="9"/>
  <c r="AM36" i="9" s="1"/>
  <c r="AN36" i="9" s="1"/>
  <c r="U51" i="4" s="1"/>
  <c r="AL37" i="9"/>
  <c r="AM37" i="9" s="1"/>
  <c r="AN37" i="9" s="1"/>
  <c r="AL38" i="9"/>
  <c r="AM38" i="9" s="1"/>
  <c r="AN38" i="9" s="1"/>
  <c r="U53" i="4" s="1"/>
  <c r="S53" i="4" s="1"/>
  <c r="AL39" i="9"/>
  <c r="AM39" i="9" s="1"/>
  <c r="AN39" i="9" s="1"/>
  <c r="S50" i="4" l="1"/>
  <c r="S42" i="4"/>
  <c r="S51" i="4"/>
  <c r="S43" i="4"/>
  <c r="S48" i="4"/>
  <c r="S40" i="4"/>
  <c r="S41" i="4"/>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U38" i="4"/>
  <c r="S45" i="4"/>
  <c r="S46" i="4"/>
  <c r="S54" i="4"/>
  <c r="S52" i="4"/>
  <c r="S47" i="4"/>
  <c r="S44" i="4"/>
  <c r="B11" i="9"/>
  <c r="B12" i="9"/>
  <c r="B13" i="9"/>
  <c r="B14" i="9"/>
  <c r="B15" i="9"/>
  <c r="B16" i="9"/>
  <c r="B17" i="9"/>
  <c r="B18" i="9"/>
  <c r="B19" i="9"/>
  <c r="B20" i="9"/>
  <c r="B21" i="9"/>
  <c r="B22" i="9"/>
  <c r="B23" i="9"/>
  <c r="B24" i="9"/>
  <c r="B25" i="9"/>
  <c r="B26" i="9"/>
  <c r="B27" i="9"/>
  <c r="B28" i="9"/>
  <c r="B29" i="9"/>
  <c r="B30" i="9"/>
  <c r="B31" i="9"/>
  <c r="B32" i="9"/>
  <c r="B33" i="9"/>
  <c r="B34" i="9"/>
  <c r="B10" i="9"/>
  <c r="S38" i="4" l="1"/>
  <c r="U37" i="4"/>
  <c r="G21" i="1"/>
  <c r="U36" i="4" l="1"/>
  <c r="S37"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S20" i="4"/>
  <c r="L20" i="4"/>
  <c r="U35" i="4" l="1"/>
  <c r="S36" i="4"/>
  <c r="P2" i="4"/>
  <c r="AF19" i="4" s="1"/>
  <c r="AP19" i="4" s="1"/>
  <c r="U34" i="4" l="1"/>
  <c r="S35"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U33" i="4" l="1"/>
  <c r="S34"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U32" i="4" l="1"/>
  <c r="S33"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U31" i="4" l="1"/>
  <c r="S32"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U30" i="4" l="1"/>
  <c r="S31" i="4"/>
  <c r="J8" i="5"/>
  <c r="J45" i="5"/>
  <c r="J47" i="5"/>
  <c r="J48" i="5"/>
  <c r="J7" i="5"/>
  <c r="Y16" i="11"/>
  <c r="Y17" i="11" s="1"/>
  <c r="U29" i="4" l="1"/>
  <c r="S30"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U28" i="4" l="1"/>
  <c r="S29" i="4"/>
  <c r="AO54" i="4"/>
  <c r="AO53" i="4"/>
  <c r="AO52" i="4"/>
  <c r="AO51" i="4"/>
  <c r="AO50" i="4"/>
  <c r="AO49" i="4"/>
  <c r="AO48" i="4"/>
  <c r="AO47" i="4"/>
  <c r="AO46" i="4"/>
  <c r="AO45" i="4"/>
  <c r="AO44" i="4"/>
  <c r="AO43" i="4"/>
  <c r="AO42" i="4"/>
  <c r="AO41" i="4"/>
  <c r="AO40" i="4"/>
  <c r="AO39" i="4"/>
  <c r="AO38" i="4"/>
  <c r="AO37" i="4"/>
  <c r="AO36" i="4"/>
  <c r="AO35" i="4"/>
  <c r="AO34" i="4"/>
  <c r="AO33" i="4"/>
  <c r="AO32" i="4"/>
  <c r="AO31" i="4"/>
  <c r="AO30" i="4"/>
  <c r="AO29" i="4"/>
  <c r="AO23" i="4"/>
  <c r="AO22" i="4"/>
  <c r="AO21" i="4"/>
  <c r="AO20" i="4"/>
  <c r="AO19" i="4"/>
  <c r="AO18" i="4"/>
  <c r="AO17" i="4"/>
  <c r="AO16" i="4"/>
  <c r="AO15" i="4"/>
  <c r="AO14" i="4"/>
  <c r="AO13" i="4"/>
  <c r="AO12" i="4"/>
  <c r="AO11" i="4"/>
  <c r="U27" i="4" l="1"/>
  <c r="AO28" i="4"/>
  <c r="S28"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U26" i="4" l="1"/>
  <c r="AO27" i="4"/>
  <c r="S27" i="4"/>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5" i="4" l="1"/>
  <c r="AO26" i="4"/>
  <c r="S26" i="4"/>
  <c r="Q34" i="23"/>
  <c r="Q33" i="23"/>
  <c r="Q32" i="23"/>
  <c r="Q31" i="23"/>
  <c r="Q30" i="23"/>
  <c r="Q29" i="23"/>
  <c r="Q28" i="23"/>
  <c r="AD28" i="23" s="1"/>
  <c r="Q27" i="23"/>
  <c r="AD27" i="23" s="1"/>
  <c r="U24" i="4" l="1"/>
  <c r="AO25" i="4"/>
  <c r="S25" i="4"/>
  <c r="W69" i="11"/>
  <c r="S24" i="4" l="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D36" i="27" l="1"/>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Z6" i="4" l="1"/>
  <c r="Z12" i="4" s="1"/>
  <c r="AJ12" i="4" s="1"/>
  <c r="Y6" i="4"/>
  <c r="X6" i="4"/>
  <c r="AB6" i="4"/>
  <c r="AD6" i="4"/>
  <c r="AD14" i="4" s="1"/>
  <c r="AN14" i="4" s="1"/>
  <c r="X18" i="4" l="1"/>
  <c r="AH18" i="4" s="1"/>
  <c r="X15" i="4"/>
  <c r="X11" i="4"/>
  <c r="X14" i="4"/>
  <c r="X13" i="4"/>
  <c r="X16" i="4"/>
  <c r="X12" i="4"/>
  <c r="AB19" i="4"/>
  <c r="AL19" i="4" s="1"/>
  <c r="AB11" i="4"/>
  <c r="AB16" i="4"/>
  <c r="AB15" i="4"/>
  <c r="AB14" i="4"/>
  <c r="AB13" i="4"/>
  <c r="AB12" i="4"/>
  <c r="Y25" i="4"/>
  <c r="AI25" i="4" s="1"/>
  <c r="Y14" i="4"/>
  <c r="Y15" i="4"/>
  <c r="Y11"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D23" i="12" s="1"/>
  <c r="AD22" i="12" s="1"/>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V30" i="22" l="1"/>
  <c r="V29" i="22" s="1"/>
  <c r="V28" i="22" s="1"/>
  <c r="V27" i="22" s="1"/>
  <c r="V26" i="22" s="1"/>
  <c r="V25" i="22" s="1"/>
  <c r="V24" i="22" s="1"/>
  <c r="V23" i="22" s="1"/>
  <c r="V22" i="22" s="1"/>
  <c r="E32" i="22"/>
  <c r="E31" i="22" s="1"/>
  <c r="G32" i="12"/>
  <c r="L20" i="27"/>
  <c r="D32" i="22"/>
  <c r="O20" i="27"/>
  <c r="H32" i="12"/>
  <c r="M20" i="27"/>
  <c r="H11" i="27"/>
  <c r="G32" i="22"/>
  <c r="R20" i="27"/>
  <c r="F32" i="12"/>
  <c r="K20" i="27"/>
  <c r="B11" i="27"/>
  <c r="F32" i="22"/>
  <c r="Q20" i="27"/>
  <c r="N11" i="27"/>
  <c r="H32" i="22"/>
  <c r="S20" i="27"/>
  <c r="D32" i="12"/>
  <c r="I20" i="27"/>
  <c r="E32" i="12"/>
  <c r="J20" i="27"/>
  <c r="J15" i="11"/>
  <c r="J14" i="11"/>
  <c r="J13" i="11"/>
  <c r="J12" i="11"/>
  <c r="P19" i="27" l="1"/>
  <c r="D11" i="27"/>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G30" i="12" l="1"/>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E29" i="12" l="1"/>
  <c r="J17" i="27"/>
  <c r="H29" i="12"/>
  <c r="M17" i="27"/>
  <c r="G29" i="22"/>
  <c r="R17" i="27"/>
  <c r="H29" i="22"/>
  <c r="S17" i="27"/>
  <c r="D29" i="12"/>
  <c r="I17" i="27"/>
  <c r="E28" i="22"/>
  <c r="P16" i="27"/>
  <c r="D29" i="22"/>
  <c r="O17" i="27"/>
  <c r="F29" i="22"/>
  <c r="Q17" i="27"/>
  <c r="F29" i="12"/>
  <c r="K17" i="27"/>
  <c r="G29" i="12"/>
  <c r="L17" i="27"/>
  <c r="K56" i="24"/>
  <c r="K55" i="24"/>
  <c r="D28" i="22" l="1"/>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F27" i="12" l="1"/>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G26" i="22" l="1"/>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AE62" i="23" l="1"/>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D24" i="22" l="1"/>
  <c r="O12" i="27"/>
  <c r="F24" i="22"/>
  <c r="Q12" i="27"/>
  <c r="E23" i="22"/>
  <c r="P11" i="27"/>
  <c r="E24" i="12"/>
  <c r="J12" i="27"/>
  <c r="G24" i="22"/>
  <c r="R12" i="27"/>
  <c r="H24" i="12"/>
  <c r="M12" i="27"/>
  <c r="D24" i="12"/>
  <c r="I12" i="27"/>
  <c r="H24" i="22"/>
  <c r="S12" i="27"/>
  <c r="F24" i="12"/>
  <c r="K12" i="27"/>
  <c r="G24" i="12"/>
  <c r="L12" i="27"/>
  <c r="N60" i="23"/>
  <c r="K17" i="23"/>
  <c r="M62" i="23"/>
  <c r="N61" i="23"/>
  <c r="N14" i="23"/>
  <c r="H23" i="22" l="1"/>
  <c r="S11" i="27"/>
  <c r="E23" i="12"/>
  <c r="J11" i="27"/>
  <c r="D23" i="12"/>
  <c r="I11" i="27"/>
  <c r="E22" i="22"/>
  <c r="P9" i="27" s="1"/>
  <c r="P10" i="27"/>
  <c r="G23" i="12"/>
  <c r="L11" i="27"/>
  <c r="H23" i="12"/>
  <c r="M11" i="27"/>
  <c r="F23" i="22"/>
  <c r="Q11" i="27"/>
  <c r="F23" i="12"/>
  <c r="K11" i="27"/>
  <c r="G23" i="22"/>
  <c r="R11" i="27"/>
  <c r="D23" i="22"/>
  <c r="O11" i="27"/>
  <c r="K18" i="23"/>
  <c r="M63" i="23"/>
  <c r="N62" i="23"/>
  <c r="N15" i="23"/>
  <c r="F22" i="22" l="1"/>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L55" i="1" l="1"/>
  <c r="F56" i="11"/>
  <c r="J15" i="23"/>
  <c r="AL33" i="21" s="1"/>
  <c r="M86" i="23"/>
  <c r="N85" i="23"/>
  <c r="N38" i="23"/>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J16" i="23"/>
  <c r="M87" i="23"/>
  <c r="N86" i="23"/>
  <c r="N39" i="23"/>
  <c r="K37" i="23" s="1"/>
  <c r="B26" i="11"/>
  <c r="AL23" i="11"/>
  <c r="F58" i="11" l="1"/>
  <c r="L56" i="1"/>
  <c r="M88" i="23"/>
  <c r="N87" i="23"/>
  <c r="N40" i="23"/>
  <c r="B27" i="11"/>
  <c r="F59" i="11" l="1"/>
  <c r="L57" i="1"/>
  <c r="J17" i="23"/>
  <c r="M89" i="23"/>
  <c r="N88" i="23"/>
  <c r="N41" i="23"/>
  <c r="K44" i="23" s="1"/>
  <c r="B28" i="11"/>
  <c r="AV21" i="11"/>
  <c r="F60" i="11" l="1"/>
  <c r="L58" i="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L61" i="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L62" i="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B35" i="11"/>
  <c r="AG12" i="4"/>
  <c r="AG13" i="4"/>
  <c r="AG14" i="4"/>
  <c r="AG15" i="4"/>
  <c r="B34" i="13" l="1"/>
  <c r="F67" i="11"/>
  <c r="L65" i="1"/>
  <c r="J22" i="23"/>
  <c r="M97" i="23"/>
  <c r="N96" i="23"/>
  <c r="N49" i="23"/>
  <c r="K40" i="23" s="1"/>
  <c r="B36" i="11"/>
  <c r="AC55" i="4"/>
  <c r="AA55" i="4"/>
  <c r="AA56" i="4" s="1"/>
  <c r="AA57" i="4" s="1"/>
  <c r="AA58" i="4" s="1"/>
  <c r="AK58" i="4" s="1"/>
  <c r="AI55" i="4"/>
  <c r="AG11" i="4"/>
  <c r="AG10" i="4"/>
  <c r="R17" i="13" s="1"/>
  <c r="AN34" i="13" l="1"/>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H32" i="11"/>
  <c r="AF32" i="11"/>
  <c r="AG32" i="11"/>
  <c r="AD57" i="13"/>
  <c r="AH57" i="13"/>
  <c r="AE57" i="13"/>
  <c r="AF57" i="13"/>
  <c r="AH57" i="11"/>
  <c r="X57" i="11"/>
  <c r="V46" i="11"/>
  <c r="X46" i="11"/>
  <c r="AH46" i="11"/>
  <c r="AF46" i="11"/>
  <c r="AE49" i="13"/>
  <c r="AH49" i="13"/>
  <c r="AD49" i="13"/>
  <c r="AF49" i="13"/>
  <c r="AE34" i="13"/>
  <c r="AF34" i="13"/>
  <c r="AH34" i="13"/>
  <c r="AD34" i="13"/>
  <c r="AH27" i="13"/>
  <c r="AD27" i="13"/>
  <c r="AG27" i="13"/>
  <c r="AE27" i="13"/>
  <c r="AF27" i="13"/>
  <c r="AH42"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H38" i="13"/>
  <c r="AF36" i="13"/>
  <c r="AH36" i="13"/>
  <c r="AE36" i="13"/>
  <c r="AD36" i="13"/>
  <c r="AD53" i="13"/>
  <c r="AH53" i="13"/>
  <c r="AF53" i="13"/>
  <c r="AE53" i="13"/>
  <c r="X30" i="11"/>
  <c r="AG30" i="11"/>
  <c r="AF30" i="11"/>
  <c r="V30" i="11"/>
  <c r="W30" i="11"/>
  <c r="AH30" i="11"/>
  <c r="X45" i="11"/>
  <c r="AH45" i="11"/>
  <c r="V45" i="11"/>
  <c r="AF45" i="11"/>
  <c r="AF37" i="13"/>
  <c r="AH37" i="13"/>
  <c r="V33" i="11"/>
  <c r="W33" i="11"/>
  <c r="X33" i="11"/>
  <c r="AH33" i="11"/>
  <c r="AF33" i="11"/>
  <c r="AG33" i="11"/>
  <c r="AH41" i="11"/>
  <c r="V41" i="11"/>
  <c r="X41" i="11"/>
  <c r="AH47" i="13"/>
  <c r="AF47" i="13"/>
  <c r="AE47" i="13"/>
  <c r="AF44" i="13"/>
  <c r="AH44" i="13"/>
  <c r="AD28" i="13"/>
  <c r="AG28" i="13"/>
  <c r="AH28" i="13"/>
  <c r="AE28" i="13"/>
  <c r="AF28" i="13"/>
  <c r="X31" i="11"/>
  <c r="V31" i="11"/>
  <c r="AG31" i="11"/>
  <c r="W31" i="11"/>
  <c r="AF31" i="11"/>
  <c r="AH31" i="11"/>
  <c r="AF40" i="13"/>
  <c r="AH40" i="13"/>
  <c r="AF41" i="13"/>
  <c r="AH41" i="13"/>
  <c r="AG37" i="13"/>
  <c r="AH26" i="11"/>
  <c r="W26" i="11"/>
  <c r="AF26" i="11"/>
  <c r="X26" i="11"/>
  <c r="V26" i="11"/>
  <c r="AG26" i="11"/>
  <c r="AH38" i="11"/>
  <c r="AG38" i="11"/>
  <c r="V38" i="11"/>
  <c r="AF38" i="11"/>
  <c r="W38" i="11"/>
  <c r="X38" i="11"/>
  <c r="X54" i="11"/>
  <c r="AH54" i="11"/>
  <c r="AF54" i="13"/>
  <c r="AE54" i="13"/>
  <c r="AH54" i="13"/>
  <c r="AD54" i="13"/>
  <c r="AH33" i="13"/>
  <c r="AD33" i="13"/>
  <c r="AG33" i="13"/>
  <c r="AF33" i="13"/>
  <c r="AE33" i="13"/>
  <c r="AF35" i="13"/>
  <c r="AD35" i="13"/>
  <c r="AH35" i="13"/>
  <c r="AE35" i="13"/>
  <c r="AF32" i="13"/>
  <c r="AG32" i="13"/>
  <c r="AD32" i="13"/>
  <c r="AE32" i="13"/>
  <c r="AH32" i="13"/>
  <c r="V39" i="11"/>
  <c r="AH39" i="11"/>
  <c r="W39" i="11"/>
  <c r="AF39" i="11"/>
  <c r="X39" i="11"/>
  <c r="AG39" i="11"/>
  <c r="AH43" i="13"/>
  <c r="AF43" i="13"/>
  <c r="AF52" i="13"/>
  <c r="AE52" i="13"/>
  <c r="AH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52" i="21"/>
  <c r="AC56" i="21"/>
  <c r="AC55" i="21"/>
  <c r="AC48" i="21"/>
  <c r="AC51" i="21"/>
  <c r="AC45" i="21"/>
  <c r="AC40" i="21"/>
  <c r="AC42" i="21"/>
  <c r="AC43" i="21"/>
  <c r="AC54" i="21"/>
  <c r="AC41" i="21"/>
  <c r="AC39" i="21"/>
  <c r="AC38" i="21"/>
  <c r="AC53" i="21"/>
  <c r="AC49" i="21"/>
  <c r="AC47" i="21"/>
  <c r="AC57" i="21"/>
  <c r="AC44" i="21"/>
  <c r="AC46" i="21"/>
  <c r="AC50" i="21"/>
  <c r="AA31" i="21"/>
  <c r="AA37" i="21"/>
  <c r="AA36" i="11"/>
  <c r="AA26" i="11"/>
  <c r="AA49" i="21"/>
  <c r="Y29" i="21"/>
  <c r="Y36" i="21"/>
  <c r="Y52" i="21"/>
  <c r="Y46" i="21"/>
  <c r="Y37" i="21"/>
  <c r="AC31" i="11"/>
  <c r="Z43" i="21"/>
  <c r="Y26" i="21"/>
  <c r="AA35" i="21"/>
  <c r="AB38" i="11"/>
  <c r="AA56" i="21"/>
  <c r="Y49" i="21"/>
  <c r="AA42" i="11"/>
  <c r="AC57" i="11"/>
  <c r="AC53" i="11"/>
  <c r="Y40" i="21"/>
  <c r="AA45" i="11"/>
  <c r="AA48" i="11"/>
  <c r="AC40" i="11"/>
  <c r="Z44" i="21"/>
  <c r="AC41" i="11"/>
  <c r="AC32" i="11"/>
  <c r="AB32" i="11"/>
  <c r="AB43" i="21"/>
  <c r="AA48" i="21"/>
  <c r="AC54" i="11"/>
  <c r="Y43" i="21"/>
  <c r="Z48" i="21"/>
  <c r="AB25" i="11"/>
  <c r="AA47" i="21"/>
  <c r="AB41" i="21"/>
  <c r="AC56" i="11"/>
  <c r="AC24" i="11"/>
  <c r="AC52" i="11"/>
  <c r="AB45" i="21"/>
  <c r="AC47" i="11"/>
  <c r="Y35" i="21"/>
  <c r="Y30" i="21"/>
  <c r="AA38" i="11"/>
  <c r="Z40" i="21"/>
  <c r="AB47" i="21"/>
  <c r="AA29" i="21"/>
  <c r="Z42" i="21"/>
  <c r="AA46" i="11"/>
  <c r="AC26" i="11"/>
  <c r="AC36" i="11"/>
  <c r="AC49" i="11"/>
  <c r="AA40" i="11"/>
  <c r="Y42" i="21"/>
  <c r="Y27" i="21"/>
  <c r="Y45" i="21"/>
  <c r="Z37" i="21"/>
  <c r="AA39" i="11"/>
  <c r="AB31" i="11"/>
  <c r="Y51" i="21"/>
  <c r="AC46" i="11"/>
  <c r="AB37" i="11"/>
  <c r="AA35" i="11"/>
  <c r="Z57" i="21"/>
  <c r="Z50" i="21"/>
  <c r="AB30" i="11"/>
  <c r="AB44" i="21"/>
  <c r="AA41" i="11"/>
  <c r="AA28" i="21"/>
  <c r="Z27" i="21"/>
  <c r="AB35" i="11"/>
  <c r="Z33" i="21"/>
  <c r="AA24" i="21"/>
  <c r="AB26" i="21"/>
  <c r="AA38" i="21"/>
  <c r="Y32" i="21"/>
  <c r="AA32" i="21"/>
  <c r="Y39" i="21"/>
  <c r="AB35" i="21"/>
  <c r="Z35" i="21"/>
  <c r="AB34" i="21"/>
  <c r="AA44" i="21"/>
  <c r="Z29" i="21"/>
  <c r="AA42" i="21"/>
  <c r="AA29" i="11"/>
  <c r="AB39" i="11"/>
  <c r="AC44" i="11"/>
  <c r="AB49" i="21"/>
  <c r="AB29" i="21"/>
  <c r="AB46" i="21"/>
  <c r="Y55" i="21"/>
  <c r="AB24" i="11"/>
  <c r="AB25" i="21"/>
  <c r="Z38" i="21"/>
  <c r="AC28" i="11"/>
  <c r="AB40" i="21"/>
  <c r="Z34" i="21"/>
  <c r="Y34" i="21"/>
  <c r="AA57" i="21"/>
  <c r="AC27" i="11"/>
  <c r="AC55" i="11"/>
  <c r="AB24" i="21"/>
  <c r="AA50" i="21"/>
  <c r="AB31" i="21"/>
  <c r="AA40" i="21"/>
  <c r="AC37" i="11"/>
  <c r="Y38" i="21"/>
  <c r="AA54" i="21"/>
  <c r="AA32" i="11"/>
  <c r="Z51" i="21"/>
  <c r="AB33" i="11"/>
  <c r="Z52" i="21"/>
  <c r="AB26" i="11"/>
  <c r="Z36" i="21"/>
  <c r="Y53" i="21"/>
  <c r="AC29" i="11"/>
  <c r="AB38" i="21"/>
  <c r="AA49" i="11"/>
  <c r="AB28" i="11"/>
  <c r="AA28" i="11"/>
  <c r="AA41" i="21"/>
  <c r="Z25" i="21"/>
  <c r="AC42" i="11"/>
  <c r="AA45" i="21"/>
  <c r="AA43" i="21"/>
  <c r="AA47" i="11"/>
  <c r="Y50" i="21"/>
  <c r="AA30" i="11"/>
  <c r="AA34" i="11"/>
  <c r="AA33" i="11"/>
  <c r="AB51" i="21"/>
  <c r="Z56" i="21"/>
  <c r="AC30" i="11"/>
  <c r="AC48" i="11"/>
  <c r="AA43" i="11"/>
  <c r="AA46" i="21"/>
  <c r="Z28" i="21"/>
  <c r="Z30" i="21"/>
  <c r="AA52" i="21"/>
  <c r="AA39" i="21"/>
  <c r="AC25" i="11"/>
  <c r="AA33" i="21"/>
  <c r="Y54" i="21"/>
  <c r="AC38" i="11"/>
  <c r="AC33" i="11"/>
  <c r="Z54" i="21"/>
  <c r="AC51" i="11"/>
  <c r="AA24" i="11"/>
  <c r="AB28" i="21"/>
  <c r="AB27" i="21"/>
  <c r="AB37" i="21"/>
  <c r="Z24" i="21"/>
  <c r="Z31" i="21"/>
  <c r="AC34" i="11"/>
  <c r="Z45" i="21"/>
  <c r="Z46" i="21"/>
  <c r="AB32" i="21"/>
  <c r="AB29" i="11"/>
  <c r="AB48" i="21"/>
  <c r="AB33" i="21"/>
  <c r="Z49" i="21"/>
  <c r="AA55" i="21"/>
  <c r="AA44" i="11"/>
  <c r="AA50" i="11"/>
  <c r="AB30" i="21"/>
  <c r="AA25" i="11"/>
  <c r="Y41" i="21"/>
  <c r="AB50" i="21"/>
  <c r="Z26" i="21"/>
  <c r="Y56" i="21"/>
  <c r="Y31" i="21"/>
  <c r="AC43" i="11"/>
  <c r="Y57" i="21"/>
  <c r="AA26" i="21"/>
  <c r="AA30" i="21"/>
  <c r="AA25" i="21"/>
  <c r="AB36" i="11"/>
  <c r="AC35" i="11"/>
  <c r="Z47" i="21"/>
  <c r="AB39" i="21"/>
  <c r="Z41" i="21"/>
  <c r="Y48" i="21"/>
  <c r="AB42" i="21"/>
  <c r="AC50" i="11"/>
  <c r="AA51" i="21"/>
  <c r="Z39" i="21"/>
  <c r="Z55" i="21"/>
  <c r="AA34" i="21"/>
  <c r="AC39" i="11"/>
  <c r="Z53" i="21"/>
  <c r="Y28" i="21"/>
  <c r="Y24" i="21"/>
  <c r="AA37" i="11"/>
  <c r="AA27" i="21"/>
  <c r="AC45" i="11"/>
  <c r="Y25" i="21"/>
  <c r="AB34" i="11"/>
  <c r="AA53" i="21"/>
  <c r="Y47" i="21"/>
  <c r="Y33" i="21"/>
  <c r="Y44" i="21"/>
  <c r="AA27" i="11"/>
  <c r="AB27" i="11"/>
  <c r="AA31" i="11"/>
  <c r="AA36" i="21"/>
  <c r="AB36" i="2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H58" i="13"/>
  <c r="AE58" i="13"/>
  <c r="AD58" i="13"/>
  <c r="AG40" i="13"/>
  <c r="B39" i="11"/>
  <c r="AI57" i="4"/>
  <c r="AI58" i="4"/>
  <c r="AC58" i="4"/>
  <c r="AC59" i="21"/>
  <c r="AC58" i="21"/>
  <c r="Z59" i="21"/>
  <c r="Y58" i="21"/>
  <c r="AB52" i="21"/>
  <c r="AA58" i="21"/>
  <c r="AC59" i="11"/>
  <c r="AA51" i="11"/>
  <c r="Z58" i="21"/>
  <c r="AA59" i="21"/>
  <c r="Y59" i="21"/>
  <c r="AC58" i="1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H60" i="13"/>
  <c r="AG41" i="13"/>
  <c r="B40" i="11"/>
  <c r="AC60" i="21"/>
  <c r="AB40" i="11"/>
  <c r="Z60" i="21"/>
  <c r="AA60" i="21"/>
  <c r="AC60" i="11"/>
  <c r="AA52" i="11"/>
  <c r="AB53" i="21"/>
  <c r="Y60" i="21"/>
  <c r="AB41" i="1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H61" i="13"/>
  <c r="AF61" i="13"/>
  <c r="AH61" i="11"/>
  <c r="X61" i="11"/>
  <c r="B41" i="11"/>
  <c r="AC61" i="21"/>
  <c r="AC61" i="11"/>
  <c r="Z61" i="21"/>
  <c r="AA53" i="11"/>
  <c r="AB54" i="21"/>
  <c r="AB42" i="11"/>
  <c r="Y61" i="21"/>
  <c r="AA61" i="2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AH62" i="13"/>
  <c r="X62" i="11"/>
  <c r="AH62" i="11"/>
  <c r="B42" i="11"/>
  <c r="AC62" i="21"/>
  <c r="AA54" i="11"/>
  <c r="Z62" i="21"/>
  <c r="AA62" i="21"/>
  <c r="AB43" i="11"/>
  <c r="AC62" i="11"/>
  <c r="Y62" i="21"/>
  <c r="AB55" i="2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H63" i="13"/>
  <c r="AF63" i="13"/>
  <c r="B43" i="11"/>
  <c r="AC63" i="21"/>
  <c r="AB44" i="11"/>
  <c r="AC63" i="11"/>
  <c r="AA63" i="21"/>
  <c r="Y63" i="21"/>
  <c r="Z63" i="21"/>
  <c r="AB56" i="21"/>
  <c r="AA55" i="1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AH64" i="13"/>
  <c r="B44" i="11"/>
  <c r="AC64" i="21"/>
  <c r="AB57" i="21"/>
  <c r="Y64" i="21"/>
  <c r="AB45" i="11"/>
  <c r="AC64" i="11"/>
  <c r="Z64" i="21"/>
  <c r="AA56" i="11"/>
  <c r="AA64" i="2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H65" i="13"/>
  <c r="AF65" i="13"/>
  <c r="AD65" i="13"/>
  <c r="B45" i="11"/>
  <c r="AC65" i="21"/>
  <c r="AB58" i="21"/>
  <c r="AB46" i="11"/>
  <c r="AA65" i="21"/>
  <c r="Y65" i="21"/>
  <c r="AA57" i="11"/>
  <c r="Z65" i="21"/>
  <c r="AC65" i="1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H66" i="13"/>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Z20" i="9"/>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6" i="21"/>
  <c r="AC67" i="21"/>
  <c r="AB59" i="21"/>
  <c r="AB47" i="11"/>
  <c r="Y67" i="21"/>
  <c r="AA66" i="21"/>
  <c r="AC67" i="11"/>
  <c r="Z67" i="21"/>
  <c r="Y66" i="21"/>
  <c r="Z66" i="21"/>
  <c r="AC66" i="11"/>
  <c r="AA67" i="21"/>
  <c r="AA58" i="1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W44" i="11" s="1"/>
  <c r="AJ40" i="21"/>
  <c r="AE40" i="21" s="1"/>
  <c r="AT40" i="21" s="1"/>
  <c r="AY40" i="21" s="1"/>
  <c r="AK40" i="13"/>
  <c r="AJ40" i="13"/>
  <c r="AE40" i="13" s="1"/>
  <c r="AM44" i="13"/>
  <c r="AL40" i="11"/>
  <c r="AV40" i="11" s="1"/>
  <c r="AM42" i="11"/>
  <c r="AW42" i="11" s="1"/>
  <c r="AJ38" i="21"/>
  <c r="AE38" i="21" s="1"/>
  <c r="AT38" i="21" s="1"/>
  <c r="AY38" i="21" s="1"/>
  <c r="AI38" i="21"/>
  <c r="AI38" i="13"/>
  <c r="AD38" i="13" s="1"/>
  <c r="AK38" i="13"/>
  <c r="AJ38" i="13"/>
  <c r="AE38" i="13" s="1"/>
  <c r="AM42" i="13"/>
  <c r="AL38" i="11"/>
  <c r="AM40" i="11"/>
  <c r="AW40" i="11" s="1"/>
  <c r="AL42" i="13"/>
  <c r="AJ36" i="21"/>
  <c r="AK36" i="21"/>
  <c r="AI36" i="21"/>
  <c r="AL36" i="21"/>
  <c r="AJ36" i="13"/>
  <c r="AI36" i="13"/>
  <c r="AM40" i="13"/>
  <c r="AK36" i="13"/>
  <c r="AM38" i="11"/>
  <c r="AW38" i="11" s="1"/>
  <c r="AK36" i="11"/>
  <c r="AL36" i="11"/>
  <c r="AL40" i="13"/>
  <c r="AK35" i="21"/>
  <c r="AJ35" i="21"/>
  <c r="AI35" i="21"/>
  <c r="AL35" i="21"/>
  <c r="AJ35" i="13"/>
  <c r="AK35" i="13"/>
  <c r="AI35" i="13"/>
  <c r="AM39" i="13"/>
  <c r="AL39" i="13"/>
  <c r="AM37" i="11"/>
  <c r="AW37" i="11" s="1"/>
  <c r="AK35" i="11"/>
  <c r="AL35" i="11"/>
  <c r="AK34" i="21"/>
  <c r="AJ34" i="21"/>
  <c r="AI34" i="21"/>
  <c r="AL34" i="21"/>
  <c r="AK34" i="13"/>
  <c r="AJ34" i="13"/>
  <c r="AM38" i="13"/>
  <c r="AI34" i="13"/>
  <c r="AL38" i="13"/>
  <c r="AL34" i="11"/>
  <c r="AK34" i="11"/>
  <c r="AM36" i="11"/>
  <c r="AM47" i="13"/>
  <c r="AM45" i="11"/>
  <c r="AW45" i="11" s="1"/>
  <c r="AJ41" i="21"/>
  <c r="AE41" i="21" s="1"/>
  <c r="AT41" i="21" s="1"/>
  <c r="AY41" i="21" s="1"/>
  <c r="AJ41" i="13"/>
  <c r="AE41" i="13" s="1"/>
  <c r="AM45" i="13"/>
  <c r="AK41" i="13"/>
  <c r="AL41" i="11"/>
  <c r="AV41" i="11" s="1"/>
  <c r="AM43" i="11"/>
  <c r="AW43" i="11" s="1"/>
  <c r="AJ39" i="21"/>
  <c r="AE39" i="21" s="1"/>
  <c r="AT39" i="21" s="1"/>
  <c r="AY39" i="21" s="1"/>
  <c r="AJ39" i="13"/>
  <c r="AE39" i="13" s="1"/>
  <c r="AK39" i="13"/>
  <c r="AM43" i="13"/>
  <c r="AL39" i="11"/>
  <c r="AM41" i="11"/>
  <c r="AW41" i="11" s="1"/>
  <c r="AK37" i="21"/>
  <c r="AU37" i="21" s="1"/>
  <c r="AZ37" i="21" s="1"/>
  <c r="AJ37" i="21"/>
  <c r="AE37" i="21" s="1"/>
  <c r="AT37" i="21" s="1"/>
  <c r="AY37" i="21" s="1"/>
  <c r="AI37" i="21"/>
  <c r="AI37" i="13"/>
  <c r="AD37" i="13" s="1"/>
  <c r="AM41" i="13"/>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U51" i="11" s="1"/>
  <c r="AL45" i="21"/>
  <c r="AV45" i="21" s="1"/>
  <c r="BA45" i="21" s="1"/>
  <c r="AK45" i="21"/>
  <c r="AU45" i="21" s="1"/>
  <c r="AZ45" i="21" s="1"/>
  <c r="AI46" i="21"/>
  <c r="AJ50" i="21"/>
  <c r="AL50" i="11"/>
  <c r="AK50" i="13"/>
  <c r="AL50" i="13"/>
  <c r="AM55" i="13"/>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I57" i="13"/>
  <c r="AJ61" i="13"/>
  <c r="AK56" i="11"/>
  <c r="AU56" i="11" s="1"/>
  <c r="AJ57" i="21"/>
  <c r="AI53" i="21"/>
  <c r="AL52" i="21"/>
  <c r="AV52" i="21" s="1"/>
  <c r="BA52" i="21" s="1"/>
  <c r="AK52" i="21"/>
  <c r="AU52" i="21" s="1"/>
  <c r="AZ52" i="21" s="1"/>
  <c r="AI53" i="13"/>
  <c r="AK57" i="13"/>
  <c r="AJ57" i="13"/>
  <c r="AM62" i="13"/>
  <c r="AK52" i="11"/>
  <c r="AU52" i="11" s="1"/>
  <c r="AI49" i="21"/>
  <c r="AK48" i="21"/>
  <c r="AU48" i="21" s="1"/>
  <c r="AZ48" i="21" s="1"/>
  <c r="AJ53" i="21"/>
  <c r="AL48" i="21"/>
  <c r="AV48" i="21" s="1"/>
  <c r="BA48" i="21" s="1"/>
  <c r="AL53" i="11"/>
  <c r="AJ53" i="13"/>
  <c r="AM58" i="13"/>
  <c r="AK53" i="13"/>
  <c r="AI49" i="13"/>
  <c r="AL53" i="13"/>
  <c r="AK48" i="11"/>
  <c r="AU48" i="11" s="1"/>
  <c r="AI47" i="21"/>
  <c r="AL46" i="21"/>
  <c r="AV46" i="21" s="1"/>
  <c r="BA46" i="21" s="1"/>
  <c r="AK46" i="21"/>
  <c r="AU46" i="21" s="1"/>
  <c r="AZ46" i="21" s="1"/>
  <c r="AJ51" i="21"/>
  <c r="AL51" i="11"/>
  <c r="AI47" i="13"/>
  <c r="AL51" i="13"/>
  <c r="AM56" i="13"/>
  <c r="AJ51" i="13"/>
  <c r="AK51" i="13"/>
  <c r="AK46" i="11"/>
  <c r="AU46" i="11" s="1"/>
  <c r="AJ47" i="21"/>
  <c r="AI43" i="21"/>
  <c r="AK42" i="21"/>
  <c r="AL42" i="21"/>
  <c r="AV42" i="21" s="1"/>
  <c r="BA42" i="21" s="1"/>
  <c r="AL47" i="11"/>
  <c r="AV47" i="11" s="1"/>
  <c r="AM52" i="13"/>
  <c r="AK47" i="13"/>
  <c r="AJ47" i="13"/>
  <c r="AI43" i="13"/>
  <c r="AL47" i="13"/>
  <c r="AK42" i="11"/>
  <c r="AM52" i="11"/>
  <c r="AW52" i="11" s="1"/>
  <c r="AK40" i="21"/>
  <c r="AI41" i="21"/>
  <c r="AJ45" i="21"/>
  <c r="AL40" i="21"/>
  <c r="AV40" i="21" s="1"/>
  <c r="BA40" i="21" s="1"/>
  <c r="AL45" i="11"/>
  <c r="AV45" i="11" s="1"/>
  <c r="AK45" i="13"/>
  <c r="AJ45" i="13"/>
  <c r="AL45" i="13"/>
  <c r="AI41" i="13"/>
  <c r="AD41" i="13" s="1"/>
  <c r="AM50" i="13"/>
  <c r="AK40" i="11"/>
  <c r="AM50" i="11"/>
  <c r="AW50" i="11" s="1"/>
  <c r="L101" i="5"/>
  <c r="C51" i="5"/>
  <c r="H47" i="5" s="1"/>
  <c r="AJ43" i="21"/>
  <c r="AI39" i="21"/>
  <c r="AL38" i="21"/>
  <c r="AV38" i="21" s="1"/>
  <c r="BA38" i="21" s="1"/>
  <c r="AK38" i="21"/>
  <c r="AU38" i="21" s="1"/>
  <c r="AZ38" i="21" s="1"/>
  <c r="AL43" i="11"/>
  <c r="AV43" i="11" s="1"/>
  <c r="AI39" i="13"/>
  <c r="AD39" i="13" s="1"/>
  <c r="AL43" i="13"/>
  <c r="AM48" i="13"/>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L52" i="13"/>
  <c r="AK47" i="11"/>
  <c r="AU47" i="11" s="1"/>
  <c r="D71" i="5"/>
  <c r="AI40" i="21"/>
  <c r="AL39" i="21"/>
  <c r="AV39" i="21" s="1"/>
  <c r="BA39" i="21" s="1"/>
  <c r="AJ44" i="21"/>
  <c r="AK39" i="21"/>
  <c r="AU39" i="21" s="1"/>
  <c r="AZ39" i="21" s="1"/>
  <c r="AL44" i="11"/>
  <c r="AV44" i="11" s="1"/>
  <c r="AJ44" i="13"/>
  <c r="AE44" i="13" s="1"/>
  <c r="AL44" i="13"/>
  <c r="AM49" i="13"/>
  <c r="AK44" i="13"/>
  <c r="AI40" i="13"/>
  <c r="AD40" i="13" s="1"/>
  <c r="AM49" i="11"/>
  <c r="AW49" i="11" s="1"/>
  <c r="AK39" i="11"/>
  <c r="AU39" i="11" s="1"/>
  <c r="AK53" i="21"/>
  <c r="AU53" i="21" s="1"/>
  <c r="AZ53" i="21" s="1"/>
  <c r="AI54" i="21"/>
  <c r="AJ58" i="21"/>
  <c r="AL53" i="21"/>
  <c r="AV53" i="21" s="1"/>
  <c r="BA53" i="21" s="1"/>
  <c r="AM63" i="13"/>
  <c r="AK58" i="13"/>
  <c r="AI54" i="13"/>
  <c r="AJ58" i="13"/>
  <c r="AK53" i="11"/>
  <c r="AU53" i="11" s="1"/>
  <c r="AI42" i="21"/>
  <c r="AL41" i="21"/>
  <c r="AV41" i="21" s="1"/>
  <c r="BA41" i="21" s="1"/>
  <c r="AK41" i="21"/>
  <c r="AJ46" i="21"/>
  <c r="AL46" i="11"/>
  <c r="AV46" i="11" s="1"/>
  <c r="AL46" i="13"/>
  <c r="AI42" i="13"/>
  <c r="AM51" i="13"/>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U55" i="11" s="1"/>
  <c r="AK49" i="21"/>
  <c r="AU49" i="21" s="1"/>
  <c r="AZ49" i="21" s="1"/>
  <c r="AJ54" i="21"/>
  <c r="AI50" i="21"/>
  <c r="AL49" i="21"/>
  <c r="AV49" i="21" s="1"/>
  <c r="BA49" i="21" s="1"/>
  <c r="AK54" i="13"/>
  <c r="AM59" i="13"/>
  <c r="AJ54" i="13"/>
  <c r="AI50" i="13"/>
  <c r="AK49" i="11"/>
  <c r="AU49" i="11" s="1"/>
  <c r="AI44" i="21"/>
  <c r="AJ48" i="21"/>
  <c r="AL43" i="21"/>
  <c r="AV43" i="21" s="1"/>
  <c r="BA43" i="21" s="1"/>
  <c r="AK43" i="21"/>
  <c r="AL48" i="11"/>
  <c r="AI44" i="13"/>
  <c r="AL48" i="13"/>
  <c r="AJ48" i="13"/>
  <c r="AK48" i="13"/>
  <c r="AM53" i="13"/>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U54" i="11" s="1"/>
  <c r="AI51" i="21"/>
  <c r="AK50" i="21"/>
  <c r="AU50" i="21" s="1"/>
  <c r="AZ50" i="21" s="1"/>
  <c r="AJ55" i="21"/>
  <c r="AL50" i="21"/>
  <c r="AV50" i="21" s="1"/>
  <c r="BA50" i="21" s="1"/>
  <c r="AM60" i="13"/>
  <c r="AI51" i="13"/>
  <c r="AK55" i="13"/>
  <c r="AJ55" i="13"/>
  <c r="AK50" i="11"/>
  <c r="AU50" i="11" s="1"/>
  <c r="AJ49" i="21"/>
  <c r="AI45" i="21"/>
  <c r="AL44" i="21"/>
  <c r="AV44" i="21" s="1"/>
  <c r="BA44" i="21" s="1"/>
  <c r="AK44" i="21"/>
  <c r="AL49" i="11"/>
  <c r="AJ49" i="13"/>
  <c r="AK49" i="13"/>
  <c r="AI45" i="13"/>
  <c r="AL49" i="13"/>
  <c r="AM54" i="13"/>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B60" i="21"/>
  <c r="AA59" i="11"/>
  <c r="AB48" i="11"/>
  <c r="AD61" i="21" l="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39" i="13"/>
  <c r="AB46" i="13"/>
  <c r="AB43" i="13"/>
  <c r="AB42" i="13"/>
  <c r="AB41" i="13"/>
  <c r="AB38" i="13"/>
  <c r="AB40" i="13"/>
  <c r="AB44" i="13"/>
  <c r="AB45" i="13"/>
  <c r="Z52" i="13"/>
  <c r="Y67" i="13"/>
  <c r="AC24" i="13"/>
  <c r="Y37" i="13"/>
  <c r="AA32" i="13"/>
  <c r="Z30" i="13"/>
  <c r="Y52" i="13"/>
  <c r="Y32" i="13"/>
  <c r="AA66" i="13"/>
  <c r="Z36" i="13"/>
  <c r="AC50" i="13"/>
  <c r="AA36" i="13"/>
  <c r="Z27" i="13"/>
  <c r="Z38" i="13"/>
  <c r="Y24" i="13"/>
  <c r="AA62" i="13"/>
  <c r="Y46" i="13"/>
  <c r="Y26" i="13"/>
  <c r="Y60" i="13"/>
  <c r="AA56" i="13"/>
  <c r="AC33" i="13"/>
  <c r="Z48" i="13"/>
  <c r="AC49" i="13"/>
  <c r="AA63" i="13"/>
  <c r="Y64" i="13"/>
  <c r="AA48" i="13"/>
  <c r="Z44" i="13"/>
  <c r="Z62" i="13"/>
  <c r="AB61" i="21"/>
  <c r="AC66" i="13"/>
  <c r="AA52" i="13"/>
  <c r="Z49" i="13"/>
  <c r="Y55" i="13"/>
  <c r="AC25" i="13"/>
  <c r="AC41" i="13"/>
  <c r="AC31" i="13"/>
  <c r="Y53" i="13"/>
  <c r="AA61" i="13"/>
  <c r="Y33" i="13"/>
  <c r="Y45" i="13"/>
  <c r="AA47" i="13"/>
  <c r="AA57" i="13"/>
  <c r="AC39" i="13"/>
  <c r="Z46" i="13"/>
  <c r="Z43" i="13"/>
  <c r="AC60" i="13"/>
  <c r="AA60" i="11"/>
  <c r="AC52" i="13"/>
  <c r="Y56" i="13"/>
  <c r="AC57" i="13"/>
  <c r="AC56" i="13"/>
  <c r="Z45" i="13"/>
  <c r="AC64" i="13"/>
  <c r="Y39" i="13"/>
  <c r="Y58" i="13"/>
  <c r="Y28" i="13"/>
  <c r="AC32" i="13"/>
  <c r="AC34" i="13"/>
  <c r="AC35" i="13"/>
  <c r="Z42" i="13"/>
  <c r="Y44" i="13"/>
  <c r="Y40" i="13"/>
  <c r="Z60" i="13"/>
  <c r="AC53" i="13"/>
  <c r="AA55" i="13"/>
  <c r="AC38" i="13"/>
  <c r="Z29" i="13"/>
  <c r="Z63" i="13"/>
  <c r="AA34" i="13"/>
  <c r="AC40" i="13"/>
  <c r="AA65" i="13"/>
  <c r="Z33" i="13"/>
  <c r="AA26" i="13"/>
  <c r="Z64" i="13"/>
  <c r="Z54" i="13"/>
  <c r="Y51" i="13"/>
  <c r="AA58" i="13"/>
  <c r="AA37" i="13"/>
  <c r="Y49" i="13"/>
  <c r="AA24" i="13"/>
  <c r="AC43" i="13"/>
  <c r="AA41" i="13"/>
  <c r="Z50" i="13"/>
  <c r="AA46" i="13"/>
  <c r="Y48" i="13"/>
  <c r="Z25" i="13"/>
  <c r="AC63" i="13"/>
  <c r="AC26" i="13"/>
  <c r="AA40" i="13"/>
  <c r="Y42" i="13"/>
  <c r="Z61" i="13"/>
  <c r="Z41" i="13"/>
  <c r="Z67" i="13"/>
  <c r="AA33" i="13"/>
  <c r="Z65" i="13"/>
  <c r="AC30" i="13"/>
  <c r="Z59" i="13"/>
  <c r="AA54" i="13"/>
  <c r="AC45" i="13"/>
  <c r="Z28" i="13"/>
  <c r="AC47" i="13"/>
  <c r="Z56" i="13"/>
  <c r="Y50" i="13"/>
  <c r="Y36" i="13"/>
  <c r="Z53" i="13"/>
  <c r="Y31" i="13"/>
  <c r="Z34" i="13"/>
  <c r="AA28" i="13"/>
  <c r="AA30" i="13"/>
  <c r="Z24" i="13"/>
  <c r="AC42" i="13"/>
  <c r="Y34" i="13"/>
  <c r="AC55" i="13"/>
  <c r="AA49" i="13"/>
  <c r="AA44" i="13"/>
  <c r="Z58" i="13"/>
  <c r="Y57" i="13"/>
  <c r="Y43" i="13"/>
  <c r="Y47" i="13"/>
  <c r="Y41" i="13"/>
  <c r="Y54" i="13"/>
  <c r="AA39" i="13"/>
  <c r="AC51" i="13"/>
  <c r="AA35" i="13"/>
  <c r="AA59" i="13"/>
  <c r="Z39" i="13"/>
  <c r="AC29" i="13"/>
  <c r="AA67" i="13"/>
  <c r="AA29" i="13"/>
  <c r="AA53" i="13"/>
  <c r="AA51" i="13"/>
  <c r="AA31" i="13"/>
  <c r="AC58" i="13"/>
  <c r="AA60" i="13"/>
  <c r="AC54" i="13"/>
  <c r="AC27" i="13"/>
  <c r="Y65" i="13"/>
  <c r="Y27" i="13"/>
  <c r="AA43" i="13"/>
  <c r="Z35" i="13"/>
  <c r="Z40" i="13"/>
  <c r="AC65" i="13"/>
  <c r="AC67" i="13"/>
  <c r="AB49" i="11"/>
  <c r="AA64" i="13"/>
  <c r="Z31" i="13"/>
  <c r="AC48" i="13"/>
  <c r="AC37" i="13"/>
  <c r="Z37" i="13"/>
  <c r="Y25" i="13"/>
  <c r="AC28" i="13"/>
  <c r="AA38" i="13"/>
  <c r="AC59" i="13"/>
  <c r="Y29" i="13"/>
  <c r="Y63" i="13"/>
  <c r="Y59" i="13"/>
  <c r="Y38" i="13"/>
  <c r="AC44" i="13"/>
  <c r="AA50" i="13"/>
  <c r="Z26" i="13"/>
  <c r="Y30" i="13"/>
  <c r="AC61" i="13"/>
  <c r="AA25" i="13"/>
  <c r="AC62" i="13"/>
  <c r="AA27" i="13"/>
  <c r="Y62" i="13"/>
  <c r="Z55" i="13"/>
  <c r="AA45" i="13"/>
  <c r="AC36" i="13"/>
  <c r="Y35" i="13"/>
  <c r="Y61" i="13"/>
  <c r="Z32" i="13"/>
  <c r="Z57" i="13"/>
  <c r="Y66" i="13"/>
  <c r="Z51" i="13"/>
  <c r="AA42" i="13"/>
  <c r="Z47" i="13"/>
  <c r="AC46" i="13"/>
  <c r="Z66"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Z49" i="11"/>
  <c r="Z30" i="11"/>
  <c r="Z56" i="11"/>
  <c r="Z37" i="11"/>
  <c r="Y57" i="11"/>
  <c r="Y66" i="11"/>
  <c r="Y28" i="11"/>
  <c r="Z53" i="11"/>
  <c r="Z41" i="11"/>
  <c r="Z25" i="11"/>
  <c r="Z45" i="11"/>
  <c r="Z66" i="11"/>
  <c r="Y44" i="11"/>
  <c r="Z44" i="11"/>
  <c r="Y30" i="11"/>
  <c r="Y37" i="11"/>
  <c r="Z55" i="11"/>
  <c r="Y59" i="11"/>
  <c r="Z63" i="11"/>
  <c r="Z39" i="11"/>
  <c r="Z61" i="11"/>
  <c r="Y65" i="11"/>
  <c r="Y64" i="11"/>
  <c r="Z58" i="11"/>
  <c r="Z38" i="11"/>
  <c r="Z47" i="11"/>
  <c r="Y48" i="11"/>
  <c r="Z40" i="11"/>
  <c r="Y40" i="11"/>
  <c r="Y33" i="11"/>
  <c r="Y67" i="11"/>
  <c r="Y32" i="11"/>
  <c r="Y27" i="11"/>
  <c r="Z46" i="11"/>
  <c r="Y39" i="11"/>
  <c r="Y51" i="11"/>
  <c r="Z29" i="11"/>
  <c r="AB50" i="11"/>
  <c r="Y38" i="11"/>
  <c r="Y45" i="11"/>
  <c r="Y54" i="11"/>
  <c r="Z54" i="11"/>
  <c r="Z31" i="11"/>
  <c r="Y47" i="11"/>
  <c r="Z33" i="11"/>
  <c r="Z35" i="11"/>
  <c r="Y29" i="11"/>
  <c r="Y56" i="11"/>
  <c r="Y62" i="11"/>
  <c r="AA61" i="11"/>
  <c r="Z64" i="11"/>
  <c r="Y35" i="11"/>
  <c r="Y46" i="11"/>
  <c r="AB62" i="21"/>
  <c r="Z52" i="11"/>
  <c r="Y36" i="11"/>
  <c r="Y58" i="11"/>
  <c r="Z67" i="11"/>
  <c r="Y60" i="11"/>
  <c r="Y61" i="11"/>
  <c r="Y55" i="11"/>
  <c r="Z32" i="11"/>
  <c r="Y50" i="11"/>
  <c r="Z51" i="11"/>
  <c r="Z34" i="11"/>
  <c r="Z65" i="11"/>
  <c r="Z42" i="11"/>
  <c r="Y31" i="11"/>
  <c r="Z62" i="11"/>
  <c r="Z57" i="11"/>
  <c r="Y52" i="11"/>
  <c r="Z48" i="11"/>
  <c r="Y24" i="11"/>
  <c r="Y53" i="11"/>
  <c r="Z28" i="11"/>
  <c r="Y25" i="11"/>
  <c r="Y41" i="11"/>
  <c r="Y42" i="11"/>
  <c r="Y43" i="11"/>
  <c r="Z59" i="11"/>
  <c r="Z27" i="11"/>
  <c r="Z36" i="11"/>
  <c r="Y63" i="11"/>
  <c r="Y49" i="11"/>
  <c r="Z43" i="11"/>
  <c r="Z26" i="11"/>
  <c r="Y34" i="11"/>
  <c r="Y26" i="11"/>
  <c r="Z60" i="11"/>
  <c r="Z50" i="11"/>
  <c r="Z24" i="11"/>
  <c r="AC260" i="11" l="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AS24" i="11"/>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51" i="11"/>
  <c r="AB63" i="2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52" i="11"/>
  <c r="AA63" i="11"/>
  <c r="AB64" i="2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A64" i="11"/>
  <c r="AB65" i="21"/>
  <c r="AB53" i="11"/>
  <c r="AG164" i="13" l="1"/>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B54" i="11"/>
  <c r="AB66" i="21"/>
  <c r="AA65" i="11"/>
  <c r="AB67" i="2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A66" i="11"/>
  <c r="AB55"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Dwyer, Michael T.</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35" authorId="2" shapeId="0" xr:uid="{38D0D9BD-D6B6-4CC0-B38A-630A073B1C4A}">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3"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<sst xmlns="http://schemas.openxmlformats.org/spreadsheetml/2006/main" count="2122" uniqueCount="451">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</sst>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5" fillId="0" borderId="0"/>
  </cellStyleXfs>
  <cellXfs count="1661">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0" fontId="93" fillId="0" borderId="0" xfId="0" applyFon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4"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0" fontId="24" fillId="35" borderId="41" xfId="0" applyFont="1" applyFill="1" applyBorder="1" applyAlignment="1">
      <alignment horizontal="center" wrapText="1"/>
    </xf>
    <xf numFmtId="0" fontId="0" fillId="35" borderId="0" xfId="0" applyFill="1"/>
    <xf numFmtId="2" fontId="65" fillId="35" borderId="0" xfId="0" applyNumberFormat="1" applyFont="1" applyFill="1"/>
    <xf numFmtId="2" fontId="65" fillId="35" borderId="41" xfId="0" applyNumberFormat="1" applyFont="1" applyFill="1" applyBorder="1"/>
    <xf numFmtId="0" fontId="96" fillId="0" borderId="74" xfId="0" applyFont="1" applyBorder="1"/>
    <xf numFmtId="0" fontId="25" fillId="0" borderId="0" xfId="0" applyFont="1" applyBorder="1" applyAlignment="1">
      <alignment horizontal="right"/>
    </xf>
    <xf numFmtId="0" fontId="97"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5" fontId="91" fillId="35" borderId="17" xfId="0" applyNumberFormat="1" applyFont="1" applyFill="1" applyBorder="1" applyAlignment="1">
      <alignment horizontal="center"/>
    </xf>
    <xf numFmtId="169" fontId="91" fillId="35" borderId="17" xfId="0" applyNumberFormat="1" applyFont="1" applyFill="1" applyBorder="1" applyAlignment="1">
      <alignment horizontal="center"/>
    </xf>
    <xf numFmtId="169" fontId="91" fillId="35" borderId="19"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114" xfId="41" applyFont="1" applyFill="1" applyBorder="1" applyAlignment="1"/>
    <xf numFmtId="0" fontId="33" fillId="35" borderId="112" xfId="41" applyFont="1" applyFill="1" applyBorder="1" applyAlignment="1"/>
    <xf numFmtId="0" fontId="33" fillId="35" borderId="113" xfId="41" applyFont="1" applyFill="1" applyBorder="1" applyAlignment="1"/>
    <xf numFmtId="0" fontId="33" fillId="35" borderId="101" xfId="41" applyFont="1" applyFill="1" applyBorder="1"/>
    <xf numFmtId="0" fontId="74" fillId="35" borderId="77" xfId="41" applyFont="1" applyFill="1" applyBorder="1" applyAlignment="1"/>
    <xf numFmtId="0" fontId="74" fillId="35" borderId="78" xfId="41" applyFont="1" applyFill="1" applyBorder="1" applyAlignment="1"/>
    <xf numFmtId="0" fontId="74" fillId="35" borderId="79" xfId="41" applyFont="1" applyFill="1" applyBorder="1" applyAlignment="1"/>
    <xf numFmtId="0" fontId="33" fillId="35" borderId="77" xfId="41" applyFont="1" applyFill="1" applyBorder="1"/>
    <xf numFmtId="0" fontId="74" fillId="35" borderId="173" xfId="41" applyFont="1" applyFill="1" applyBorder="1" applyAlignment="1"/>
    <xf numFmtId="0" fontId="74" fillId="35" borderId="57" xfId="41" applyFont="1" applyFill="1" applyBorder="1" applyAlignment="1"/>
    <xf numFmtId="0" fontId="74" fillId="35" borderId="174" xfId="41" applyFont="1" applyFill="1" applyBorder="1" applyAlignment="1"/>
    <xf numFmtId="0" fontId="33" fillId="35" borderId="173" xfId="41" applyFont="1" applyFill="1" applyBorder="1"/>
    <xf numFmtId="0" fontId="33" fillId="35" borderId="105" xfId="41" applyFont="1" applyFill="1" applyBorder="1" applyAlignment="1"/>
    <xf numFmtId="0" fontId="33" fillId="35" borderId="116" xfId="41" applyFont="1" applyFill="1" applyBorder="1" applyAlignment="1"/>
    <xf numFmtId="0" fontId="33" fillId="35" borderId="107" xfId="41" applyFont="1" applyFill="1" applyBorder="1" applyAlignment="1"/>
    <xf numFmtId="0" fontId="33" fillId="35" borderId="105" xfId="41" applyFont="1" applyFill="1" applyBorder="1"/>
    <xf numFmtId="0" fontId="33" fillId="35" borderId="99" xfId="41" applyFont="1" applyFill="1" applyBorder="1"/>
    <xf numFmtId="0" fontId="33" fillId="35" borderId="48" xfId="41" applyFont="1" applyFill="1" applyBorder="1"/>
    <xf numFmtId="168" fontId="33" fillId="35" borderId="79" xfId="41" applyNumberFormat="1" applyFont="1" applyFill="1" applyBorder="1"/>
    <xf numFmtId="168" fontId="33" fillId="35" borderId="77" xfId="41" applyNumberFormat="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74" xfId="41" applyNumberFormat="1" applyFont="1" applyFill="1" applyBorder="1"/>
    <xf numFmtId="168" fontId="33" fillId="35" borderId="173" xfId="41" applyNumberFormat="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7" xfId="41" applyNumberFormat="1" applyFont="1" applyFill="1" applyBorder="1"/>
    <xf numFmtId="168" fontId="33" fillId="35" borderId="105" xfId="41" applyNumberFormat="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168" fontId="91" fillId="35" borderId="21"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7.1066946066856191</c:v>
                </c:pt>
                <c:pt idx="1">
                  <c:v>7.2549468572317179</c:v>
                </c:pt>
                <c:pt idx="2">
                  <c:v>7.3952245468405886</c:v>
                </c:pt>
                <c:pt idx="3">
                  <c:v>7.5444330920738185</c:v>
                </c:pt>
                <c:pt idx="4">
                  <c:v>7.6904954072333691</c:v>
                </c:pt>
                <c:pt idx="5">
                  <c:v>7.8796174660298455</c:v>
                </c:pt>
                <c:pt idx="6">
                  <c:v>8.0838815874836101</c:v>
                </c:pt>
                <c:pt idx="7">
                  <c:v>8.1579983898762283</c:v>
                </c:pt>
                <c:pt idx="8">
                  <c:v>8.3204018705413638</c:v>
                </c:pt>
                <c:pt idx="9">
                  <c:v>8.4596513418802797</c:v>
                </c:pt>
                <c:pt idx="10">
                  <c:v>8.4765855799556995</c:v>
                </c:pt>
                <c:pt idx="11">
                  <c:v>8.4935198180311193</c:v>
                </c:pt>
                <c:pt idx="12">
                  <c:v>8.5104540561065392</c:v>
                </c:pt>
                <c:pt idx="13">
                  <c:v>8.5273882941819608</c:v>
                </c:pt>
                <c:pt idx="14">
                  <c:v>8.5443225322573806</c:v>
                </c:pt>
                <c:pt idx="15">
                  <c:v>8.5444945413697049</c:v>
                </c:pt>
                <c:pt idx="16">
                  <c:v>8.5450857966197695</c:v>
                </c:pt>
                <c:pt idx="17">
                  <c:v>8.5458752554962878</c:v>
                </c:pt>
                <c:pt idx="18">
                  <c:v>8.5469273081410861</c:v>
                </c:pt>
                <c:pt idx="19">
                  <c:v>8.5484593706521306</c:v>
                </c:pt>
                <c:pt idx="20">
                  <c:v>8.5501630690723598</c:v>
                </c:pt>
                <c:pt idx="21">
                  <c:v>8.552006775413572</c:v>
                </c:pt>
                <c:pt idx="22">
                  <c:v>8.5541625159132924</c:v>
                </c:pt>
                <c:pt idx="23">
                  <c:v>8.5564345191960758</c:v>
                </c:pt>
                <c:pt idx="24">
                  <c:v>8.5588402101966423</c:v>
                </c:pt>
                <c:pt idx="25">
                  <c:v>8.5606020112770658</c:v>
                </c:pt>
                <c:pt idx="26">
                  <c:v>8.5625313997551658</c:v>
                </c:pt>
                <c:pt idx="27">
                  <c:v>8.562689035627594</c:v>
                </c:pt>
                <c:pt idx="28">
                  <c:v>8.5628466715000222</c:v>
                </c:pt>
                <c:pt idx="29">
                  <c:v>8.5630043073724504</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7.2514618381519949</c:v>
                </c:pt>
                <c:pt idx="1">
                  <c:v>7.5470263474657688</c:v>
                </c:pt>
                <c:pt idx="2">
                  <c:v>7.8365961510935715</c:v>
                </c:pt>
                <c:pt idx="3">
                  <c:v>8.1378673626194438</c:v>
                </c:pt>
                <c:pt idx="4">
                  <c:v>8.438014936260716</c:v>
                </c:pt>
                <c:pt idx="5">
                  <c:v>8.7883235625922929</c:v>
                </c:pt>
                <c:pt idx="6">
                  <c:v>9.1593786749555619</c:v>
                </c:pt>
                <c:pt idx="7">
                  <c:v>9.3847120142735569</c:v>
                </c:pt>
                <c:pt idx="8">
                  <c:v>9.7125571365681882</c:v>
                </c:pt>
                <c:pt idx="9">
                  <c:v>10.015389114320127</c:v>
                </c:pt>
                <c:pt idx="10">
                  <c:v>10.035437574572883</c:v>
                </c:pt>
                <c:pt idx="11">
                  <c:v>10.055486034825639</c:v>
                </c:pt>
                <c:pt idx="12">
                  <c:v>10.075534495078395</c:v>
                </c:pt>
                <c:pt idx="13">
                  <c:v>10.095582955331153</c:v>
                </c:pt>
                <c:pt idx="14">
                  <c:v>10.115631415583909</c:v>
                </c:pt>
                <c:pt idx="15">
                  <c:v>10.115835057332429</c:v>
                </c:pt>
                <c:pt idx="16">
                  <c:v>10.116535044974469</c:v>
                </c:pt>
                <c:pt idx="17">
                  <c:v>10.11746968607474</c:v>
                </c:pt>
                <c:pt idx="18">
                  <c:v>10.118715212182209</c:v>
                </c:pt>
                <c:pt idx="19">
                  <c:v>10.120529022418053</c:v>
                </c:pt>
                <c:pt idx="20">
                  <c:v>10.122546032566872</c:v>
                </c:pt>
                <c:pt idx="21">
                  <c:v>10.124728798223934</c:v>
                </c:pt>
                <c:pt idx="22">
                  <c:v>10.127280981412301</c:v>
                </c:pt>
                <c:pt idx="23">
                  <c:v>10.12997080821798</c:v>
                </c:pt>
                <c:pt idx="24">
                  <c:v>10.132818908037438</c:v>
                </c:pt>
                <c:pt idx="25">
                  <c:v>10.134904705979856</c:v>
                </c:pt>
                <c:pt idx="26">
                  <c:v>10.137188910798701</c:v>
                </c:pt>
                <c:pt idx="27">
                  <c:v>10.137375536055101</c:v>
                </c:pt>
                <c:pt idx="28">
                  <c:v>10.137562161311502</c:v>
                </c:pt>
                <c:pt idx="29">
                  <c:v>10.137748786567903</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7.642758539201461</c:v>
                </c:pt>
                <c:pt idx="1">
                  <c:v>7.9604767491506108</c:v>
                </c:pt>
                <c:pt idx="2">
                  <c:v>8.2719688938604357</c:v>
                </c:pt>
                <c:pt idx="3">
                  <c:v>8.5959051807146825</c:v>
                </c:pt>
                <c:pt idx="4">
                  <c:v>8.9187469265359489</c:v>
                </c:pt>
                <c:pt idx="5">
                  <c:v>9.2947241149660904</c:v>
                </c:pt>
                <c:pt idx="6">
                  <c:v>9.6927950245681878</c:v>
                </c:pt>
                <c:pt idx="7">
                  <c:v>9.9367251422608067</c:v>
                </c:pt>
                <c:pt idx="8">
                  <c:v>10.289233048717541</c:v>
                </c:pt>
                <c:pt idx="9">
                  <c:v>10.615318411461462</c:v>
                </c:pt>
                <c:pt idx="10">
                  <c:v>10.636567789474968</c:v>
                </c:pt>
                <c:pt idx="11">
                  <c:v>10.657817167488474</c:v>
                </c:pt>
                <c:pt idx="12">
                  <c:v>10.67906654550198</c:v>
                </c:pt>
                <c:pt idx="13">
                  <c:v>10.700315923515488</c:v>
                </c:pt>
                <c:pt idx="14">
                  <c:v>10.721565301528994</c:v>
                </c:pt>
                <c:pt idx="15">
                  <c:v>10.721781141570528</c:v>
                </c:pt>
                <c:pt idx="16">
                  <c:v>10.722523058995755</c:v>
                </c:pt>
                <c:pt idx="17">
                  <c:v>10.723513685796828</c:v>
                </c:pt>
                <c:pt idx="18">
                  <c:v>10.724833819849501</c:v>
                </c:pt>
                <c:pt idx="19">
                  <c:v>10.726756278674783</c:v>
                </c:pt>
                <c:pt idx="20">
                  <c:v>10.728894109239773</c:v>
                </c:pt>
                <c:pt idx="21">
                  <c:v>10.731207624191898</c:v>
                </c:pt>
                <c:pt idx="22">
                  <c:v>10.733912685061691</c:v>
                </c:pt>
                <c:pt idx="23">
                  <c:v>10.736763634504399</c:v>
                </c:pt>
                <c:pt idx="24">
                  <c:v>10.739782337632763</c:v>
                </c:pt>
                <c:pt idx="25">
                  <c:v>10.741993076431626</c:v>
                </c:pt>
                <c:pt idx="26">
                  <c:v>10.744414106827175</c:v>
                </c:pt>
                <c:pt idx="27">
                  <c:v>10.744611911075987</c:v>
                </c:pt>
                <c:pt idx="28">
                  <c:v>10.7448097153248</c:v>
                </c:pt>
                <c:pt idx="29">
                  <c:v>10.745007519573612</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8.252103623726434</c:v>
                </c:pt>
                <c:pt idx="1">
                  <c:v>8.5867009582406837</c:v>
                </c:pt>
                <c:pt idx="2">
                  <c:v>8.9144503459649904</c:v>
                </c:pt>
                <c:pt idx="3">
                  <c:v>9.2554843966218385</c:v>
                </c:pt>
                <c:pt idx="4">
                  <c:v>9.5952144109461681</c:v>
                </c:pt>
                <c:pt idx="5">
                  <c:v>9.9919516873462335</c:v>
                </c:pt>
                <c:pt idx="6">
                  <c:v>10.412233966282747</c:v>
                </c:pt>
                <c:pt idx="7">
                  <c:v>10.666843043707351</c:v>
                </c:pt>
                <c:pt idx="8">
                  <c:v>11.037958743380047</c:v>
                </c:pt>
                <c:pt idx="9">
                  <c:v>11.380626544197902</c:v>
                </c:pt>
                <c:pt idx="10">
                  <c:v>11.517968900373031</c:v>
                </c:pt>
                <c:pt idx="11">
                  <c:v>11.655768988830102</c:v>
                </c:pt>
                <c:pt idx="12">
                  <c:v>11.794026809569115</c:v>
                </c:pt>
                <c:pt idx="13">
                  <c:v>11.932742362590075</c:v>
                </c:pt>
                <c:pt idx="14">
                  <c:v>12.071915647892972</c:v>
                </c:pt>
                <c:pt idx="15">
                  <c:v>12.072158672367623</c:v>
                </c:pt>
                <c:pt idx="16">
                  <c:v>12.072994032161008</c:v>
                </c:pt>
                <c:pt idx="17">
                  <c:v>12.074109425561577</c:v>
                </c:pt>
                <c:pt idx="18">
                  <c:v>12.075595826705401</c:v>
                </c:pt>
                <c:pt idx="19">
                  <c:v>12.077760413696447</c:v>
                </c:pt>
                <c:pt idx="20" formatCode="0.000">
                  <c:v>12.080167497879049</c:v>
                </c:pt>
                <c:pt idx="21" formatCode="0.000">
                  <c:v>12.082772393392599</c:v>
                </c:pt>
                <c:pt idx="22" formatCode="0.000">
                  <c:v>12.085818148907226</c:v>
                </c:pt>
                <c:pt idx="23" formatCode="0.000">
                  <c:v>12.089028167241382</c:v>
                </c:pt>
                <c:pt idx="24" formatCode="0.000">
                  <c:v>12.092427067355944</c:v>
                </c:pt>
                <c:pt idx="25" formatCode="0.000">
                  <c:v>12.094916242355009</c:v>
                </c:pt>
                <c:pt idx="26" formatCode="0.000">
                  <c:v>12.097642194573186</c:v>
                </c:pt>
                <c:pt idx="27" formatCode="0.000">
                  <c:v>12.097864911698839</c:v>
                </c:pt>
                <c:pt idx="28" formatCode="0.000">
                  <c:v>12.098087628824493</c:v>
                </c:pt>
                <c:pt idx="29">
                  <c:v>12.098310345950145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7.3375200040858592</c:v>
                </c:pt>
                <c:pt idx="1">
                  <c:v>7.7492075439830908</c:v>
                </c:pt>
                <c:pt idx="2">
                  <c:v>8.1565012303305213</c:v>
                </c:pt>
                <c:pt idx="3">
                  <c:v>8.577655530394896</c:v>
                </c:pt>
                <c:pt idx="4">
                  <c:v>8.9993014444510671</c:v>
                </c:pt>
                <c:pt idx="5">
                  <c:v>9.4765614577954143</c:v>
                </c:pt>
                <c:pt idx="6">
                  <c:v>9.9789475009735593</c:v>
                </c:pt>
                <c:pt idx="7">
                  <c:v>10.3237961938114</c:v>
                </c:pt>
                <c:pt idx="8">
                  <c:v>10.782071844137519</c:v>
                </c:pt>
                <c:pt idx="9">
                  <c:v>11.213954622667076</c:v>
                </c:pt>
                <c:pt idx="10">
                  <c:v>11.42376443404703</c:v>
                </c:pt>
                <c:pt idx="11">
                  <c:v>11.634322856868829</c:v>
                </c:pt>
                <c:pt idx="12">
                  <c:v>11.845629891132475</c:v>
                </c:pt>
                <c:pt idx="13">
                  <c:v>12.057685536837971</c:v>
                </c:pt>
                <c:pt idx="14">
                  <c:v>12.270489793985307</c:v>
                </c:pt>
                <c:pt idx="15">
                  <c:v>12.341382408440833</c:v>
                </c:pt>
                <c:pt idx="16">
                  <c:v>12.412886878652932</c:v>
                </c:pt>
                <c:pt idx="17">
                  <c:v>12.484690681998952</c:v>
                </c:pt>
                <c:pt idx="18">
                  <c:v>12.556893334797435</c:v>
                </c:pt>
                <c:pt idx="19">
                  <c:v>12.629822569300575</c:v>
                </c:pt>
                <c:pt idx="20" formatCode="0.000">
                  <c:v>12.703032138457624</c:v>
                </c:pt>
                <c:pt idx="21" formatCode="0.000">
                  <c:v>12.77647904810412</c:v>
                </c:pt>
                <c:pt idx="22" formatCode="0.000">
                  <c:v>12.850425196081595</c:v>
                </c:pt>
                <c:pt idx="23" formatCode="0.000">
                  <c:v>12.924582607371574</c:v>
                </c:pt>
                <c:pt idx="24" formatCode="0.000">
                  <c:v>12.998980630356771</c:v>
                </c:pt>
                <c:pt idx="25" formatCode="0.000">
                  <c:v>13.072435183999087</c:v>
                </c:pt>
                <c:pt idx="26" formatCode="0.000">
                  <c:v>13.146176169978935</c:v>
                </c:pt>
                <c:pt idx="27" formatCode="0.000">
                  <c:v>13.217214214445622</c:v>
                </c:pt>
                <c:pt idx="28" formatCode="0.000">
                  <c:v>13.288254865568454</c:v>
                </c:pt>
                <c:pt idx="29">
                  <c:v>13.359298123347438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19.338612344170912</c:v>
                </c:pt>
                <c:pt idx="1">
                  <c:v>20.10703473654937</c:v>
                </c:pt>
                <c:pt idx="2">
                  <c:v>20.85917604808748</c:v>
                </c:pt>
                <c:pt idx="3">
                  <c:v>21.642168020992671</c:v>
                </c:pt>
                <c:pt idx="4">
                  <c:v>22.421876989082108</c:v>
                </c:pt>
                <c:pt idx="5">
                  <c:v>23.334503972412637</c:v>
                </c:pt>
                <c:pt idx="6">
                  <c:v>24.301731930902008</c:v>
                </c:pt>
                <c:pt idx="7">
                  <c:v>24.882114628625285</c:v>
                </c:pt>
                <c:pt idx="8">
                  <c:v>25.734175887171379</c:v>
                </c:pt>
                <c:pt idx="9">
                  <c:v>26.51972111238014</c:v>
                </c:pt>
                <c:pt idx="10">
                  <c:v>26.785155926023332</c:v>
                </c:pt>
                <c:pt idx="11">
                  <c:v>27.051439185278891</c:v>
                </c:pt>
                <c:pt idx="12">
                  <c:v>27.318570890146823</c:v>
                </c:pt>
                <c:pt idx="13">
                  <c:v>27.586551040627128</c:v>
                </c:pt>
                <c:pt idx="14">
                  <c:v>27.855379636719789</c:v>
                </c:pt>
                <c:pt idx="15">
                  <c:v>27.952689269003422</c:v>
                </c:pt>
                <c:pt idx="16">
                  <c:v>28.05137907678122</c:v>
                </c:pt>
                <c:pt idx="17">
                  <c:v>28.150735171236917</c:v>
                </c:pt>
                <c:pt idx="18">
                  <c:v>28.250977120018931</c:v>
                </c:pt>
                <c:pt idx="19">
                  <c:v>28.352834951169029</c:v>
                </c:pt>
                <c:pt idx="20" formatCode="0.000">
                  <c:v>28.455298688698463</c:v>
                </c:pt>
                <c:pt idx="21" formatCode="0.000">
                  <c:v>28.558268545496833</c:v>
                </c:pt>
                <c:pt idx="22" formatCode="0.000">
                  <c:v>28.662325683640393</c:v>
                </c:pt>
                <c:pt idx="23" formatCode="0.000">
                  <c:v>28.766822517152743</c:v>
                </c:pt>
                <c:pt idx="24" formatCode="0.000">
                  <c:v>28.871821775460866</c:v>
                </c:pt>
                <c:pt idx="25" formatCode="0.000">
                  <c:v>28.974696166673027</c:v>
                </c:pt>
                <c:pt idx="26" formatCode="0.000">
                  <c:v>29.078179578785281</c:v>
                </c:pt>
                <c:pt idx="27" formatCode="0.000">
                  <c:v>29.175669786952263</c:v>
                </c:pt>
                <c:pt idx="28" formatCode="0.000">
                  <c:v>29.273163564924715</c:v>
                </c:pt>
                <c:pt idx="29">
                  <c:v>29.37066091270264</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0.35408461469840835</c:v>
                </c:pt>
                <c:pt idx="24">
                  <c:v>0.34671782716052024</c:v>
                </c:pt>
                <c:pt idx="25">
                  <c:v>0.33974937887824164</c:v>
                </c:pt>
                <c:pt idx="26">
                  <c:v>0.33237378996800238</c:v>
                </c:pt>
                <c:pt idx="27">
                  <c:v>0.32062720270800033</c:v>
                </c:pt>
                <c:pt idx="28">
                  <c:v>0.30844577286276931</c:v>
                </c:pt>
                <c:pt idx="29">
                  <c:v>0.29568403799566118</c:v>
                </c:pt>
                <c:pt idx="30">
                  <c:v>0.28890107688242855</c:v>
                </c:pt>
                <c:pt idx="31">
                  <c:v>0.28330162824438854</c:v>
                </c:pt>
                <c:pt idx="32">
                  <c:v>0.27960558079952946</c:v>
                </c:pt>
                <c:pt idx="33">
                  <c:v>0.27628058897516122</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0.35216085307936451</c:v>
                </c:pt>
                <c:pt idx="24">
                  <c:v>0.34474967837680792</c:v>
                </c:pt>
                <c:pt idx="25">
                  <c:v>0.3378075999584878</c:v>
                </c:pt>
                <c:pt idx="26">
                  <c:v>0.33053867603253095</c:v>
                </c:pt>
                <c:pt idx="27">
                  <c:v>0.31883708142536649</c:v>
                </c:pt>
                <c:pt idx="28">
                  <c:v>0.30662177254832956</c:v>
                </c:pt>
                <c:pt idx="29">
                  <c:v>0.29393100070753692</c:v>
                </c:pt>
                <c:pt idx="30">
                  <c:v>0.28723807293704784</c:v>
                </c:pt>
                <c:pt idx="31">
                  <c:v>0.28177400013520804</c:v>
                </c:pt>
                <c:pt idx="32">
                  <c:v>0.27810190809866786</c:v>
                </c:pt>
                <c:pt idx="33">
                  <c:v>0.27479678049236356</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0.2679679778560905</c:v>
                </c:pt>
                <c:pt idx="24">
                  <c:v>0.26413662938885202</c:v>
                </c:pt>
                <c:pt idx="25">
                  <c:v>0.26049212175812902</c:v>
                </c:pt>
                <c:pt idx="26">
                  <c:v>0.25245246258994308</c:v>
                </c:pt>
                <c:pt idx="27">
                  <c:v>0.24292267394308104</c:v>
                </c:pt>
                <c:pt idx="28">
                  <c:v>0.23118103144852423</c:v>
                </c:pt>
                <c:pt idx="29">
                  <c:v>0.22154791250232669</c:v>
                </c:pt>
                <c:pt idx="30">
                  <c:v>0.21549958090282487</c:v>
                </c:pt>
                <c:pt idx="31">
                  <c:v>0.21116320273680539</c:v>
                </c:pt>
                <c:pt idx="32">
                  <c:v>0.20827786009410237</c:v>
                </c:pt>
                <c:pt idx="33">
                  <c:v>0.20353669075852773</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1.0454681739759694E-3</c:v>
                </c:pt>
                <c:pt idx="24">
                  <c:v>2.8037132795974582E-3</c:v>
                </c:pt>
                <c:pt idx="25">
                  <c:v>6.6565509554170153E-3</c:v>
                </c:pt>
                <c:pt idx="26">
                  <c:v>1.9486731535738374E-2</c:v>
                </c:pt>
                <c:pt idx="27">
                  <c:v>4.7369764293451043E-2</c:v>
                </c:pt>
                <c:pt idx="28">
                  <c:v>8.126245354275638E-2</c:v>
                </c:pt>
                <c:pt idx="29">
                  <c:v>0.11352609946947907</c:v>
                </c:pt>
                <c:pt idx="30">
                  <c:v>0.13035851958416092</c:v>
                </c:pt>
                <c:pt idx="31">
                  <c:v>0.14156193477573695</c:v>
                </c:pt>
                <c:pt idx="32">
                  <c:v>0.14896315342598038</c:v>
                </c:pt>
                <c:pt idx="33">
                  <c:v>0.15385774676454098</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6.3259618947941127E-3</c:v>
                </c:pt>
                <c:pt idx="24">
                  <c:v>2.330511635574516E-2</c:v>
                </c:pt>
                <c:pt idx="25">
                  <c:v>3.7007382846178952E-2</c:v>
                </c:pt>
                <c:pt idx="26">
                  <c:v>4.6861399961077986E-2</c:v>
                </c:pt>
                <c:pt idx="27">
                  <c:v>5.1956347168525444E-2</c:v>
                </c:pt>
                <c:pt idx="28">
                  <c:v>5.4202042612921754E-2</c:v>
                </c:pt>
                <c:pt idx="29">
                  <c:v>5.7024023619368966E-2</c:v>
                </c:pt>
                <c:pt idx="30">
                  <c:v>5.9587924920969627E-2</c:v>
                </c:pt>
                <c:pt idx="31">
                  <c:v>6.3588430981033783E-2</c:v>
                </c:pt>
                <c:pt idx="32">
                  <c:v>6.6440694454892646E-2</c:v>
                </c:pt>
                <c:pt idx="33">
                  <c:v>7.2917389882579273E-2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2.2579552340475866E-2</c:v>
                </c:pt>
                <c:pt idx="6">
                  <c:v>5.337000174188733E-2</c:v>
                </c:pt>
                <c:pt idx="7">
                  <c:v>0.11199273716869983</c:v>
                </c:pt>
                <c:pt idx="8">
                  <c:v>0.18169975015538664</c:v>
                </c:pt>
                <c:pt idx="9">
                  <c:v>0.24491310427716678</c:v>
                </c:pt>
                <c:pt idx="10">
                  <c:v>0.31613493348541155</c:v>
                </c:pt>
                <c:pt idx="11">
                  <c:v>0.35934087386453212</c:v>
                </c:pt>
                <c:pt idx="12">
                  <c:v>0.38028058864394149</c:v>
                </c:pt>
                <c:pt idx="13">
                  <c:v>0.39582409665901946</c:v>
                </c:pt>
                <c:pt idx="14">
                  <c:v>0.41011895977572205</c:v>
                </c:pt>
                <c:pt idx="15">
                  <c:v>0.41031400350495784</c:v>
                </c:pt>
                <c:pt idx="16">
                  <c:v>0.40935197751134983</c:v>
                </c:pt>
                <c:pt idx="17">
                  <c:v>0.40717893697532564</c:v>
                </c:pt>
                <c:pt idx="18">
                  <c:v>0.3982791081486235</c:v>
                </c:pt>
                <c:pt idx="19">
                  <c:v>0.38630591195633551</c:v>
                </c:pt>
                <c:pt idx="20">
                  <c:v>0.38285775198026817</c:v>
                </c:pt>
                <c:pt idx="21">
                  <c:v>0.37757178639060007</c:v>
                </c:pt>
                <c:pt idx="22">
                  <c:v>0.3503085522932482</c:v>
                </c:pt>
                <c:pt idx="23">
                  <c:v>0.32010533179990269</c:v>
                </c:pt>
                <c:pt idx="24">
                  <c:v>0.30012115160993824</c:v>
                </c:pt>
                <c:pt idx="25">
                  <c:v>0.28466258499294883</c:v>
                </c:pt>
                <c:pt idx="26">
                  <c:v>0.27204393947169986</c:v>
                </c:pt>
                <c:pt idx="27">
                  <c:v>0.26519069701482278</c:v>
                </c:pt>
                <c:pt idx="28">
                  <c:v>0.25742941215852411</c:v>
                </c:pt>
                <c:pt idx="29">
                  <c:v>0.25278102682000902</c:v>
                </c:pt>
                <c:pt idx="30">
                  <c:v>0.24975869238631088</c:v>
                </c:pt>
                <c:pt idx="31">
                  <c:v>0.24705158390213544</c:v>
                </c:pt>
                <c:pt idx="32">
                  <c:v>0.24560128509808182</c:v>
                </c:pt>
                <c:pt idx="33">
                  <c:v>0.24428705332393957</c:v>
                </c:pt>
                <c:pt idx="34">
                  <c:v>0.24350838272366304</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1.4634640594468198E-2</c:v>
                </c:pt>
                <c:pt idx="6">
                  <c:v>3.8002939058341324E-2</c:v>
                </c:pt>
                <c:pt idx="7">
                  <c:v>8.4956996440775062E-2</c:v>
                </c:pt>
                <c:pt idx="8">
                  <c:v>0.1608554908862061</c:v>
                </c:pt>
                <c:pt idx="9">
                  <c:v>0.23578735171149817</c:v>
                </c:pt>
                <c:pt idx="10">
                  <c:v>0.30536775405491495</c:v>
                </c:pt>
                <c:pt idx="11">
                  <c:v>0.35163270700875637</c:v>
                </c:pt>
                <c:pt idx="12">
                  <c:v>0.37578127012294682</c:v>
                </c:pt>
                <c:pt idx="13">
                  <c:v>0.39533666220746277</c:v>
                </c:pt>
                <c:pt idx="14">
                  <c:v>0.40726897175820909</c:v>
                </c:pt>
                <c:pt idx="15">
                  <c:v>0.40990174154833692</c:v>
                </c:pt>
                <c:pt idx="16">
                  <c:v>0.40890725412529971</c:v>
                </c:pt>
                <c:pt idx="17">
                  <c:v>0.40564894353909908</c:v>
                </c:pt>
                <c:pt idx="18">
                  <c:v>0.39810064548787327</c:v>
                </c:pt>
                <c:pt idx="19">
                  <c:v>0.38515300627467541</c:v>
                </c:pt>
                <c:pt idx="20">
                  <c:v>0.38241849702169561</c:v>
                </c:pt>
                <c:pt idx="21">
                  <c:v>0.37713489895109847</c:v>
                </c:pt>
                <c:pt idx="22">
                  <c:v>0.35015158449090372</c:v>
                </c:pt>
                <c:pt idx="23">
                  <c:v>0.31996189758991134</c:v>
                </c:pt>
                <c:pt idx="24">
                  <c:v>0.29975344811056259</c:v>
                </c:pt>
                <c:pt idx="25">
                  <c:v>0.28430767472507351</c:v>
                </c:pt>
                <c:pt idx="26">
                  <c:v>0.2716769478453826</c:v>
                </c:pt>
                <c:pt idx="27">
                  <c:v>0.2647605314044868</c:v>
                </c:pt>
                <c:pt idx="28">
                  <c:v>0.25710114859450783</c:v>
                </c:pt>
                <c:pt idx="29">
                  <c:v>0.2524802215979951</c:v>
                </c:pt>
                <c:pt idx="30">
                  <c:v>0.2491033214716557</c:v>
                </c:pt>
                <c:pt idx="31">
                  <c:v>0.24694088393795532</c:v>
                </c:pt>
                <c:pt idx="32">
                  <c:v>0.24549123499019135</c:v>
                </c:pt>
                <c:pt idx="33">
                  <c:v>0.24417759210282336</c:v>
                </c:pt>
                <c:pt idx="34">
                  <c:v>0.2433992704127064</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2.7412834516592536E-4</c:v>
                </c:pt>
                <c:pt idx="16">
                  <c:v>3.2545488363185399E-3</c:v>
                </c:pt>
                <c:pt idx="17">
                  <c:v>1.1502994494801525E-2</c:v>
                </c:pt>
                <c:pt idx="18">
                  <c:v>2.8015424401337488E-2</c:v>
                </c:pt>
                <c:pt idx="19">
                  <c:v>5.6866348876356686E-2</c:v>
                </c:pt>
                <c:pt idx="20">
                  <c:v>6.8091705589355705E-2</c:v>
                </c:pt>
                <c:pt idx="21">
                  <c:v>7.3508729426483288E-2</c:v>
                </c:pt>
                <c:pt idx="22">
                  <c:v>7.8854859860422566E-2</c:v>
                </c:pt>
                <c:pt idx="23">
                  <c:v>8.867353238670761E-2</c:v>
                </c:pt>
                <c:pt idx="24">
                  <c:v>0.10540194675940193</c:v>
                </c:pt>
                <c:pt idx="25">
                  <c:v>0.1236426054214623</c:v>
                </c:pt>
                <c:pt idx="26">
                  <c:v>0.14848927417333604</c:v>
                </c:pt>
                <c:pt idx="27">
                  <c:v>0.17627551136997566</c:v>
                </c:pt>
                <c:pt idx="28">
                  <c:v>0.19827888119883152</c:v>
                </c:pt>
                <c:pt idx="29">
                  <c:v>0.2124500921710227</c:v>
                </c:pt>
                <c:pt idx="30">
                  <c:v>0.22183090189991073</c:v>
                </c:pt>
                <c:pt idx="31">
                  <c:v>0.22627348521594687</c:v>
                </c:pt>
                <c:pt idx="32">
                  <c:v>0.23112915556558131</c:v>
                </c:pt>
                <c:pt idx="33">
                  <c:v>0.23253207737344328</c:v>
                </c:pt>
                <c:pt idx="34">
                  <c:v>0.23321351442539434</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1.5085652543650938E-3</c:v>
                </c:pt>
                <c:pt idx="28">
                  <c:v>6.3031112927196941E-3</c:v>
                </c:pt>
                <c:pt idx="29">
                  <c:v>1.1906212450235988E-2</c:v>
                </c:pt>
                <c:pt idx="30">
                  <c:v>1.6110646323116609E-2</c:v>
                </c:pt>
                <c:pt idx="31">
                  <c:v>1.9381078207382718E-2</c:v>
                </c:pt>
                <c:pt idx="32">
                  <c:v>2.1240570505185727E-2</c:v>
                </c:pt>
                <c:pt idx="33">
                  <c:v>2.2857102172844129E-2</c:v>
                </c:pt>
                <c:pt idx="34">
                  <c:v>2.4421804158157548E-2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8.4001704545580399E-7</c:v>
                </c:pt>
                <c:pt idx="21">
                  <c:v>5.156616539716611E-3</c:v>
                </c:pt>
                <c:pt idx="22">
                  <c:v>5.4058225384865405E-2</c:v>
                </c:pt>
                <c:pt idx="23">
                  <c:v>0.10463289829574964</c:v>
                </c:pt>
                <c:pt idx="24">
                  <c:v>0.12994840946182645</c:v>
                </c:pt>
                <c:pt idx="25">
                  <c:v>0.14261215021663537</c:v>
                </c:pt>
                <c:pt idx="26">
                  <c:v>0.14928392022041656</c:v>
                </c:pt>
                <c:pt idx="27">
                  <c:v>0.15878732790258981</c:v>
                </c:pt>
                <c:pt idx="28">
                  <c:v>0.1624571621998063</c:v>
                </c:pt>
                <c:pt idx="29">
                  <c:v>0.16788140644671917</c:v>
                </c:pt>
                <c:pt idx="30">
                  <c:v>0.17061642287658058</c:v>
                </c:pt>
                <c:pt idx="31">
                  <c:v>0.17322813809225088</c:v>
                </c:pt>
                <c:pt idx="32">
                  <c:v>0.17823523189690466</c:v>
                </c:pt>
                <c:pt idx="33">
                  <c:v>0.18346968431753607</c:v>
                </c:pt>
                <c:pt idx="34">
                  <c:v>0.18717902729107039</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1.3515518599748401E-2</c:v>
                </c:pt>
                <c:pt idx="7">
                  <c:v>3.280191027318613E-2</c:v>
                </c:pt>
                <c:pt idx="8">
                  <c:v>6.5339523550472497E-2</c:v>
                </c:pt>
                <c:pt idx="9">
                  <c:v>7.8052861052232608E-2</c:v>
                </c:pt>
                <c:pt idx="10">
                  <c:v>0.11105697750492893</c:v>
                </c:pt>
                <c:pt idx="11">
                  <c:v>0.13382725559426678</c:v>
                </c:pt>
                <c:pt idx="12">
                  <c:v>0.15619173753521015</c:v>
                </c:pt>
                <c:pt idx="13">
                  <c:v>0.16648739574916838</c:v>
                </c:pt>
                <c:pt idx="14">
                  <c:v>0.17345029603653339</c:v>
                </c:pt>
                <c:pt idx="15">
                  <c:v>0.17347244738073697</c:v>
                </c:pt>
                <c:pt idx="16">
                  <c:v>0.17433492674083162</c:v>
                </c:pt>
                <c:pt idx="17">
                  <c:v>0.17643716877605919</c:v>
                </c:pt>
                <c:pt idx="18">
                  <c:v>0.17533645554890201</c:v>
                </c:pt>
                <c:pt idx="19">
                  <c:v>0.17495842456174648</c:v>
                </c:pt>
                <c:pt idx="20">
                  <c:v>0.17703095099945329</c:v>
                </c:pt>
                <c:pt idx="21">
                  <c:v>0.17616240986801313</c:v>
                </c:pt>
                <c:pt idx="22">
                  <c:v>0.17821588878501876</c:v>
                </c:pt>
                <c:pt idx="23">
                  <c:v>0.17945192098240545</c:v>
                </c:pt>
                <c:pt idx="24">
                  <c:v>0.1785003647330988</c:v>
                </c:pt>
                <c:pt idx="25">
                  <c:v>0.17566699388049845</c:v>
                </c:pt>
                <c:pt idx="26">
                  <c:v>0.17046989119865791</c:v>
                </c:pt>
                <c:pt idx="27">
                  <c:v>0.16363833419703974</c:v>
                </c:pt>
                <c:pt idx="28">
                  <c:v>0.15610092197340886</c:v>
                </c:pt>
                <c:pt idx="29">
                  <c:v>0.14775832465823147</c:v>
                </c:pt>
                <c:pt idx="30">
                  <c:v>0.14202905235936694</c:v>
                </c:pt>
                <c:pt idx="31">
                  <c:v>0.13632263378628443</c:v>
                </c:pt>
                <c:pt idx="32">
                  <c:v>0.13373446136807016</c:v>
                </c:pt>
                <c:pt idx="33">
                  <c:v>0.13301093832183283</c:v>
                </c:pt>
                <c:pt idx="34">
                  <c:v>0.13217153900859055</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1.541905612259044E-2</c:v>
                </c:pt>
                <c:pt idx="7">
                  <c:v>3.58885101388383E-2</c:v>
                </c:pt>
                <c:pt idx="8">
                  <c:v>6.928398392686777E-2</c:v>
                </c:pt>
                <c:pt idx="9">
                  <c:v>0.11058279215396324</c:v>
                </c:pt>
                <c:pt idx="10">
                  <c:v>0.17495934965708332</c:v>
                </c:pt>
                <c:pt idx="11">
                  <c:v>0.21188062850585943</c:v>
                </c:pt>
                <c:pt idx="12">
                  <c:v>0.233982227466492</c:v>
                </c:pt>
                <c:pt idx="13">
                  <c:v>0.23748741566907439</c:v>
                </c:pt>
                <c:pt idx="14">
                  <c:v>0.23849206177514803</c:v>
                </c:pt>
                <c:pt idx="15">
                  <c:v>0.23574942891657152</c:v>
                </c:pt>
                <c:pt idx="16">
                  <c:v>0.24553718883674208</c:v>
                </c:pt>
                <c:pt idx="17">
                  <c:v>0.2416981613018726</c:v>
                </c:pt>
                <c:pt idx="18">
                  <c:v>0.2406267113811808</c:v>
                </c:pt>
                <c:pt idx="19">
                  <c:v>0.23873639368503896</c:v>
                </c:pt>
                <c:pt idx="20">
                  <c:v>0.24136204134654748</c:v>
                </c:pt>
                <c:pt idx="21">
                  <c:v>0.24162019452354072</c:v>
                </c:pt>
                <c:pt idx="22">
                  <c:v>0.23787866883381403</c:v>
                </c:pt>
                <c:pt idx="23">
                  <c:v>0.2474393369703369</c:v>
                </c:pt>
                <c:pt idx="24">
                  <c:v>0.24340563154774969</c:v>
                </c:pt>
                <c:pt idx="25">
                  <c:v>0.24026803582211381</c:v>
                </c:pt>
                <c:pt idx="26">
                  <c:v>0.23437438610548242</c:v>
                </c:pt>
                <c:pt idx="27">
                  <c:v>0.22569654259900884</c:v>
                </c:pt>
                <c:pt idx="28">
                  <c:v>0.214861305491863</c:v>
                </c:pt>
                <c:pt idx="29">
                  <c:v>0.20218521777128542</c:v>
                </c:pt>
                <c:pt idx="30">
                  <c:v>0.19323928177006577</c:v>
                </c:pt>
                <c:pt idx="31">
                  <c:v>0.1814395064134689</c:v>
                </c:pt>
                <c:pt idx="32">
                  <c:v>0.17747907107922511</c:v>
                </c:pt>
                <c:pt idx="33">
                  <c:v>0.17625127514752736</c:v>
                </c:pt>
                <c:pt idx="34">
                  <c:v>0.17499259083154362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2.0931375246318511E-3</c:v>
                </c:pt>
                <c:pt idx="7">
                  <c:v>6.8435620976144418E-3</c:v>
                </c:pt>
                <c:pt idx="8">
                  <c:v>1.9190565390627103E-2</c:v>
                </c:pt>
                <c:pt idx="9">
                  <c:v>4.3569706013330073E-2</c:v>
                </c:pt>
                <c:pt idx="10">
                  <c:v>6.9369406069800743E-2</c:v>
                </c:pt>
                <c:pt idx="11">
                  <c:v>9.2242160722989866E-2</c:v>
                </c:pt>
                <c:pt idx="12">
                  <c:v>0.10870297793477782</c:v>
                </c:pt>
                <c:pt idx="13">
                  <c:v>0.12380060503683901</c:v>
                </c:pt>
                <c:pt idx="14">
                  <c:v>0.13061350865748439</c:v>
                </c:pt>
                <c:pt idx="15">
                  <c:v>0.13368788896175254</c:v>
                </c:pt>
                <c:pt idx="16">
                  <c:v>0.13476914060235012</c:v>
                </c:pt>
                <c:pt idx="17">
                  <c:v>0.13377000745235562</c:v>
                </c:pt>
                <c:pt idx="18">
                  <c:v>0.13249989333622131</c:v>
                </c:pt>
                <c:pt idx="19">
                  <c:v>0.13285325442240351</c:v>
                </c:pt>
                <c:pt idx="20">
                  <c:v>0.12941424769826015</c:v>
                </c:pt>
                <c:pt idx="21">
                  <c:v>0.12951617092175005</c:v>
                </c:pt>
                <c:pt idx="22">
                  <c:v>0.12895176223526522</c:v>
                </c:pt>
                <c:pt idx="23">
                  <c:v>0.12887228063649467</c:v>
                </c:pt>
                <c:pt idx="24">
                  <c:v>0.12905607771665834</c:v>
                </c:pt>
                <c:pt idx="25">
                  <c:v>0.12664219191353712</c:v>
                </c:pt>
                <c:pt idx="26">
                  <c:v>0.1223683507530027</c:v>
                </c:pt>
                <c:pt idx="27">
                  <c:v>0.11716355517533553</c:v>
                </c:pt>
                <c:pt idx="28">
                  <c:v>0.11201855730417795</c:v>
                </c:pt>
                <c:pt idx="29">
                  <c:v>0.10675544872112339</c:v>
                </c:pt>
                <c:pt idx="30">
                  <c:v>0.10328053891846496</c:v>
                </c:pt>
                <c:pt idx="31">
                  <c:v>9.9419312222853995E-2</c:v>
                </c:pt>
                <c:pt idx="32">
                  <c:v>9.7887134931774991E-2</c:v>
                </c:pt>
                <c:pt idx="33">
                  <c:v>9.7497314558256137E-2</c:v>
                </c:pt>
                <c:pt idx="34">
                  <c:v>9.6948918523070221E-2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2.4076000682344484E-7</c:v>
                </c:pt>
                <c:pt idx="10">
                  <c:v>5.8264632806058969E-6</c:v>
                </c:pt>
                <c:pt idx="11">
                  <c:v>8.747163619574126E-5</c:v>
                </c:pt>
                <c:pt idx="12">
                  <c:v>5.1271172495559925E-4</c:v>
                </c:pt>
                <c:pt idx="13">
                  <c:v>2.14960927370598E-3</c:v>
                </c:pt>
                <c:pt idx="14">
                  <c:v>4.8616235573780871E-3</c:v>
                </c:pt>
                <c:pt idx="15">
                  <c:v>6.892808887087095E-3</c:v>
                </c:pt>
                <c:pt idx="16">
                  <c:v>9.2860665891862752E-3</c:v>
                </c:pt>
                <c:pt idx="17">
                  <c:v>1.2346934844248529E-2</c:v>
                </c:pt>
                <c:pt idx="18">
                  <c:v>1.5946802909822179E-2</c:v>
                </c:pt>
                <c:pt idx="19">
                  <c:v>2.1112633935323769E-2</c:v>
                </c:pt>
                <c:pt idx="20">
                  <c:v>2.2786945862369165E-2</c:v>
                </c:pt>
                <c:pt idx="21">
                  <c:v>2.327555575197118E-2</c:v>
                </c:pt>
                <c:pt idx="22">
                  <c:v>2.5339894059724533E-2</c:v>
                </c:pt>
                <c:pt idx="23">
                  <c:v>2.7660831609307282E-2</c:v>
                </c:pt>
                <c:pt idx="24">
                  <c:v>3.0846747530192536E-2</c:v>
                </c:pt>
                <c:pt idx="25">
                  <c:v>3.5825016083753276E-2</c:v>
                </c:pt>
                <c:pt idx="26">
                  <c:v>4.3807487134174691E-2</c:v>
                </c:pt>
                <c:pt idx="27">
                  <c:v>5.4268068202002459E-2</c:v>
                </c:pt>
                <c:pt idx="28">
                  <c:v>6.6237923522397352E-2</c:v>
                </c:pt>
                <c:pt idx="29">
                  <c:v>7.9186697000123915E-2</c:v>
                </c:pt>
                <c:pt idx="30">
                  <c:v>8.7751216664754217E-2</c:v>
                </c:pt>
                <c:pt idx="31">
                  <c:v>8.9509506874417444E-2</c:v>
                </c:pt>
                <c:pt idx="32">
                  <c:v>9.234049253243834E-2</c:v>
                </c:pt>
                <c:pt idx="33">
                  <c:v>9.188057711760228E-2</c:v>
                </c:pt>
                <c:pt idx="34">
                  <c:v>9.2524822314817262E-2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8.7453803977802377E-6</c:v>
                </c:pt>
                <c:pt idx="20">
                  <c:v>5.1808214779186301E-5</c:v>
                </c:pt>
                <c:pt idx="21">
                  <c:v>7.7687607602597755E-5</c:v>
                </c:pt>
                <c:pt idx="22">
                  <c:v>2.6802109968911185E-4</c:v>
                </c:pt>
                <c:pt idx="23">
                  <c:v>8.3326041373082364E-4</c:v>
                </c:pt>
                <c:pt idx="24">
                  <c:v>2.4491161857160761E-3</c:v>
                </c:pt>
                <c:pt idx="25">
                  <c:v>5.8558129897899559E-3</c:v>
                </c:pt>
                <c:pt idx="26">
                  <c:v>1.3365055714644674E-2</c:v>
                </c:pt>
                <c:pt idx="27">
                  <c:v>2.3618686025583507E-2</c:v>
                </c:pt>
                <c:pt idx="28">
                  <c:v>3.5039404873947931E-2</c:v>
                </c:pt>
                <c:pt idx="29">
                  <c:v>4.8372427084264411E-2</c:v>
                </c:pt>
                <c:pt idx="30">
                  <c:v>5.7958026283605232E-2</c:v>
                </c:pt>
                <c:pt idx="31">
                  <c:v>6.4074219634075363E-2</c:v>
                </c:pt>
                <c:pt idx="32">
                  <c:v>6.9324019019591537E-2</c:v>
                </c:pt>
                <c:pt idx="33">
                  <c:v>7.2066500461393082E-2</c:v>
                </c:pt>
                <c:pt idx="34">
                  <c:v>7.4068734928589994E-2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64499.453005461524</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39194.548539918811</c:v>
                </c:pt>
                <c:pt idx="20">
                  <c:v>39130.51198355532</c:v>
                </c:pt>
                <c:pt idx="21">
                  <c:v>39130.411882809291</c:v>
                </c:pt>
                <c:pt idx="22">
                  <c:v>39130.375057736273</c:v>
                </c:pt>
                <c:pt idx="23">
                  <c:v>39130.361510539107</c:v>
                </c:pt>
                <c:pt idx="24">
                  <c:v>39130.356526803225</c:v>
                </c:pt>
                <c:pt idx="25">
                  <c:v>39130.354693388916</c:v>
                </c:pt>
                <c:pt idx="26">
                  <c:v>39194.121798840446</c:v>
                </c:pt>
                <c:pt idx="27">
                  <c:v>39031.38887532473</c:v>
                </c:pt>
                <c:pt idx="28">
                  <c:v>39031.38887532505</c:v>
                </c:pt>
                <c:pt idx="29">
                  <c:v>39031.388875324657</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115603.51629254765</c:v>
                </c:pt>
                <c:pt idx="20">
                  <c:v>115259.49992828314</c:v>
                </c:pt>
                <c:pt idx="21">
                  <c:v>115175.77108564437</c:v>
                </c:pt>
                <c:pt idx="22">
                  <c:v>114934.64362731772</c:v>
                </c:pt>
                <c:pt idx="23">
                  <c:v>114648.65131559822</c:v>
                </c:pt>
                <c:pt idx="24">
                  <c:v>114503.6629196407</c:v>
                </c:pt>
                <c:pt idx="25">
                  <c:v>114617.53035710636</c:v>
                </c:pt>
                <c:pt idx="26">
                  <c:v>114772.78923168765</c:v>
                </c:pt>
                <c:pt idx="27">
                  <c:v>115020.1502990898</c:v>
                </c:pt>
                <c:pt idx="28">
                  <c:v>115133.33841333387</c:v>
                </c:pt>
                <c:pt idx="29">
                  <c:v>115244.87472631985</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116233.97662521947</c:v>
                </c:pt>
                <c:pt idx="20">
                  <c:v>115922.85204840635</c:v>
                </c:pt>
                <c:pt idx="21">
                  <c:v>115848.10713780172</c:v>
                </c:pt>
                <c:pt idx="22">
                  <c:v>115521.51444809551</c:v>
                </c:pt>
                <c:pt idx="23">
                  <c:v>115249.98548649713</c:v>
                </c:pt>
                <c:pt idx="24">
                  <c:v>115223.53254616749</c:v>
                </c:pt>
                <c:pt idx="25">
                  <c:v>115360.65079176985</c:v>
                </c:pt>
                <c:pt idx="26">
                  <c:v>115505.33564703359</c:v>
                </c:pt>
                <c:pt idx="27">
                  <c:v>115629.78052810077</c:v>
                </c:pt>
                <c:pt idx="28">
                  <c:v>115747.24627785991</c:v>
                </c:pt>
                <c:pt idx="29">
                  <c:v>115862.76241814088</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124888.01321356466</c:v>
                </c:pt>
                <c:pt idx="20">
                  <c:v>124521.47128514711</c:v>
                </c:pt>
                <c:pt idx="21">
                  <c:v>124139.69674384771</c:v>
                </c:pt>
                <c:pt idx="22">
                  <c:v>124184.96266868309</c:v>
                </c:pt>
                <c:pt idx="23">
                  <c:v>124021.27587058033</c:v>
                </c:pt>
                <c:pt idx="24">
                  <c:v>124189.29505987938</c:v>
                </c:pt>
                <c:pt idx="25">
                  <c:v>124417.00174707049</c:v>
                </c:pt>
                <c:pt idx="26">
                  <c:v>124744.7469234848</c:v>
                </c:pt>
                <c:pt idx="27">
                  <c:v>124886.07638546756</c:v>
                </c:pt>
                <c:pt idx="28">
                  <c:v>124968.6333926021</c:v>
                </c:pt>
                <c:pt idx="29">
                  <c:v>125003.6800400662</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222658.56529370465</c:v>
                </c:pt>
                <c:pt idx="20">
                  <c:v>216251.78362592746</c:v>
                </c:pt>
                <c:pt idx="21">
                  <c:v>198961.72278407964</c:v>
                </c:pt>
                <c:pt idx="22">
                  <c:v>166151.11660217994</c:v>
                </c:pt>
                <c:pt idx="23">
                  <c:v>143674.91636210261</c:v>
                </c:pt>
                <c:pt idx="24">
                  <c:v>133651.8378622242</c:v>
                </c:pt>
                <c:pt idx="25">
                  <c:v>127992.03547609372</c:v>
                </c:pt>
                <c:pt idx="26">
                  <c:v>125490.65565902845</c:v>
                </c:pt>
                <c:pt idx="27">
                  <c:v>124564.36089654472</c:v>
                </c:pt>
                <c:pt idx="28">
                  <c:v>123865.41603409349</c:v>
                </c:pt>
                <c:pt idx="29">
                  <c:v>123525.16407661616</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172085.07054878029</c:v>
                </c:pt>
                <c:pt idx="20">
                  <c:v>140374.21078178182</c:v>
                </c:pt>
                <c:pt idx="21">
                  <c:v>129993.5759798483</c:v>
                </c:pt>
                <c:pt idx="22">
                  <c:v>123636.26095347434</c:v>
                </c:pt>
                <c:pt idx="23">
                  <c:v>120604.29398985575</c:v>
                </c:pt>
                <c:pt idx="24">
                  <c:v>118369.91099000696</c:v>
                </c:pt>
                <c:pt idx="25">
                  <c:v>117100.71601166911</c:v>
                </c:pt>
                <c:pt idx="26">
                  <c:v>116944.73608384046</c:v>
                </c:pt>
                <c:pt idx="27">
                  <c:v>116548.05982225464</c:v>
                </c:pt>
                <c:pt idx="28">
                  <c:v>116081.80956154384</c:v>
                </c:pt>
                <c:pt idx="29">
                  <c:v>115752.32769664728</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76619.892231657039</c:v>
                </c:pt>
                <c:pt idx="2">
                  <c:v>76032.474145082335</c:v>
                </c:pt>
                <c:pt idx="3">
                  <c:v>74139.113220373416</c:v>
                </c:pt>
                <c:pt idx="4">
                  <c:v>68027.918467592666</c:v>
                </c:pt>
                <c:pt idx="5">
                  <c:v>61189.977771222664</c:v>
                </c:pt>
                <c:pt idx="6">
                  <c:v>54026.472674599499</c:v>
                </c:pt>
                <c:pt idx="7">
                  <c:v>48184.216580605549</c:v>
                </c:pt>
                <c:pt idx="8">
                  <c:v>44898.854214139363</c:v>
                </c:pt>
                <c:pt idx="9">
                  <c:v>42265.918610499531</c:v>
                </c:pt>
                <c:pt idx="10">
                  <c:v>39987.743964506793</c:v>
                </c:pt>
                <c:pt idx="11">
                  <c:v>39783.038561861795</c:v>
                </c:pt>
                <c:pt idx="12">
                  <c:v>39740.539048784653</c:v>
                </c:pt>
                <c:pt idx="13">
                  <c:v>39479.841651545517</c:v>
                </c:pt>
                <c:pt idx="14">
                  <c:v>39471.299671386878</c:v>
                </c:pt>
                <c:pt idx="15">
                  <c:v>39169.882383212716</c:v>
                </c:pt>
                <c:pt idx="16">
                  <c:v>38887.370143293287</c:v>
                </c:pt>
                <c:pt idx="17">
                  <c:v>38886.921592620092</c:v>
                </c:pt>
                <c:pt idx="18">
                  <c:v>38886.75657739157</c:v>
                </c:pt>
                <c:pt idx="19">
                  <c:v>38886.695871321856</c:v>
                </c:pt>
                <c:pt idx="20">
                  <c:v>38601.025336530569</c:v>
                </c:pt>
                <c:pt idx="21">
                  <c:v>38601.017027729649</c:v>
                </c:pt>
                <c:pt idx="22">
                  <c:v>38207.701131976624</c:v>
                </c:pt>
                <c:pt idx="23">
                  <c:v>36032.128464588495</c:v>
                </c:pt>
                <c:pt idx="24">
                  <c:v>34868.785508382411</c:v>
                </c:pt>
                <c:pt idx="25">
                  <c:v>33805.919333139813</c:v>
                </c:pt>
                <c:pt idx="26">
                  <c:v>33252.397991137899</c:v>
                </c:pt>
                <c:pt idx="27">
                  <c:v>33117.586211237802</c:v>
                </c:pt>
                <c:pt idx="28">
                  <c:v>32908.3369167274</c:v>
                </c:pt>
                <c:pt idx="29">
                  <c:v>33030.882176448111</c:v>
                </c:pt>
                <c:pt idx="30">
                  <c:v>33643.752172415538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90532.901112181164</c:v>
                </c:pt>
                <c:pt idx="2">
                  <c:v>86192.610935490244</c:v>
                </c:pt>
                <c:pt idx="3">
                  <c:v>83807.027263474432</c:v>
                </c:pt>
                <c:pt idx="4">
                  <c:v>99151.446387871358</c:v>
                </c:pt>
                <c:pt idx="5">
                  <c:v>106084.13042744042</c:v>
                </c:pt>
                <c:pt idx="6">
                  <c:v>103163.29142603854</c:v>
                </c:pt>
                <c:pt idx="7">
                  <c:v>101301.43946926644</c:v>
                </c:pt>
                <c:pt idx="8">
                  <c:v>99744.477566847156</c:v>
                </c:pt>
                <c:pt idx="9">
                  <c:v>98253.378500517647</c:v>
                </c:pt>
                <c:pt idx="10">
                  <c:v>96917.580295401509</c:v>
                </c:pt>
                <c:pt idx="11">
                  <c:v>96708.139435058329</c:v>
                </c:pt>
                <c:pt idx="12">
                  <c:v>96394.491488543761</c:v>
                </c:pt>
                <c:pt idx="13">
                  <c:v>95761.817609142076</c:v>
                </c:pt>
                <c:pt idx="14">
                  <c:v>95034.797454408559</c:v>
                </c:pt>
                <c:pt idx="15">
                  <c:v>93605.866990802009</c:v>
                </c:pt>
                <c:pt idx="16">
                  <c:v>92724.312117354857</c:v>
                </c:pt>
                <c:pt idx="17">
                  <c:v>92293.279130148061</c:v>
                </c:pt>
                <c:pt idx="18">
                  <c:v>90570.493072983736</c:v>
                </c:pt>
                <c:pt idx="19">
                  <c:v>89977.688505254628</c:v>
                </c:pt>
                <c:pt idx="20">
                  <c:v>90390.944080082234</c:v>
                </c:pt>
                <c:pt idx="21">
                  <c:v>91101.864506434402</c:v>
                </c:pt>
                <c:pt idx="22">
                  <c:v>91539.772600173295</c:v>
                </c:pt>
                <c:pt idx="23">
                  <c:v>91599.530702170203</c:v>
                </c:pt>
                <c:pt idx="24">
                  <c:v>92601.940152097071</c:v>
                </c:pt>
                <c:pt idx="25">
                  <c:v>93339.075970340506</c:v>
                </c:pt>
                <c:pt idx="26">
                  <c:v>93681.03856895896</c:v>
                </c:pt>
                <c:pt idx="27">
                  <c:v>93891.480607486621</c:v>
                </c:pt>
                <c:pt idx="28">
                  <c:v>93828.563334938823</c:v>
                </c:pt>
                <c:pt idx="29">
                  <c:v>93876.776888936423</c:v>
                </c:pt>
                <c:pt idx="30">
                  <c:v>93921.036825914693</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83900.875526986332</c:v>
                </c:pt>
                <c:pt idx="2">
                  <c:v>90511.304323235861</c:v>
                </c:pt>
                <c:pt idx="3">
                  <c:v>103405.31754280279</c:v>
                </c:pt>
                <c:pt idx="4">
                  <c:v>107762.01575616343</c:v>
                </c:pt>
                <c:pt idx="5">
                  <c:v>107457.80783443533</c:v>
                </c:pt>
                <c:pt idx="6">
                  <c:v>104599.88605866068</c:v>
                </c:pt>
                <c:pt idx="7">
                  <c:v>102100.96201134604</c:v>
                </c:pt>
                <c:pt idx="8">
                  <c:v>100369.73792561234</c:v>
                </c:pt>
                <c:pt idx="9">
                  <c:v>98345.080816118279</c:v>
                </c:pt>
                <c:pt idx="10">
                  <c:v>97171.243260529154</c:v>
                </c:pt>
                <c:pt idx="11">
                  <c:v>96827.947803402232</c:v>
                </c:pt>
                <c:pt idx="12">
                  <c:v>96520.629031683115</c:v>
                </c:pt>
                <c:pt idx="13">
                  <c:v>95907.472653586403</c:v>
                </c:pt>
                <c:pt idx="14">
                  <c:v>95034.797454408559</c:v>
                </c:pt>
                <c:pt idx="15">
                  <c:v>93675.620311113336</c:v>
                </c:pt>
                <c:pt idx="16">
                  <c:v>92860.032429817089</c:v>
                </c:pt>
                <c:pt idx="17">
                  <c:v>92429.321300863172</c:v>
                </c:pt>
                <c:pt idx="18">
                  <c:v>90570.493072983692</c:v>
                </c:pt>
                <c:pt idx="19">
                  <c:v>89977.688505254613</c:v>
                </c:pt>
                <c:pt idx="20">
                  <c:v>90370.291408008095</c:v>
                </c:pt>
                <c:pt idx="21">
                  <c:v>91080.875224712217</c:v>
                </c:pt>
                <c:pt idx="22">
                  <c:v>91672.890079863602</c:v>
                </c:pt>
                <c:pt idx="23">
                  <c:v>91783.947209204023</c:v>
                </c:pt>
                <c:pt idx="24">
                  <c:v>92749.818813966835</c:v>
                </c:pt>
                <c:pt idx="25">
                  <c:v>93474.366994281372</c:v>
                </c:pt>
                <c:pt idx="26">
                  <c:v>93643.217295858805</c:v>
                </c:pt>
                <c:pt idx="27">
                  <c:v>93891.480607486621</c:v>
                </c:pt>
                <c:pt idx="28">
                  <c:v>93828.563334938808</c:v>
                </c:pt>
                <c:pt idx="29">
                  <c:v>93876.776888936452</c:v>
                </c:pt>
                <c:pt idx="30">
                  <c:v>93921.036825914707</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220692.86645905749</c:v>
                </c:pt>
                <c:pt idx="12">
                  <c:v>214383.41559426425</c:v>
                </c:pt>
                <c:pt idx="13">
                  <c:v>196957.50764611439</c:v>
                </c:pt>
                <c:pt idx="14">
                  <c:v>174249.71255497739</c:v>
                </c:pt>
                <c:pt idx="15">
                  <c:v>154423.14056047978</c:v>
                </c:pt>
                <c:pt idx="16">
                  <c:v>148871.02049782008</c:v>
                </c:pt>
                <c:pt idx="17">
                  <c:v>145266.96185389478</c:v>
                </c:pt>
                <c:pt idx="18">
                  <c:v>138739.05070759141</c:v>
                </c:pt>
                <c:pt idx="19">
                  <c:v>132789.84916046547</c:v>
                </c:pt>
                <c:pt idx="20">
                  <c:v>126032.54462936753</c:v>
                </c:pt>
                <c:pt idx="21">
                  <c:v>119353.30851199357</c:v>
                </c:pt>
                <c:pt idx="22">
                  <c:v>111900.90721013592</c:v>
                </c:pt>
                <c:pt idx="23">
                  <c:v>103860.69434395597</c:v>
                </c:pt>
                <c:pt idx="24">
                  <c:v>97939.937124893564</c:v>
                </c:pt>
                <c:pt idx="25">
                  <c:v>93682.546430151648</c:v>
                </c:pt>
                <c:pt idx="26">
                  <c:v>90888.633285144999</c:v>
                </c:pt>
                <c:pt idx="27">
                  <c:v>89596.263268043054</c:v>
                </c:pt>
                <c:pt idx="28">
                  <c:v>88663.42952370242</c:v>
                </c:pt>
                <c:pt idx="29">
                  <c:v>88141.911897139391</c:v>
                </c:pt>
                <c:pt idx="30">
                  <c:v>87717.013967372885</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51385.078819258844</c:v>
                </c:pt>
                <c:pt idx="24">
                  <c:v>50193.097837930174</c:v>
                </c:pt>
                <c:pt idx="25">
                  <c:v>48102.995065913259</c:v>
                </c:pt>
                <c:pt idx="26">
                  <c:v>45972.902688984752</c:v>
                </c:pt>
                <c:pt idx="27">
                  <c:v>44646.083682093376</c:v>
                </c:pt>
                <c:pt idx="28">
                  <c:v>43976.944740015817</c:v>
                </c:pt>
                <c:pt idx="29">
                  <c:v>43636.795821524865</c:v>
                </c:pt>
                <c:pt idx="30">
                  <c:v>43003.45771118594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162542.47827007595</c:v>
                </c:pt>
                <c:pt idx="17">
                  <c:v>188442.45788777151</c:v>
                </c:pt>
                <c:pt idx="18">
                  <c:v>134333.3702935137</c:v>
                </c:pt>
                <c:pt idx="19">
                  <c:v>113329.45769859134</c:v>
                </c:pt>
                <c:pt idx="20">
                  <c:v>104175.75874236446</c:v>
                </c:pt>
                <c:pt idx="21">
                  <c:v>99117.35760089448</c:v>
                </c:pt>
                <c:pt idx="22">
                  <c:v>94551.409643869541</c:v>
                </c:pt>
                <c:pt idx="23">
                  <c:v>89262.817447241221</c:v>
                </c:pt>
                <c:pt idx="24">
                  <c:v>85905.856634704891</c:v>
                </c:pt>
                <c:pt idx="25">
                  <c:v>82578.706545755995</c:v>
                </c:pt>
                <c:pt idx="26">
                  <c:v>81708.793983536409</c:v>
                </c:pt>
                <c:pt idx="27">
                  <c:v>81026.944394479957</c:v>
                </c:pt>
                <c:pt idx="28">
                  <c:v>77953.788728480402</c:v>
                </c:pt>
                <c:pt idx="29">
                  <c:v>75685.506711161899</c:v>
                </c:pt>
                <c:pt idx="30">
                  <c:v>73423.518803162806</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27135.531627089549</c:v>
                </c:pt>
                <c:pt idx="16">
                  <c:v>26934.852978264855</c:v>
                </c:pt>
                <c:pt idx="17">
                  <c:v>26350.048149693652</c:v>
                </c:pt>
                <c:pt idx="18">
                  <c:v>24632.781290264025</c:v>
                </c:pt>
                <c:pt idx="19">
                  <c:v>22681.596529796465</c:v>
                </c:pt>
                <c:pt idx="20">
                  <c:v>20840.558257391051</c:v>
                </c:pt>
                <c:pt idx="21">
                  <c:v>19582.079657740738</c:v>
                </c:pt>
                <c:pt idx="22">
                  <c:v>18791.020662087078</c:v>
                </c:pt>
                <c:pt idx="23">
                  <c:v>18428.194952090227</c:v>
                </c:pt>
                <c:pt idx="24">
                  <c:v>18373.36031476469</c:v>
                </c:pt>
                <c:pt idx="25">
                  <c:v>18154.495122290082</c:v>
                </c:pt>
                <c:pt idx="26">
                  <c:v>18146.47906628573</c:v>
                </c:pt>
                <c:pt idx="27">
                  <c:v>18144.277529748899</c:v>
                </c:pt>
                <c:pt idx="28">
                  <c:v>18056.755522186802</c:v>
                </c:pt>
                <c:pt idx="29">
                  <c:v>17981.998963714181</c:v>
                </c:pt>
                <c:pt idx="30">
                  <c:v>17981.848461476009</c:v>
                </c:pt>
                <c:pt idx="31">
                  <c:v>17981.793093568329</c:v>
                </c:pt>
                <c:pt idx="32">
                  <c:v>17767.324661135968</c:v>
                </c:pt>
                <c:pt idx="33">
                  <c:v>17767.316838229261</c:v>
                </c:pt>
                <c:pt idx="34">
                  <c:v>17767.313960339459</c:v>
                </c:pt>
                <c:pt idx="35">
                  <c:v>17770.037675967178</c:v>
                </c:pt>
                <c:pt idx="36">
                  <c:v>17770.03728641992</c:v>
                </c:pt>
                <c:pt idx="37">
                  <c:v>17767.312368860501</c:v>
                </c:pt>
                <c:pt idx="38">
                  <c:v>17767.312316150081</c:v>
                </c:pt>
                <c:pt idx="39">
                  <c:v>17767.312296758999</c:v>
                </c:pt>
                <c:pt idx="40">
                  <c:v>17984.147578277938</c:v>
                </c:pt>
                <c:pt idx="41">
                  <c:v>17984.147578277942</c:v>
                </c:pt>
                <c:pt idx="42">
                  <c:v>17982.749120486536</c:v>
                </c:pt>
                <c:pt idx="43">
                  <c:v>17982.74912048654</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29413.498074128485</c:v>
                </c:pt>
                <c:pt idx="15">
                  <c:v>28842.611286415726</c:v>
                </c:pt>
                <c:pt idx="16">
                  <c:v>29114.148459672502</c:v>
                </c:pt>
                <c:pt idx="17">
                  <c:v>36550.989954219876</c:v>
                </c:pt>
                <c:pt idx="18">
                  <c:v>39633.707590859914</c:v>
                </c:pt>
                <c:pt idx="19">
                  <c:v>45319.513393259833</c:v>
                </c:pt>
                <c:pt idx="20">
                  <c:v>45268.941459021691</c:v>
                </c:pt>
                <c:pt idx="21">
                  <c:v>46508.359163755762</c:v>
                </c:pt>
                <c:pt idx="22">
                  <c:v>46143.925027453835</c:v>
                </c:pt>
                <c:pt idx="23">
                  <c:v>45974.908696250648</c:v>
                </c:pt>
                <c:pt idx="24">
                  <c:v>45568.695106268948</c:v>
                </c:pt>
                <c:pt idx="25">
                  <c:v>45125.046786422907</c:v>
                </c:pt>
                <c:pt idx="26">
                  <c:v>44965.181327331615</c:v>
                </c:pt>
                <c:pt idx="27">
                  <c:v>44691.635618349595</c:v>
                </c:pt>
                <c:pt idx="28">
                  <c:v>44554.460998798022</c:v>
                </c:pt>
                <c:pt idx="29">
                  <c:v>44521.875926625384</c:v>
                </c:pt>
                <c:pt idx="30">
                  <c:v>44180.024939402007</c:v>
                </c:pt>
                <c:pt idx="31">
                  <c:v>43873.810592955779</c:v>
                </c:pt>
                <c:pt idx="32">
                  <c:v>43658.762118482853</c:v>
                </c:pt>
                <c:pt idx="33">
                  <c:v>43458.643794399861</c:v>
                </c:pt>
                <c:pt idx="34">
                  <c:v>43182.323747418552</c:v>
                </c:pt>
                <c:pt idx="35">
                  <c:v>43056.632563509702</c:v>
                </c:pt>
                <c:pt idx="36">
                  <c:v>43273.386948227584</c:v>
                </c:pt>
                <c:pt idx="37">
                  <c:v>43827.026505198432</c:v>
                </c:pt>
                <c:pt idx="38">
                  <c:v>44343.419195962713</c:v>
                </c:pt>
                <c:pt idx="39">
                  <c:v>45043.07314690265</c:v>
                </c:pt>
                <c:pt idx="40">
                  <c:v>45337.488885755047</c:v>
                </c:pt>
                <c:pt idx="41">
                  <c:v>45448.611295506031</c:v>
                </c:pt>
                <c:pt idx="42">
                  <c:v>45515.489386297944</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31392.171602355473</c:v>
                </c:pt>
                <c:pt idx="7">
                  <c:v>31477.805683712155</c:v>
                </c:pt>
                <c:pt idx="8">
                  <c:v>33449.975860147235</c:v>
                </c:pt>
                <c:pt idx="9">
                  <c:v>40320.372890409955</c:v>
                </c:pt>
                <c:pt idx="10">
                  <c:v>39876.74656178648</c:v>
                </c:pt>
                <c:pt idx="11">
                  <c:v>40491.528607055538</c:v>
                </c:pt>
                <c:pt idx="12">
                  <c:v>40559.782462177332</c:v>
                </c:pt>
                <c:pt idx="13">
                  <c:v>41120.343061377163</c:v>
                </c:pt>
                <c:pt idx="14">
                  <c:v>40937.753214866767</c:v>
                </c:pt>
                <c:pt idx="15">
                  <c:v>41013.375887480077</c:v>
                </c:pt>
                <c:pt idx="16">
                  <c:v>40156.220507793543</c:v>
                </c:pt>
                <c:pt idx="17">
                  <c:v>40198.768720104352</c:v>
                </c:pt>
                <c:pt idx="18">
                  <c:v>40067.357936003857</c:v>
                </c:pt>
                <c:pt idx="19">
                  <c:v>40111.700963930605</c:v>
                </c:pt>
                <c:pt idx="20">
                  <c:v>39946.959709289025</c:v>
                </c:pt>
                <c:pt idx="21">
                  <c:v>39947.23895512028</c:v>
                </c:pt>
                <c:pt idx="22">
                  <c:v>40031.464511095197</c:v>
                </c:pt>
                <c:pt idx="23">
                  <c:v>39251.581680826443</c:v>
                </c:pt>
                <c:pt idx="24">
                  <c:v>39270.897495516518</c:v>
                </c:pt>
                <c:pt idx="25">
                  <c:v>39094.209771955204</c:v>
                </c:pt>
                <c:pt idx="26">
                  <c:v>38784.097972669035</c:v>
                </c:pt>
                <c:pt idx="27">
                  <c:v>38623.882223596069</c:v>
                </c:pt>
                <c:pt idx="28">
                  <c:v>38788.247425519483</c:v>
                </c:pt>
                <c:pt idx="29">
                  <c:v>39180.784051712042</c:v>
                </c:pt>
                <c:pt idx="30">
                  <c:v>39558.596512334356</c:v>
                </c:pt>
                <c:pt idx="31">
                  <c:v>40391.587878217244</c:v>
                </c:pt>
                <c:pt idx="32">
                  <c:v>40616.025986132991</c:v>
                </c:pt>
                <c:pt idx="33">
                  <c:v>40740.797782007758</c:v>
                </c:pt>
                <c:pt idx="34">
                  <c:v>40791.159957878874</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90537.158263561883</c:v>
                </c:pt>
                <c:pt idx="7">
                  <c:v>82730.892601805142</c:v>
                </c:pt>
                <c:pt idx="8">
                  <c:v>75664.496373470814</c:v>
                </c:pt>
                <c:pt idx="9">
                  <c:v>68642.177165138186</c:v>
                </c:pt>
                <c:pt idx="10">
                  <c:v>64655.471292060378</c:v>
                </c:pt>
                <c:pt idx="11">
                  <c:v>60233.4488516602</c:v>
                </c:pt>
                <c:pt idx="12">
                  <c:v>57346.946614514527</c:v>
                </c:pt>
                <c:pt idx="13">
                  <c:v>53886.988357373033</c:v>
                </c:pt>
                <c:pt idx="14">
                  <c:v>52133.088433489247</c:v>
                </c:pt>
                <c:pt idx="15">
                  <c:v>51232.400914145474</c:v>
                </c:pt>
                <c:pt idx="16">
                  <c:v>50804.460078802171</c:v>
                </c:pt>
                <c:pt idx="17">
                  <c:v>50504.666326426028</c:v>
                </c:pt>
                <c:pt idx="18">
                  <c:v>50304.225843155051</c:v>
                </c:pt>
                <c:pt idx="19">
                  <c:v>49616.298997497121</c:v>
                </c:pt>
                <c:pt idx="20">
                  <c:v>50318.168016286378</c:v>
                </c:pt>
                <c:pt idx="21">
                  <c:v>50285.178943858635</c:v>
                </c:pt>
                <c:pt idx="22">
                  <c:v>50103.586871123443</c:v>
                </c:pt>
                <c:pt idx="23">
                  <c:v>49728.591316854014</c:v>
                </c:pt>
                <c:pt idx="24">
                  <c:v>49145.002353504788</c:v>
                </c:pt>
                <c:pt idx="25">
                  <c:v>48950.032300175233</c:v>
                </c:pt>
                <c:pt idx="26">
                  <c:v>48715.767570383665</c:v>
                </c:pt>
                <c:pt idx="27">
                  <c:v>48684.535487656489</c:v>
                </c:pt>
                <c:pt idx="28">
                  <c:v>49029.707201094723</c:v>
                </c:pt>
                <c:pt idx="29">
                  <c:v>49729.373266222115</c:v>
                </c:pt>
                <c:pt idx="30">
                  <c:v>50354.005830591246</c:v>
                </c:pt>
                <c:pt idx="31">
                  <c:v>51548.078278727342</c:v>
                </c:pt>
                <c:pt idx="32">
                  <c:v>51891.755468381343</c:v>
                </c:pt>
                <c:pt idx="33">
                  <c:v>52010.795085295184</c:v>
                </c:pt>
                <c:pt idx="34">
                  <c:v>52103.122340875729</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225000</c:v>
                </c:pt>
                <c:pt idx="14">
                  <c:v>213935.09656851616</c:v>
                </c:pt>
                <c:pt idx="15">
                  <c:v>187968.9196932294</c:v>
                </c:pt>
                <c:pt idx="16">
                  <c:v>169174.00400780368</c:v>
                </c:pt>
                <c:pt idx="17">
                  <c:v>154553.04025790485</c:v>
                </c:pt>
                <c:pt idx="18">
                  <c:v>146608.31436427915</c:v>
                </c:pt>
                <c:pt idx="19">
                  <c:v>140855.9715870865</c:v>
                </c:pt>
                <c:pt idx="20">
                  <c:v>133989.76020584244</c:v>
                </c:pt>
                <c:pt idx="21">
                  <c:v>125463.94691805168</c:v>
                </c:pt>
                <c:pt idx="22">
                  <c:v>116846.5086150764</c:v>
                </c:pt>
                <c:pt idx="23">
                  <c:v>108144.88817523009</c:v>
                </c:pt>
                <c:pt idx="24">
                  <c:v>104783.67097259352</c:v>
                </c:pt>
                <c:pt idx="25">
                  <c:v>104045.1830804342</c:v>
                </c:pt>
                <c:pt idx="26">
                  <c:v>100506.66273517875</c:v>
                </c:pt>
                <c:pt idx="27">
                  <c:v>96793.927460026956</c:v>
                </c:pt>
                <c:pt idx="28">
                  <c:v>92040.751430208955</c:v>
                </c:pt>
                <c:pt idx="29">
                  <c:v>85410.085041708982</c:v>
                </c:pt>
                <c:pt idx="30">
                  <c:v>76243.089437299117</c:v>
                </c:pt>
                <c:pt idx="31">
                  <c:v>65780.082110782969</c:v>
                </c:pt>
                <c:pt idx="32">
                  <c:v>57280.956654976064</c:v>
                </c:pt>
                <c:pt idx="33">
                  <c:v>51453.924505425828</c:v>
                </c:pt>
                <c:pt idx="34">
                  <c:v>48809.990487540083</c:v>
                </c:pt>
                <c:pt idx="35">
                  <c:v>48490.047049952045</c:v>
                </c:pt>
                <c:pt idx="36">
                  <c:v>47972.058141388297</c:v>
                </c:pt>
                <c:pt idx="37">
                  <c:v>48091.287084636293</c:v>
                </c:pt>
                <c:pt idx="38">
                  <c:v>47910.83874386565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71616.088955397965</c:v>
                </c:pt>
                <c:pt idx="20">
                  <c:v>71616.088955397965</c:v>
                </c:pt>
                <c:pt idx="21">
                  <c:v>71616.08895539795</c:v>
                </c:pt>
                <c:pt idx="22">
                  <c:v>71593.209502998303</c:v>
                </c:pt>
                <c:pt idx="23">
                  <c:v>70944.441016989163</c:v>
                </c:pt>
                <c:pt idx="24">
                  <c:v>69320.065623162256</c:v>
                </c:pt>
                <c:pt idx="25">
                  <c:v>66169.850307955305</c:v>
                </c:pt>
                <c:pt idx="26">
                  <c:v>61674.670582508457</c:v>
                </c:pt>
                <c:pt idx="27">
                  <c:v>56459.070971754831</c:v>
                </c:pt>
                <c:pt idx="28">
                  <c:v>50386.042586611242</c:v>
                </c:pt>
                <c:pt idx="29">
                  <c:v>45388.949292329431</c:v>
                </c:pt>
                <c:pt idx="30">
                  <c:v>43045.618883402858</c:v>
                </c:pt>
                <c:pt idx="31">
                  <c:v>42101.518776025914</c:v>
                </c:pt>
                <c:pt idx="32">
                  <c:v>41158.345955190103</c:v>
                </c:pt>
                <c:pt idx="33">
                  <c:v>40669.342766283633</c:v>
                </c:pt>
                <c:pt idx="34">
                  <c:v>40604.404315101616</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0.3500626159711655</c:v>
                </c:pt>
                <c:pt idx="20">
                  <c:v>0.3438026047293169</c:v>
                </c:pt>
                <c:pt idx="21">
                  <c:v>0.33713765703510418</c:v>
                </c:pt>
                <c:pt idx="22">
                  <c:v>0.33051070996674337</c:v>
                </c:pt>
                <c:pt idx="23">
                  <c:v>0.31962529157380637</c:v>
                </c:pt>
                <c:pt idx="24">
                  <c:v>0.30787127081573057</c:v>
                </c:pt>
                <c:pt idx="25">
                  <c:v>0.29484010372045216</c:v>
                </c:pt>
                <c:pt idx="26">
                  <c:v>0.28768680692352339</c:v>
                </c:pt>
                <c:pt idx="27">
                  <c:v>0.28150418855403753</c:v>
                </c:pt>
                <c:pt idx="28">
                  <c:v>0.27755845359196313</c:v>
                </c:pt>
                <c:pt idx="29">
                  <c:v>0.27399237340208965</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0.34627226073081813</c:v>
                </c:pt>
                <c:pt idx="20">
                  <c:v>0.33989481024124224</c:v>
                </c:pt>
                <c:pt idx="21">
                  <c:v>0.33326537559787572</c:v>
                </c:pt>
                <c:pt idx="22">
                  <c:v>0.32701609700078987</c:v>
                </c:pt>
                <c:pt idx="23">
                  <c:v>0.31618238205224958</c:v>
                </c:pt>
                <c:pt idx="24">
                  <c:v>0.30413858810988276</c:v>
                </c:pt>
                <c:pt idx="25">
                  <c:v>0.29120405432598745</c:v>
                </c:pt>
                <c:pt idx="26">
                  <c:v>0.28421675673649871</c:v>
                </c:pt>
                <c:pt idx="27">
                  <c:v>0.27851009242749419</c:v>
                </c:pt>
                <c:pt idx="28">
                  <c:v>0.27460157409299663</c:v>
                </c:pt>
                <c:pt idx="29">
                  <c:v>0.27106752023187464</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0.24522902061866014</c:v>
                </c:pt>
                <c:pt idx="20">
                  <c:v>0.24243432508893911</c:v>
                </c:pt>
                <c:pt idx="21">
                  <c:v>0.2398245478773243</c:v>
                </c:pt>
                <c:pt idx="22">
                  <c:v>0.23233804020441789</c:v>
                </c:pt>
                <c:pt idx="23">
                  <c:v>0.22386261854350081</c:v>
                </c:pt>
                <c:pt idx="24">
                  <c:v>0.21275401102958696</c:v>
                </c:pt>
                <c:pt idx="25">
                  <c:v>0.20351557550151639</c:v>
                </c:pt>
                <c:pt idx="26">
                  <c:v>0.19743942837011796</c:v>
                </c:pt>
                <c:pt idx="27">
                  <c:v>0.19324752497514991</c:v>
                </c:pt>
                <c:pt idx="28">
                  <c:v>0.19048106375285037</c:v>
                </c:pt>
                <c:pt idx="29">
                  <c:v>0.18609282635647212</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5.366376407530748E-4</c:v>
                </c:pt>
                <c:pt idx="20">
                  <c:v>1.481779635410637E-3</c:v>
                </c:pt>
                <c:pt idx="21">
                  <c:v>3.8237496428768667E-3</c:v>
                </c:pt>
                <c:pt idx="22">
                  <c:v>1.3404340740038592E-2</c:v>
                </c:pt>
                <c:pt idx="23">
                  <c:v>3.768165700453583E-2</c:v>
                </c:pt>
                <c:pt idx="24">
                  <c:v>6.9490384861531238E-2</c:v>
                </c:pt>
                <c:pt idx="25">
                  <c:v>0.10137304508591</c:v>
                </c:pt>
                <c:pt idx="26">
                  <c:v>0.11872379018047405</c:v>
                </c:pt>
                <c:pt idx="27">
                  <c:v>0.12988601929861848</c:v>
                </c:pt>
                <c:pt idx="28">
                  <c:v>0.13744802792778352</c:v>
                </c:pt>
                <c:pt idx="29">
                  <c:v>0.14235530293719578</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4.2013909799795031E-3</c:v>
                </c:pt>
                <c:pt idx="20">
                  <c:v>1.8974645438041372E-2</c:v>
                </c:pt>
                <c:pt idx="21">
                  <c:v>3.2536902316070329E-2</c:v>
                </c:pt>
                <c:pt idx="22">
                  <c:v>4.3319069328905196E-2</c:v>
                </c:pt>
                <c:pt idx="23">
                  <c:v>4.9236317179780928E-2</c:v>
                </c:pt>
                <c:pt idx="24">
                  <c:v>5.2334014889619425E-2</c:v>
                </c:pt>
                <c:pt idx="25">
                  <c:v>5.5655492305792441E-2</c:v>
                </c:pt>
                <c:pt idx="26">
                  <c:v>5.8235432489177799E-2</c:v>
                </c:pt>
                <c:pt idx="27">
                  <c:v>6.2356650973751433E-2</c:v>
                </c:pt>
                <c:pt idx="28">
                  <c:v>6.5415356863457938E-2</c:v>
                </c:pt>
                <c:pt idx="29">
                  <c:v>7.1996453301419419E-2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1.2526454428275713E-2</c:v>
                </c:pt>
                <c:pt idx="3">
                  <c:v>3.1003211619410619E-2</c:v>
                </c:pt>
                <c:pt idx="4">
                  <c:v>6.1180637280756234E-2</c:v>
                </c:pt>
                <c:pt idx="5">
                  <c:v>5.8214585332785798E-2</c:v>
                </c:pt>
                <c:pt idx="6">
                  <c:v>7.6387671910946309E-2</c:v>
                </c:pt>
                <c:pt idx="7">
                  <c:v>8.0501034092756357E-2</c:v>
                </c:pt>
                <c:pt idx="8">
                  <c:v>9.4058888470744312E-2</c:v>
                </c:pt>
                <c:pt idx="9">
                  <c:v>9.7587112456134689E-2</c:v>
                </c:pt>
                <c:pt idx="10">
                  <c:v>0.10247139244273136</c:v>
                </c:pt>
                <c:pt idx="11">
                  <c:v>0.10286124002661828</c:v>
                </c:pt>
                <c:pt idx="12">
                  <c:v>0.10429414702148054</c:v>
                </c:pt>
                <c:pt idx="13">
                  <c:v>0.10658952831864757</c:v>
                </c:pt>
                <c:pt idx="14">
                  <c:v>0.10630115890269395</c:v>
                </c:pt>
                <c:pt idx="15">
                  <c:v>0.10672120875648491</c:v>
                </c:pt>
                <c:pt idx="16">
                  <c:v>0.10831787556386939</c:v>
                </c:pt>
                <c:pt idx="17">
                  <c:v>0.10786533909162559</c:v>
                </c:pt>
                <c:pt idx="18">
                  <c:v>0.1099670537398177</c:v>
                </c:pt>
                <c:pt idx="19">
                  <c:v>0.11150257091726699</c:v>
                </c:pt>
                <c:pt idx="20">
                  <c:v>0.11145763291387448</c:v>
                </c:pt>
                <c:pt idx="21">
                  <c:v>0.11019353757532968</c:v>
                </c:pt>
                <c:pt idx="22">
                  <c:v>0.10761772333371622</c:v>
                </c:pt>
                <c:pt idx="23">
                  <c:v>0.10360652661448812</c:v>
                </c:pt>
                <c:pt idx="24">
                  <c:v>9.8339207790477806E-2</c:v>
                </c:pt>
                <c:pt idx="25">
                  <c:v>9.1907737925213936E-2</c:v>
                </c:pt>
                <c:pt idx="26">
                  <c:v>8.7315257166393156E-2</c:v>
                </c:pt>
                <c:pt idx="27">
                  <c:v>8.2505344144123971E-2</c:v>
                </c:pt>
                <c:pt idx="28">
                  <c:v>8.0413320564110838E-2</c:v>
                </c:pt>
                <c:pt idx="29">
                  <c:v>7.9782724854732506E-2</c:v>
                </c:pt>
                <c:pt idx="30">
                  <c:v>7.9162746921358718E-2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1.3389937653002915E-2</c:v>
                </c:pt>
                <c:pt idx="3">
                  <c:v>3.1080865563348221E-2</c:v>
                </c:pt>
                <c:pt idx="4">
                  <c:v>5.6464978739997826E-2</c:v>
                </c:pt>
                <c:pt idx="5">
                  <c:v>7.47661705215001E-2</c:v>
                </c:pt>
                <c:pt idx="6">
                  <c:v>0.11960781670461429</c:v>
                </c:pt>
                <c:pt idx="7">
                  <c:v>0.14264915573545972</c:v>
                </c:pt>
                <c:pt idx="8">
                  <c:v>0.15726402232921408</c:v>
                </c:pt>
                <c:pt idx="9">
                  <c:v>0.15744395751044316</c:v>
                </c:pt>
                <c:pt idx="10">
                  <c:v>0.15881519414973752</c:v>
                </c:pt>
                <c:pt idx="11">
                  <c:v>0.15669937215522983</c:v>
                </c:pt>
                <c:pt idx="12">
                  <c:v>0.16668885917455878</c:v>
                </c:pt>
                <c:pt idx="13">
                  <c:v>0.16390896992135212</c:v>
                </c:pt>
                <c:pt idx="14">
                  <c:v>0.16371755692418094</c:v>
                </c:pt>
                <c:pt idx="15">
                  <c:v>0.16225185683786827</c:v>
                </c:pt>
                <c:pt idx="16">
                  <c:v>0.16471280536922828</c:v>
                </c:pt>
                <c:pt idx="17">
                  <c:v>0.16488782432243432</c:v>
                </c:pt>
                <c:pt idx="18">
                  <c:v>0.16199296193400356</c:v>
                </c:pt>
                <c:pt idx="19">
                  <c:v>0.17185165024005006</c:v>
                </c:pt>
                <c:pt idx="20">
                  <c:v>0.168967010669132</c:v>
                </c:pt>
                <c:pt idx="21">
                  <c:v>0.16754276732455736</c:v>
                </c:pt>
                <c:pt idx="22">
                  <c:v>0.16473981641634128</c:v>
                </c:pt>
                <c:pt idx="23">
                  <c:v>0.15929828767143697</c:v>
                </c:pt>
                <c:pt idx="24">
                  <c:v>0.15100807740533687</c:v>
                </c:pt>
                <c:pt idx="25">
                  <c:v>0.14067547914362946</c:v>
                </c:pt>
                <c:pt idx="26">
                  <c:v>0.13316701502141759</c:v>
                </c:pt>
                <c:pt idx="27">
                  <c:v>0.12245684178459576</c:v>
                </c:pt>
                <c:pt idx="28">
                  <c:v>0.11912196370630931</c:v>
                </c:pt>
                <c:pt idx="29">
                  <c:v>0.1179355845662541</c:v>
                </c:pt>
                <c:pt idx="30">
                  <c:v>0.11694878956215884</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6.3025025488685582E-4</c:v>
                </c:pt>
                <c:pt idx="3">
                  <c:v>2.2550523468086669E-3</c:v>
                </c:pt>
                <c:pt idx="4">
                  <c:v>6.9141333238869479E-3</c:v>
                </c:pt>
                <c:pt idx="5">
                  <c:v>1.730356963689237E-2</c:v>
                </c:pt>
                <c:pt idx="6">
                  <c:v>2.9248582260421832E-2</c:v>
                </c:pt>
                <c:pt idx="7">
                  <c:v>4.1747825752912006E-2</c:v>
                </c:pt>
                <c:pt idx="8">
                  <c:v>5.1674141242069718E-2</c:v>
                </c:pt>
                <c:pt idx="9">
                  <c:v>6.2629793557667762E-2</c:v>
                </c:pt>
                <c:pt idx="10">
                  <c:v>6.8299380976146629E-2</c:v>
                </c:pt>
                <c:pt idx="11">
                  <c:v>7.1136006725103659E-2</c:v>
                </c:pt>
                <c:pt idx="12">
                  <c:v>7.2315391886856373E-2</c:v>
                </c:pt>
                <c:pt idx="13">
                  <c:v>7.2205348835302857E-2</c:v>
                </c:pt>
                <c:pt idx="14">
                  <c:v>7.1804751611492343E-2</c:v>
                </c:pt>
                <c:pt idx="15">
                  <c:v>7.2994469539704565E-2</c:v>
                </c:pt>
                <c:pt idx="16">
                  <c:v>7.0113136639640194E-2</c:v>
                </c:pt>
                <c:pt idx="17">
                  <c:v>7.021438910879943E-2</c:v>
                </c:pt>
                <c:pt idx="18">
                  <c:v>7.0161778486476811E-2</c:v>
                </c:pt>
                <c:pt idx="19">
                  <c:v>7.0647286014427449E-2</c:v>
                </c:pt>
                <c:pt idx="20">
                  <c:v>7.158816444253141E-2</c:v>
                </c:pt>
                <c:pt idx="21">
                  <c:v>7.0528973220083807E-2</c:v>
                </c:pt>
                <c:pt idx="22">
                  <c:v>6.8476520186498274E-2</c:v>
                </c:pt>
                <c:pt idx="23">
                  <c:v>6.5606011544897258E-2</c:v>
                </c:pt>
                <c:pt idx="24">
                  <c:v>6.2283470042486924E-2</c:v>
                </c:pt>
                <c:pt idx="25">
                  <c:v>5.8522004043858641E-2</c:v>
                </c:pt>
                <c:pt idx="26">
                  <c:v>5.5914776711071174E-2</c:v>
                </c:pt>
                <c:pt idx="27">
                  <c:v>5.2577556701244206E-2</c:v>
                </c:pt>
                <c:pt idx="28">
                  <c:v>5.1424417354391502E-2</c:v>
                </c:pt>
                <c:pt idx="29">
                  <c:v>5.1102398733063326E-2</c:v>
                </c:pt>
                <c:pt idx="30">
                  <c:v>5.072491693440058E-2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2.9170505438254891E-8</c:v>
                </c:pt>
                <c:pt idx="6">
                  <c:v>7.4244639303966605E-7</c:v>
                </c:pt>
                <c:pt idx="7">
                  <c:v>1.2685959781645248E-5</c:v>
                </c:pt>
                <c:pt idx="8">
                  <c:v>8.2619344750750574E-5</c:v>
                </c:pt>
                <c:pt idx="9">
                  <c:v>3.7916138395272143E-4</c:v>
                </c:pt>
                <c:pt idx="10">
                  <c:v>9.0399255269105693E-4</c:v>
                </c:pt>
                <c:pt idx="11">
                  <c:v>1.3340223292271104E-3</c:v>
                </c:pt>
                <c:pt idx="12">
                  <c:v>1.8893060230698068E-3</c:v>
                </c:pt>
                <c:pt idx="13">
                  <c:v>2.682763172852183E-3</c:v>
                </c:pt>
                <c:pt idx="14">
                  <c:v>3.720488889368872E-3</c:v>
                </c:pt>
                <c:pt idx="15">
                  <c:v>5.322045058753124E-3</c:v>
                </c:pt>
                <c:pt idx="16">
                  <c:v>5.9283609309171321E-3</c:v>
                </c:pt>
                <c:pt idx="17">
                  <c:v>6.0984603718710444E-3</c:v>
                </c:pt>
                <c:pt idx="18">
                  <c:v>6.8730905802923707E-3</c:v>
                </c:pt>
                <c:pt idx="19">
                  <c:v>7.7903908348444621E-3</c:v>
                </c:pt>
                <c:pt idx="20">
                  <c:v>9.136320974344244E-3</c:v>
                </c:pt>
                <c:pt idx="21">
                  <c:v>1.1434557563156703E-2</c:v>
                </c:pt>
                <c:pt idx="22">
                  <c:v>1.5663542199924451E-2</c:v>
                </c:pt>
                <c:pt idx="23">
                  <c:v>2.2490135719338618E-2</c:v>
                </c:pt>
                <c:pt idx="24">
                  <c:v>3.1523800632044199E-2</c:v>
                </c:pt>
                <c:pt idx="25">
                  <c:v>4.1954239071092289E-2</c:v>
                </c:pt>
                <c:pt idx="26">
                  <c:v>4.9010208375608558E-2</c:v>
                </c:pt>
                <c:pt idx="27">
                  <c:v>5.0322091651306106E-2</c:v>
                </c:pt>
                <c:pt idx="28">
                  <c:v>5.2474216247066746E-2</c:v>
                </c:pt>
                <c:pt idx="29">
                  <c:v>5.2083413452950429E-2</c:v>
                </c:pt>
                <c:pt idx="30">
                  <c:v>5.2646149326962051E-2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3.3289726732154916E-6</c:v>
                </c:pt>
                <c:pt idx="16">
                  <c:v>1.9721055391914827E-5</c:v>
                </c:pt>
                <c:pt idx="17">
                  <c:v>2.9572175364970884E-5</c:v>
                </c:pt>
                <c:pt idx="18">
                  <c:v>1.0205617282973894E-4</c:v>
                </c:pt>
                <c:pt idx="19">
                  <c:v>3.2018759655478413E-4</c:v>
                </c:pt>
                <c:pt idx="20">
                  <c:v>9.6314693887485493E-4</c:v>
                </c:pt>
                <c:pt idx="21">
                  <c:v>2.4125102762388054E-3</c:v>
                </c:pt>
                <c:pt idx="22">
                  <c:v>5.9075316951677382E-3</c:v>
                </c:pt>
                <c:pt idx="23">
                  <c:v>1.1404181765410937E-2</c:v>
                </c:pt>
                <c:pt idx="24">
                  <c:v>1.8957828810554737E-2</c:v>
                </c:pt>
                <c:pt idx="25">
                  <c:v>2.9052925779578881E-2</c:v>
                </c:pt>
                <c:pt idx="26">
                  <c:v>3.6705129160678127E-2</c:v>
                </c:pt>
                <c:pt idx="27">
                  <c:v>4.1488495668437424E-2</c:v>
                </c:pt>
                <c:pt idx="28">
                  <c:v>4.5916412077829094E-2</c:v>
                </c:pt>
                <c:pt idx="29">
                  <c:v>4.830681504181248E-2</c:v>
                </c:pt>
                <c:pt idx="30">
                  <c:v>4.9728333903932651E-2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1.9200559355869843E-2</c:v>
                </c:pt>
                <c:pt idx="2">
                  <c:v>4.7668575227319904E-2</c:v>
                </c:pt>
                <c:pt idx="3">
                  <c:v>0.10287608158051777</c:v>
                </c:pt>
                <c:pt idx="4">
                  <c:v>0.14107831604941565</c:v>
                </c:pt>
                <c:pt idx="5">
                  <c:v>0.17773239499555313</c:v>
                </c:pt>
                <c:pt idx="6">
                  <c:v>0.23591322627632402</c:v>
                </c:pt>
                <c:pt idx="7">
                  <c:v>0.27308383549682302</c:v>
                </c:pt>
                <c:pt idx="8">
                  <c:v>0.29350823342880361</c:v>
                </c:pt>
                <c:pt idx="9">
                  <c:v>0.31014138892613485</c:v>
                </c:pt>
                <c:pt idx="10">
                  <c:v>0.32577089078793736</c:v>
                </c:pt>
                <c:pt idx="11">
                  <c:v>0.3266316780886831</c:v>
                </c:pt>
                <c:pt idx="12">
                  <c:v>0.32692615524268948</c:v>
                </c:pt>
                <c:pt idx="13">
                  <c:v>0.32733912302961676</c:v>
                </c:pt>
                <c:pt idx="14">
                  <c:v>0.32263380011192883</c:v>
                </c:pt>
                <c:pt idx="15">
                  <c:v>0.31771174902361177</c:v>
                </c:pt>
                <c:pt idx="16">
                  <c:v>0.31786946851617942</c:v>
                </c:pt>
                <c:pt idx="17">
                  <c:v>0.31494480504663103</c:v>
                </c:pt>
                <c:pt idx="18">
                  <c:v>0.29776181224945247</c:v>
                </c:pt>
                <c:pt idx="19">
                  <c:v>0.27388173275776351</c:v>
                </c:pt>
                <c:pt idx="20">
                  <c:v>0.25560931285004129</c:v>
                </c:pt>
                <c:pt idx="21">
                  <c:v>0.24055152492886089</c:v>
                </c:pt>
                <c:pt idx="22">
                  <c:v>0.22878851370116948</c:v>
                </c:pt>
                <c:pt idx="23">
                  <c:v>0.22287944987423608</c:v>
                </c:pt>
                <c:pt idx="24">
                  <c:v>0.214014436518879</c:v>
                </c:pt>
                <c:pt idx="25">
                  <c:v>0.20849035433533522</c:v>
                </c:pt>
                <c:pt idx="26">
                  <c:v>0.20524562388991768</c:v>
                </c:pt>
                <c:pt idx="27">
                  <c:v>0.20256595036101122</c:v>
                </c:pt>
                <c:pt idx="28">
                  <c:v>0.20151183566437553</c:v>
                </c:pt>
                <c:pt idx="29">
                  <c:v>0.20033059066512526</c:v>
                </c:pt>
                <c:pt idx="30">
                  <c:v>0.1995979281778239</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1.3428285287966388E-2</c:v>
                </c:pt>
                <c:pt idx="2">
                  <c:v>3.2323572388002812E-2</c:v>
                </c:pt>
                <c:pt idx="3">
                  <c:v>6.3250107556630852E-2</c:v>
                </c:pt>
                <c:pt idx="4">
                  <c:v>0.1149145907629249</c:v>
                </c:pt>
                <c:pt idx="5">
                  <c:v>0.16892250729214303</c:v>
                </c:pt>
                <c:pt idx="6">
                  <c:v>0.22474857893868538</c:v>
                </c:pt>
                <c:pt idx="7">
                  <c:v>0.2651333876547724</c:v>
                </c:pt>
                <c:pt idx="8">
                  <c:v>0.28822877156276289</c:v>
                </c:pt>
                <c:pt idx="9">
                  <c:v>0.30947063114965834</c:v>
                </c:pt>
                <c:pt idx="10">
                  <c:v>0.32266254556062973</c:v>
                </c:pt>
                <c:pt idx="11">
                  <c:v>0.32589974981115266</c:v>
                </c:pt>
                <c:pt idx="12">
                  <c:v>0.32614420216073681</c:v>
                </c:pt>
                <c:pt idx="13">
                  <c:v>0.32561386815625259</c:v>
                </c:pt>
                <c:pt idx="14">
                  <c:v>0.32248923293469584</c:v>
                </c:pt>
                <c:pt idx="15">
                  <c:v>0.31652768786241325</c:v>
                </c:pt>
                <c:pt idx="16">
                  <c:v>0.31704072339184641</c:v>
                </c:pt>
                <c:pt idx="17">
                  <c:v>0.31411736775286225</c:v>
                </c:pt>
                <c:pt idx="18">
                  <c:v>0.29762838982232387</c:v>
                </c:pt>
                <c:pt idx="19">
                  <c:v>0.27375901062205815</c:v>
                </c:pt>
                <c:pt idx="20">
                  <c:v>0.25535448833840757</c:v>
                </c:pt>
                <c:pt idx="21">
                  <c:v>0.24030697641600068</c:v>
                </c:pt>
                <c:pt idx="22">
                  <c:v>0.22814810051510315</c:v>
                </c:pt>
                <c:pt idx="23">
                  <c:v>0.22207082412038498</c:v>
                </c:pt>
                <c:pt idx="24">
                  <c:v>0.21340074827300043</c:v>
                </c:pt>
                <c:pt idx="25">
                  <c:v>0.20794085284846239</c:v>
                </c:pt>
                <c:pt idx="26">
                  <c:v>0.20478973450654403</c:v>
                </c:pt>
                <c:pt idx="27">
                  <c:v>0.20247518371586415</c:v>
                </c:pt>
                <c:pt idx="28">
                  <c:v>0.20142154135159451</c:v>
                </c:pt>
                <c:pt idx="29">
                  <c:v>0.20024082564981738</c:v>
                </c:pt>
                <c:pt idx="30">
                  <c:v>0.19950849145715727</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9.5624822014932432E-5</c:v>
                </c:pt>
                <c:pt idx="12">
                  <c:v>1.1687041812735916E-3</c:v>
                </c:pt>
                <c:pt idx="13">
                  <c:v>4.4961766199275739E-3</c:v>
                </c:pt>
                <c:pt idx="14">
                  <c:v>1.237741995778302E-2</c:v>
                </c:pt>
                <c:pt idx="15">
                  <c:v>2.8349666575690949E-2</c:v>
                </c:pt>
                <c:pt idx="16">
                  <c:v>3.5211865818970553E-2</c:v>
                </c:pt>
                <c:pt idx="17">
                  <c:v>3.8956241856252086E-2</c:v>
                </c:pt>
                <c:pt idx="18">
                  <c:v>4.3755710132172387E-2</c:v>
                </c:pt>
                <c:pt idx="19">
                  <c:v>5.1408404177911024E-2</c:v>
                </c:pt>
                <c:pt idx="20">
                  <c:v>6.4382956879681957E-2</c:v>
                </c:pt>
                <c:pt idx="21">
                  <c:v>7.9751466301697688E-2</c:v>
                </c:pt>
                <c:pt idx="22">
                  <c:v>0.10215660885883493</c:v>
                </c:pt>
                <c:pt idx="23">
                  <c:v>0.13066093225186073</c:v>
                </c:pt>
                <c:pt idx="24">
                  <c:v>0.15585531950426759</c:v>
                </c:pt>
                <c:pt idx="25">
                  <c:v>0.17458351284574045</c:v>
                </c:pt>
                <c:pt idx="26">
                  <c:v>0.18789596894742491</c:v>
                </c:pt>
                <c:pt idx="27">
                  <c:v>0.19442350131719349</c:v>
                </c:pt>
                <c:pt idx="28">
                  <c:v>0.20068513162895296</c:v>
                </c:pt>
                <c:pt idx="29">
                  <c:v>0.20309788266895573</c:v>
                </c:pt>
                <c:pt idx="30">
                  <c:v>0.20467974415037363</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2.2601229467512744E-3</c:v>
                </c:pt>
                <c:pt idx="24">
                  <c:v>9.6675397386533843E-3</c:v>
                </c:pt>
                <c:pt idx="25">
                  <c:v>1.905489239832741E-2</c:v>
                </c:pt>
                <c:pt idx="26">
                  <c:v>2.6978390031892886E-2</c:v>
                </c:pt>
                <c:pt idx="27">
                  <c:v>3.3419469840864503E-2</c:v>
                </c:pt>
                <c:pt idx="28">
                  <c:v>3.7183144511854199E-2</c:v>
                </c:pt>
                <c:pt idx="29">
                  <c:v>4.0324900738512207E-2</c:v>
                </c:pt>
                <c:pt idx="30">
                  <c:v>4.3719920000205713E-2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3.9785627541661102E-7</c:v>
                </c:pt>
                <c:pt idx="17">
                  <c:v>2.1066435988208055E-3</c:v>
                </c:pt>
                <c:pt idx="18">
                  <c:v>3.0980103524965334E-2</c:v>
                </c:pt>
                <c:pt idx="19">
                  <c:v>7.1077220406997932E-2</c:v>
                </c:pt>
                <c:pt idx="20">
                  <c:v>9.6030521410713818E-2</c:v>
                </c:pt>
                <c:pt idx="21">
                  <c:v>0.1107673595912415</c:v>
                </c:pt>
                <c:pt idx="22">
                  <c:v>0.12154861487339552</c:v>
                </c:pt>
                <c:pt idx="23">
                  <c:v>0.13694628037143219</c:v>
                </c:pt>
                <c:pt idx="24">
                  <c:v>0.14558649174273117</c:v>
                </c:pt>
                <c:pt idx="25">
                  <c:v>0.15650907106240611</c:v>
                </c:pt>
                <c:pt idx="26">
                  <c:v>0.16075223615445372</c:v>
                </c:pt>
                <c:pt idx="27">
                  <c:v>0.1645864079152593</c:v>
                </c:pt>
                <c:pt idx="28">
                  <c:v>0.17601971713902723</c:v>
                </c:pt>
                <c:pt idx="29">
                  <c:v>0.18661931105589644</c:v>
                </c:pt>
                <c:pt idx="30">
                  <c:v>0.19625782561976507</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0.23668051263913881</c:v>
                </c:pt>
                <c:pt idx="33">
                  <c:v>0.23175633638692841</c:v>
                </c:pt>
                <c:pt idx="34">
                  <c:v>0.22709842174369033</c:v>
                </c:pt>
                <c:pt idx="35">
                  <c:v>0.22216836239678017</c:v>
                </c:pt>
                <c:pt idx="36">
                  <c:v>0.21431659991106558</c:v>
                </c:pt>
                <c:pt idx="37">
                  <c:v>0.20617417592322113</c:v>
                </c:pt>
                <c:pt idx="38">
                  <c:v>0.19764385908614365</c:v>
                </c:pt>
                <c:pt idx="39">
                  <c:v>0.19310992949177638</c:v>
                </c:pt>
                <c:pt idx="40">
                  <c:v>0.18936709425089296</c:v>
                </c:pt>
                <c:pt idx="41">
                  <c:v>0.18689654803771472</c:v>
                </c:pt>
                <c:pt idx="42">
                  <c:v>0.18467402625381085</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0.2353946141072904</c:v>
                </c:pt>
                <c:pt idx="33">
                  <c:v>0.23044076817599132</c:v>
                </c:pt>
                <c:pt idx="34">
                  <c:v>0.22580047992108204</c:v>
                </c:pt>
                <c:pt idx="35">
                  <c:v>0.22094171856937594</c:v>
                </c:pt>
                <c:pt idx="36">
                  <c:v>0.21312003048875142</c:v>
                </c:pt>
                <c:pt idx="37">
                  <c:v>0.20495496076516279</c:v>
                </c:pt>
                <c:pt idx="38">
                  <c:v>0.19647207769038272</c:v>
                </c:pt>
                <c:pt idx="39">
                  <c:v>0.19199832901557704</c:v>
                </c:pt>
                <c:pt idx="40">
                  <c:v>0.18834598294304705</c:v>
                </c:pt>
                <c:pt idx="41">
                  <c:v>0.18589144922543074</c:v>
                </c:pt>
                <c:pt idx="42">
                  <c:v>0.18368220526586429</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0.17911763385673585</c:v>
                </c:pt>
                <c:pt idx="33">
                  <c:v>0.17655664848295011</c:v>
                </c:pt>
                <c:pt idx="34">
                  <c:v>0.17412055298896353</c:v>
                </c:pt>
                <c:pt idx="35">
                  <c:v>0.16874660965908758</c:v>
                </c:pt>
                <c:pt idx="36">
                  <c:v>0.1623766202027451</c:v>
                </c:pt>
                <c:pt idx="37">
                  <c:v>0.15452816294287736</c:v>
                </c:pt>
                <c:pt idx="38">
                  <c:v>0.1480891044922813</c:v>
                </c:pt>
                <c:pt idx="39">
                  <c:v>0.14404622275114465</c:v>
                </c:pt>
                <c:pt idx="40">
                  <c:v>0.14114766075571641</c:v>
                </c:pt>
                <c:pt idx="41">
                  <c:v>0.1392190133435825</c:v>
                </c:pt>
                <c:pt idx="42">
                  <c:v>0.13604987709119676</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1.2120501816910772E-3</c:v>
                </c:pt>
                <c:pt idx="16">
                  <c:v>2.941623069289385E-3</c:v>
                </c:pt>
                <c:pt idx="17">
                  <c:v>5.8595444049355872E-3</c:v>
                </c:pt>
                <c:pt idx="18">
                  <c:v>6.9996562634028741E-3</c:v>
                </c:pt>
                <c:pt idx="19">
                  <c:v>9.9594128608144396E-3</c:v>
                </c:pt>
                <c:pt idx="20">
                  <c:v>1.2001415133361499E-2</c:v>
                </c:pt>
                <c:pt idx="21">
                  <c:v>1.4007026253637108E-2</c:v>
                </c:pt>
                <c:pt idx="22">
                  <c:v>1.4930324484242155E-2</c:v>
                </c:pt>
                <c:pt idx="23">
                  <c:v>1.5554746292115271E-2</c:v>
                </c:pt>
                <c:pt idx="24">
                  <c:v>1.5556732789382728E-2</c:v>
                </c:pt>
                <c:pt idx="25">
                  <c:v>1.5634078564714424E-2</c:v>
                </c:pt>
                <c:pt idx="26">
                  <c:v>1.5822604282166631E-2</c:v>
                </c:pt>
                <c:pt idx="27">
                  <c:v>1.5723894073074805E-2</c:v>
                </c:pt>
                <c:pt idx="28">
                  <c:v>1.5689992856241345E-2</c:v>
                </c:pt>
                <c:pt idx="29">
                  <c:v>1.5875853726236292E-2</c:v>
                </c:pt>
                <c:pt idx="30">
                  <c:v>1.5797964340904986E-2</c:v>
                </c:pt>
                <c:pt idx="31">
                  <c:v>1.5982117059580671E-2</c:v>
                </c:pt>
                <c:pt idx="32">
                  <c:v>1.6092962458398474E-2</c:v>
                </c:pt>
                <c:pt idx="33">
                  <c:v>1.6007628409516115E-2</c:v>
                </c:pt>
                <c:pt idx="34">
                  <c:v>1.5753536224199866E-2</c:v>
                </c:pt>
                <c:pt idx="35">
                  <c:v>1.5287468333182406E-2</c:v>
                </c:pt>
                <c:pt idx="36">
                  <c:v>1.4674825181982983E-2</c:v>
                </c:pt>
                <c:pt idx="37">
                  <c:v>1.3998882058697842E-2</c:v>
                </c:pt>
                <c:pt idx="38">
                  <c:v>1.3250731218831106E-2</c:v>
                </c:pt>
                <c:pt idx="39">
                  <c:v>1.2736939204152094E-2</c:v>
                </c:pt>
                <c:pt idx="40">
                  <c:v>1.2225196675201798E-2</c:v>
                </c:pt>
                <c:pt idx="41">
                  <c:v>1.1993093494950703E-2</c:v>
                </c:pt>
                <c:pt idx="42">
                  <c:v>1.1928209100528282E-2</c:v>
                </c:pt>
                <c:pt idx="43">
                  <c:v>1.1852933107038428E-2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1.3827563949516935E-3</c:v>
                </c:pt>
                <c:pt idx="16">
                  <c:v>3.2184244291751248E-3</c:v>
                </c:pt>
                <c:pt idx="17">
                  <c:v>6.2132773290996769E-3</c:v>
                </c:pt>
                <c:pt idx="18">
                  <c:v>9.9168886737807348E-3</c:v>
                </c:pt>
                <c:pt idx="19">
                  <c:v>1.5690075817317743E-2</c:v>
                </c:pt>
                <c:pt idx="20">
                  <c:v>1.9001117299496537E-2</c:v>
                </c:pt>
                <c:pt idx="21">
                  <c:v>2.0983153492794861E-2</c:v>
                </c:pt>
                <c:pt idx="22">
                  <c:v>2.129749318804566E-2</c:v>
                </c:pt>
                <c:pt idx="23">
                  <c:v>2.1387588250726012E-2</c:v>
                </c:pt>
                <c:pt idx="24">
                  <c:v>2.1141633304194291E-2</c:v>
                </c:pt>
                <c:pt idx="25">
                  <c:v>2.2019384024748383E-2</c:v>
                </c:pt>
                <c:pt idx="26">
                  <c:v>2.1675106149888129E-2</c:v>
                </c:pt>
                <c:pt idx="27">
                  <c:v>2.1579020227512086E-2</c:v>
                </c:pt>
                <c:pt idx="28">
                  <c:v>2.1409499547254563E-2</c:v>
                </c:pt>
                <c:pt idx="29">
                  <c:v>2.1644963447637E-2</c:v>
                </c:pt>
                <c:pt idx="30">
                  <c:v>2.1668114213385985E-2</c:v>
                </c:pt>
                <c:pt idx="31">
                  <c:v>2.1332580148705736E-2</c:v>
                </c:pt>
                <c:pt idx="32">
                  <c:v>2.2189965639794206E-2</c:v>
                </c:pt>
                <c:pt idx="33">
                  <c:v>2.1828229362029317E-2</c:v>
                </c:pt>
                <c:pt idx="34">
                  <c:v>2.1546854774641976E-2</c:v>
                </c:pt>
                <c:pt idx="35">
                  <c:v>2.1018321654943588E-2</c:v>
                </c:pt>
                <c:pt idx="36">
                  <c:v>2.0240106470592184E-2</c:v>
                </c:pt>
                <c:pt idx="37">
                  <c:v>1.9268419664240075E-2</c:v>
                </c:pt>
                <c:pt idx="38">
                  <c:v>1.8131648306821051E-2</c:v>
                </c:pt>
                <c:pt idx="39">
                  <c:v>1.7329391014535064E-2</c:v>
                </c:pt>
                <c:pt idx="40">
                  <c:v>1.627120595420424E-2</c:v>
                </c:pt>
                <c:pt idx="41">
                  <c:v>1.5916040421263811E-2</c:v>
                </c:pt>
                <c:pt idx="42">
                  <c:v>1.5805933637634988E-2</c:v>
                </c:pt>
                <c:pt idx="43">
                  <c:v>1.5693056832899711E-2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1.8770923944284862E-4</c:v>
                </c:pt>
                <c:pt idx="16">
                  <c:v>6.1371974908770168E-4</c:v>
                </c:pt>
                <c:pt idx="17">
                  <c:v>1.7209793391795617E-3</c:v>
                </c:pt>
                <c:pt idx="18">
                  <c:v>3.9072618412634638E-3</c:v>
                </c:pt>
                <c:pt idx="19">
                  <c:v>6.2209378508249983E-3</c:v>
                </c:pt>
                <c:pt idx="20">
                  <c:v>8.272130058402544E-3</c:v>
                </c:pt>
                <c:pt idx="21">
                  <c:v>9.748309928607644E-3</c:v>
                </c:pt>
                <c:pt idx="22">
                  <c:v>1.1102241080942267E-2</c:v>
                </c:pt>
                <c:pt idx="23">
                  <c:v>1.171321142664552E-2</c:v>
                </c:pt>
                <c:pt idx="24">
                  <c:v>1.1988916955728589E-2</c:v>
                </c:pt>
                <c:pt idx="25">
                  <c:v>1.2085881880734461E-2</c:v>
                </c:pt>
                <c:pt idx="26">
                  <c:v>1.1996281211174733E-2</c:v>
                </c:pt>
                <c:pt idx="27">
                  <c:v>1.1882379400166338E-2</c:v>
                </c:pt>
                <c:pt idx="28">
                  <c:v>1.1914068259572566E-2</c:v>
                </c:pt>
                <c:pt idx="29">
                  <c:v>1.1605663613900119E-2</c:v>
                </c:pt>
                <c:pt idx="30">
                  <c:v>1.1614803926248307E-2</c:v>
                </c:pt>
                <c:pt idx="31">
                  <c:v>1.1564188654185074E-2</c:v>
                </c:pt>
                <c:pt idx="32">
                  <c:v>1.1557060870998661E-2</c:v>
                </c:pt>
                <c:pt idx="33">
                  <c:v>1.1573543500411846E-2</c:v>
                </c:pt>
                <c:pt idx="34">
                  <c:v>1.1357070066213839E-2</c:v>
                </c:pt>
                <c:pt idx="35">
                  <c:v>1.0973798797937017E-2</c:v>
                </c:pt>
                <c:pt idx="36">
                  <c:v>1.0507041020274393E-2</c:v>
                </c:pt>
                <c:pt idx="37">
                  <c:v>1.0045645805691001E-2</c:v>
                </c:pt>
                <c:pt idx="38">
                  <c:v>9.5736586105810845E-3</c:v>
                </c:pt>
                <c:pt idx="39">
                  <c:v>9.2620342340106829E-3</c:v>
                </c:pt>
                <c:pt idx="40">
                  <c:v>8.9157655737720134E-3</c:v>
                </c:pt>
                <c:pt idx="41">
                  <c:v>8.7783623546258509E-3</c:v>
                </c:pt>
                <c:pt idx="42">
                  <c:v>8.7434038844004316E-3</c:v>
                </c:pt>
                <c:pt idx="43">
                  <c:v>8.6942246014021368E-3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8.6895891471492695E-2</c:v>
                </c:pt>
                <c:pt idx="16">
                  <c:v>8.2904640040026109E-2</c:v>
                </c:pt>
                <c:pt idx="17">
                  <c:v>7.5884606214363493E-2</c:v>
                </c:pt>
                <c:pt idx="18">
                  <c:v>6.8854578918157286E-2</c:v>
                </c:pt>
                <c:pt idx="19">
                  <c:v>5.7807458250674001E-2</c:v>
                </c:pt>
                <c:pt idx="20">
                  <c:v>5.0395900479300863E-2</c:v>
                </c:pt>
                <c:pt idx="21">
                  <c:v>4.4893938441647012E-2</c:v>
                </c:pt>
                <c:pt idx="22">
                  <c:v>4.2155574998391669E-2</c:v>
                </c:pt>
                <c:pt idx="23">
                  <c:v>4.0586878660634068E-2</c:v>
                </c:pt>
                <c:pt idx="24">
                  <c:v>4.0372988115541061E-2</c:v>
                </c:pt>
                <c:pt idx="25">
                  <c:v>3.9106303155696416E-2</c:v>
                </c:pt>
                <c:pt idx="26">
                  <c:v>3.9077162192633109E-2</c:v>
                </c:pt>
                <c:pt idx="27">
                  <c:v>3.906302970054331E-2</c:v>
                </c:pt>
                <c:pt idx="28">
                  <c:v>3.8770714967759128E-2</c:v>
                </c:pt>
                <c:pt idx="29">
                  <c:v>3.8503783409733545E-2</c:v>
                </c:pt>
                <c:pt idx="30">
                  <c:v>3.8503243137553246E-2</c:v>
                </c:pt>
                <c:pt idx="31">
                  <c:v>3.8503044379655182E-2</c:v>
                </c:pt>
                <c:pt idx="32">
                  <c:v>3.7283113528655223E-2</c:v>
                </c:pt>
                <c:pt idx="33">
                  <c:v>3.7283085988314084E-2</c:v>
                </c:pt>
                <c:pt idx="34">
                  <c:v>3.7283075856781471E-2</c:v>
                </c:pt>
                <c:pt idx="35">
                  <c:v>3.727167591825236E-2</c:v>
                </c:pt>
                <c:pt idx="36">
                  <c:v>3.7271674546799784E-2</c:v>
                </c:pt>
                <c:pt idx="37">
                  <c:v>3.7283070254024116E-2</c:v>
                </c:pt>
                <c:pt idx="38">
                  <c:v>3.7283070068458553E-2</c:v>
                </c:pt>
                <c:pt idx="39">
                  <c:v>3.7283070000192792E-2</c:v>
                </c:pt>
                <c:pt idx="40">
                  <c:v>3.8493095105827602E-2</c:v>
                </c:pt>
                <c:pt idx="41">
                  <c:v>3.8493095105827602E-2</c:v>
                </c:pt>
                <c:pt idx="42">
                  <c:v>3.8498347868277258E-2</c:v>
                </c:pt>
                <c:pt idx="43">
                  <c:v>3.8498347868277265E-2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1.2309207681125986E-2</c:v>
                </c:pt>
                <c:pt idx="33">
                  <c:v>1.2223589341534696E-2</c:v>
                </c:pt>
                <c:pt idx="34">
                  <c:v>1.2223542661823742E-2</c:v>
                </c:pt>
                <c:pt idx="35">
                  <c:v>1.2223525489316215E-2</c:v>
                </c:pt>
                <c:pt idx="36">
                  <c:v>1.2223519171903318E-2</c:v>
                </c:pt>
                <c:pt idx="37">
                  <c:v>1.2223516847857184E-2</c:v>
                </c:pt>
                <c:pt idx="38">
                  <c:v>1.2223515992888298E-2</c:v>
                </c:pt>
                <c:pt idx="39">
                  <c:v>1.230900746999038E-2</c:v>
                </c:pt>
                <c:pt idx="40">
                  <c:v>1.2440005133901031E-2</c:v>
                </c:pt>
                <c:pt idx="41">
                  <c:v>1.2440005133901106E-2</c:v>
                </c:pt>
                <c:pt idx="42">
                  <c:v>1.2440005133900957E-2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6.9882150506679185E-4</c:v>
                </c:pt>
                <c:pt idx="33">
                  <c:v>1.8740839583597712E-3</c:v>
                </c:pt>
                <c:pt idx="34">
                  <c:v>4.4494333476718844E-3</c:v>
                </c:pt>
                <c:pt idx="35">
                  <c:v>1.3025501301343504E-2</c:v>
                </c:pt>
                <c:pt idx="36">
                  <c:v>3.1663335912289113E-2</c:v>
                </c:pt>
                <c:pt idx="37">
                  <c:v>5.4318200691085373E-2</c:v>
                </c:pt>
                <c:pt idx="38">
                  <c:v>7.5884165267231962E-2</c:v>
                </c:pt>
                <c:pt idx="39">
                  <c:v>8.7135447182131162E-2</c:v>
                </c:pt>
                <c:pt idx="40">
                  <c:v>9.4624137570754385E-2</c:v>
                </c:pt>
                <c:pt idx="41">
                  <c:v>9.957132858549532E-2</c:v>
                </c:pt>
                <c:pt idx="42">
                  <c:v>0.10284301792878224</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4.2284579505686686E-3</c:v>
                </c:pt>
                <c:pt idx="33">
                  <c:v>1.5577821394162195E-2</c:v>
                </c:pt>
                <c:pt idx="34">
                  <c:v>2.4736817076694857E-2</c:v>
                </c:pt>
                <c:pt idx="35">
                  <c:v>3.1323530324023179E-2</c:v>
                </c:pt>
                <c:pt idx="36">
                  <c:v>3.4729142053171923E-2</c:v>
                </c:pt>
                <c:pt idx="37">
                  <c:v>3.6230230569722729E-2</c:v>
                </c:pt>
                <c:pt idx="38">
                  <c:v>3.8116525210998599E-2</c:v>
                </c:pt>
                <c:pt idx="39">
                  <c:v>3.983031182930695E-2</c:v>
                </c:pt>
                <c:pt idx="40">
                  <c:v>4.2504367085614649E-2</c:v>
                </c:pt>
                <c:pt idx="41">
                  <c:v>4.4410903413802195E-2</c:v>
                </c:pt>
                <c:pt idx="42">
                  <c:v>4.8740116066371394E-2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2.159097395047302E-8</c:v>
                </c:pt>
                <c:pt idx="19">
                  <c:v>5.2250794712429531E-7</c:v>
                </c:pt>
                <c:pt idx="20">
                  <c:v>7.8443170168725612E-6</c:v>
                </c:pt>
                <c:pt idx="21">
                  <c:v>4.5979170891685055E-5</c:v>
                </c:pt>
                <c:pt idx="22">
                  <c:v>1.9277353595656028E-4</c:v>
                </c:pt>
                <c:pt idx="23">
                  <c:v>4.3598265745743741E-4</c:v>
                </c:pt>
                <c:pt idx="24">
                  <c:v>6.1813612273163587E-4</c:v>
                </c:pt>
                <c:pt idx="25">
                  <c:v>8.3275966168461994E-4</c:v>
                </c:pt>
                <c:pt idx="26">
                  <c:v>1.1072534517157118E-3</c:v>
                </c:pt>
                <c:pt idx="27">
                  <c:v>1.4300838862817723E-3</c:v>
                </c:pt>
                <c:pt idx="28">
                  <c:v>1.8933473849655122E-3</c:v>
                </c:pt>
                <c:pt idx="29">
                  <c:v>2.0434970118855394E-3</c:v>
                </c:pt>
                <c:pt idx="30">
                  <c:v>2.0873147685700074E-3</c:v>
                </c:pt>
                <c:pt idx="31">
                  <c:v>2.2724413401120627E-3</c:v>
                </c:pt>
                <c:pt idx="32">
                  <c:v>2.4805793229725785E-3</c:v>
                </c:pt>
                <c:pt idx="33">
                  <c:v>2.7662871885097066E-3</c:v>
                </c:pt>
                <c:pt idx="34">
                  <c:v>3.2127303834428699E-3</c:v>
                </c:pt>
                <c:pt idx="35">
                  <c:v>3.9285856734638646E-3</c:v>
                </c:pt>
                <c:pt idx="36">
                  <c:v>4.866673922929254E-3</c:v>
                </c:pt>
                <c:pt idx="37">
                  <c:v>5.9401114835250131E-3</c:v>
                </c:pt>
                <c:pt idx="38">
                  <c:v>7.1013368653351679E-3</c:v>
                </c:pt>
                <c:pt idx="39">
                  <c:v>7.869389348042358E-3</c:v>
                </c:pt>
                <c:pt idx="40">
                  <c:v>8.0270700135942983E-3</c:v>
                </c:pt>
                <c:pt idx="41">
                  <c:v>8.2809482984595884E-3</c:v>
                </c:pt>
                <c:pt idx="42">
                  <c:v>8.2397038165700851E-3</c:v>
                </c:pt>
                <c:pt idx="43">
                  <c:v>8.297478699758996E-3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7.842717851969398E-7</c:v>
                </c:pt>
                <c:pt idx="29">
                  <c:v>4.6460781858102034E-6</c:v>
                </c:pt>
                <c:pt idx="30">
                  <c:v>6.966900915783327E-6</c:v>
                </c:pt>
                <c:pt idx="31">
                  <c:v>2.40357053395848E-5</c:v>
                </c:pt>
                <c:pt idx="32">
                  <c:v>7.4725466759168819E-5</c:v>
                </c:pt>
                <c:pt idx="33">
                  <c:v>2.1963283879724655E-4</c:v>
                </c:pt>
                <c:pt idx="34">
                  <c:v>5.2513998229827526E-4</c:v>
                </c:pt>
                <c:pt idx="35">
                  <c:v>1.1985569097990811E-3</c:v>
                </c:pt>
                <c:pt idx="36">
                  <c:v>2.1180861449997118E-3</c:v>
                </c:pt>
                <c:pt idx="37">
                  <c:v>3.1422780214002593E-3</c:v>
                </c:pt>
                <c:pt idx="38">
                  <c:v>4.3379622175513484E-3</c:v>
                </c:pt>
                <c:pt idx="39">
                  <c:v>5.1975834866453191E-3</c:v>
                </c:pt>
                <c:pt idx="40">
                  <c:v>5.7460739649783576E-3</c:v>
                </c:pt>
                <c:pt idx="41">
                  <c:v>6.2168676124507551E-3</c:v>
                </c:pt>
                <c:pt idx="42">
                  <c:v>6.4628089801672594E-3</c:v>
                </c:pt>
                <c:pt idx="43">
                  <c:v>6.6423661782017713E-3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0.31435723466367071</c:v>
                </c:pt>
                <c:pt idx="33">
                  <c:v>0.30956275486493084</c:v>
                </c:pt>
                <c:pt idx="34">
                  <c:v>0.30956306287793484</c:v>
                </c:pt>
                <c:pt idx="35">
                  <c:v>0.30956317619018114</c:v>
                </c:pt>
                <c:pt idx="36">
                  <c:v>0.30956321787551594</c:v>
                </c:pt>
                <c:pt idx="37">
                  <c:v>0.30956323321069823</c:v>
                </c:pt>
                <c:pt idx="38">
                  <c:v>0.30956323885220322</c:v>
                </c:pt>
                <c:pt idx="39">
                  <c:v>0.31435862618948529</c:v>
                </c:pt>
                <c:pt idx="40">
                  <c:v>0.31271540938064668</c:v>
                </c:pt>
                <c:pt idx="41">
                  <c:v>0.31271540938064629</c:v>
                </c:pt>
                <c:pt idx="42">
                  <c:v>0.31271540938064857</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0.61440838736840797</c:v>
                </c:pt>
                <c:pt idx="15">
                  <c:v>0.61420213788915878</c:v>
                </c:pt>
                <c:pt idx="16">
                  <c:v>0.61333787597923117</c:v>
                </c:pt>
                <c:pt idx="17">
                  <c:v>0.61084283404527118</c:v>
                </c:pt>
                <c:pt idx="18">
                  <c:v>0.60732194822225949</c:v>
                </c:pt>
                <c:pt idx="19">
                  <c:v>0.60171604081937957</c:v>
                </c:pt>
                <c:pt idx="20">
                  <c:v>0.59284662622799988</c:v>
                </c:pt>
                <c:pt idx="21">
                  <c:v>0.59708686586529602</c:v>
                </c:pt>
                <c:pt idx="22">
                  <c:v>0.59085184990799799</c:v>
                </c:pt>
                <c:pt idx="23">
                  <c:v>0.5864256145167337</c:v>
                </c:pt>
                <c:pt idx="24">
                  <c:v>0.58971527937671941</c:v>
                </c:pt>
                <c:pt idx="25">
                  <c:v>0.59116663249959733</c:v>
                </c:pt>
                <c:pt idx="26">
                  <c:v>0.59734895357250128</c:v>
                </c:pt>
                <c:pt idx="27">
                  <c:v>0.59734132517966876</c:v>
                </c:pt>
                <c:pt idx="28">
                  <c:v>0.59945848574746907</c:v>
                </c:pt>
                <c:pt idx="29">
                  <c:v>0.59893220000830572</c:v>
                </c:pt>
                <c:pt idx="30">
                  <c:v>0.59893183663812077</c:v>
                </c:pt>
                <c:pt idx="31">
                  <c:v>0.59893170295743703</c:v>
                </c:pt>
                <c:pt idx="32">
                  <c:v>0.59893165377848501</c:v>
                </c:pt>
                <c:pt idx="33">
                  <c:v>0.59808177747391167</c:v>
                </c:pt>
                <c:pt idx="34">
                  <c:v>0.59808177037655619</c:v>
                </c:pt>
                <c:pt idx="35">
                  <c:v>0.58648523990065082</c:v>
                </c:pt>
                <c:pt idx="36">
                  <c:v>0.50908271720216325</c:v>
                </c:pt>
                <c:pt idx="37">
                  <c:v>0.44582452374946302</c:v>
                </c:pt>
                <c:pt idx="38">
                  <c:v>0.3687562655909416</c:v>
                </c:pt>
                <c:pt idx="39">
                  <c:v>0.33207313094453345</c:v>
                </c:pt>
                <c:pt idx="40">
                  <c:v>0.30369044623358038</c:v>
                </c:pt>
                <c:pt idx="41">
                  <c:v>0.23905478418055129</c:v>
                </c:pt>
                <c:pt idx="42">
                  <c:v>0.20370765655306278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0.39920316272880302</c:v>
                </c:pt>
                <c:pt idx="16">
                  <c:v>0.39901688411077302</c:v>
                </c:pt>
                <c:pt idx="17">
                  <c:v>0.39835166493897733</c:v>
                </c:pt>
                <c:pt idx="18">
                  <c:v>0.39910986439132917</c:v>
                </c:pt>
                <c:pt idx="19">
                  <c:v>0.39953045866742565</c:v>
                </c:pt>
                <c:pt idx="20">
                  <c:v>0.39470129545486532</c:v>
                </c:pt>
                <c:pt idx="21">
                  <c:v>0.39526386371162492</c:v>
                </c:pt>
                <c:pt idx="22">
                  <c:v>0.39443096599862082</c:v>
                </c:pt>
                <c:pt idx="23">
                  <c:v>0.39563665271449916</c:v>
                </c:pt>
                <c:pt idx="24">
                  <c:v>0.39559197930870615</c:v>
                </c:pt>
                <c:pt idx="25">
                  <c:v>0.39686877912574309</c:v>
                </c:pt>
                <c:pt idx="26">
                  <c:v>0.39686552669861397</c:v>
                </c:pt>
                <c:pt idx="27">
                  <c:v>0.39681177500777404</c:v>
                </c:pt>
                <c:pt idx="28">
                  <c:v>0.39781534804454621</c:v>
                </c:pt>
                <c:pt idx="29">
                  <c:v>0.39378058752170686</c:v>
                </c:pt>
                <c:pt idx="30">
                  <c:v>0.39378045110669579</c:v>
                </c:pt>
                <c:pt idx="31">
                  <c:v>0.39378040092072986</c:v>
                </c:pt>
                <c:pt idx="32">
                  <c:v>0.39507037981409077</c:v>
                </c:pt>
                <c:pt idx="33">
                  <c:v>0.39507037443077081</c:v>
                </c:pt>
                <c:pt idx="34">
                  <c:v>0.39507037245035476</c:v>
                </c:pt>
                <c:pt idx="35">
                  <c:v>0.39504908018860024</c:v>
                </c:pt>
                <c:pt idx="36">
                  <c:v>0.39504907991915716</c:v>
                </c:pt>
                <c:pt idx="37">
                  <c:v>0.39507037135518014</c:v>
                </c:pt>
                <c:pt idx="38">
                  <c:v>0.39507037131890743</c:v>
                </c:pt>
                <c:pt idx="39">
                  <c:v>0.39507037130556355</c:v>
                </c:pt>
                <c:pt idx="40">
                  <c:v>0.39376196367342609</c:v>
                </c:pt>
                <c:pt idx="41">
                  <c:v>0.39376196367342609</c:v>
                </c:pt>
                <c:pt idx="42">
                  <c:v>0.39370823830152291</c:v>
                </c:pt>
                <c:pt idx="43">
                  <c:v>0.39370823830152279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1.0008983079513698</c:v>
                </c:pt>
                <c:pt idx="6">
                  <c:v>1.0041920845736845</c:v>
                </c:pt>
                <c:pt idx="7">
                  <c:v>1.0135500713496812</c:v>
                </c:pt>
                <c:pt idx="8">
                  <c:v>1.0324522757206154</c:v>
                </c:pt>
                <c:pt idx="9">
                  <c:v>1.058008961152918</c:v>
                </c:pt>
                <c:pt idx="10">
                  <c:v>1.0849591705282005</c:v>
                </c:pt>
                <c:pt idx="11">
                  <c:v>1.1076633771243392</c:v>
                </c:pt>
                <c:pt idx="12">
                  <c:v>1.1270212037878509</c:v>
                </c:pt>
                <c:pt idx="13">
                  <c:v>1.1441686783758354</c:v>
                </c:pt>
                <c:pt idx="14">
                  <c:v>1.1595392775275832</c:v>
                </c:pt>
                <c:pt idx="15">
                  <c:v>1.1650170261630517</c:v>
                </c:pt>
                <c:pt idx="16">
                  <c:v>1.1703447599776886</c:v>
                </c:pt>
                <c:pt idx="17">
                  <c:v>1.1755749587226196</c:v>
                </c:pt>
                <c:pt idx="18">
                  <c:v>1.1808167216917986</c:v>
                </c:pt>
                <c:pt idx="19">
                  <c:v>1.1862333831595995</c:v>
                </c:pt>
                <c:pt idx="20">
                  <c:v>1.1883029202486735</c:v>
                </c:pt>
                <c:pt idx="21">
                  <c:v>1.189967925633781</c:v>
                </c:pt>
                <c:pt idx="22">
                  <c:v>1.1918234789226325</c:v>
                </c:pt>
                <c:pt idx="23">
                  <c:v>1.1943986538656561</c:v>
                </c:pt>
                <c:pt idx="24">
                  <c:v>1.1986840066095812</c:v>
                </c:pt>
                <c:pt idx="25">
                  <c:v>1.2033508633543359</c:v>
                </c:pt>
                <c:pt idx="26">
                  <c:v>1.2101874192809525</c:v>
                </c:pt>
                <c:pt idx="27">
                  <c:v>1.2228420160616549</c:v>
                </c:pt>
                <c:pt idx="28">
                  <c:v>1.2385088260930064</c:v>
                </c:pt>
                <c:pt idx="29">
                  <c:v>1.255210155011923</c:v>
                </c:pt>
                <c:pt idx="30">
                  <c:v>1.2657643959867388</c:v>
                </c:pt>
                <c:pt idx="31">
                  <c:v>1.2741422695526341</c:v>
                </c:pt>
                <c:pt idx="32">
                  <c:v>1.2808891471685657</c:v>
                </c:pt>
                <c:pt idx="33">
                  <c:v>1.2869671416526971</c:v>
                </c:pt>
                <c:pt idx="34">
                  <c:v>1.2923442556293123</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1.0007549646487</c:v>
                </c:pt>
                <c:pt idx="6">
                  <c:v>1.003584487700109</c:v>
                </c:pt>
                <c:pt idx="7">
                  <c:v>1.0112671630496173</c:v>
                </c:pt>
                <c:pt idx="8">
                  <c:v>1.0256173583777612</c:v>
                </c:pt>
                <c:pt idx="9">
                  <c:v>1.0442520732481069</c:v>
                </c:pt>
                <c:pt idx="10">
                  <c:v>1.0679413942799605</c:v>
                </c:pt>
                <c:pt idx="11">
                  <c:v>1.089621820013805</c:v>
                </c:pt>
                <c:pt idx="12">
                  <c:v>1.1073290122099309</c:v>
                </c:pt>
                <c:pt idx="13">
                  <c:v>1.1245322855399611</c:v>
                </c:pt>
                <c:pt idx="14">
                  <c:v>1.1408625866872519</c:v>
                </c:pt>
                <c:pt idx="15">
                  <c:v>1.1414901984998338</c:v>
                </c:pt>
                <c:pt idx="16">
                  <c:v>1.1418794277421196</c:v>
                </c:pt>
                <c:pt idx="17">
                  <c:v>1.1432773928057347</c:v>
                </c:pt>
                <c:pt idx="18">
                  <c:v>1.1457582783187412</c:v>
                </c:pt>
                <c:pt idx="19">
                  <c:v>1.1521609348237332</c:v>
                </c:pt>
                <c:pt idx="20">
                  <c:v>1.1557959101748465</c:v>
                </c:pt>
                <c:pt idx="21">
                  <c:v>1.158296726275855</c:v>
                </c:pt>
                <c:pt idx="22">
                  <c:v>1.1687689010265228</c:v>
                </c:pt>
                <c:pt idx="23">
                  <c:v>1.1818292086430262</c:v>
                </c:pt>
                <c:pt idx="24">
                  <c:v>1.1936124489166382</c:v>
                </c:pt>
                <c:pt idx="25">
                  <c:v>1.204010536454714</c:v>
                </c:pt>
                <c:pt idx="26">
                  <c:v>1.2177116622501021</c:v>
                </c:pt>
                <c:pt idx="27">
                  <c:v>1.2402652970325803</c:v>
                </c:pt>
                <c:pt idx="28">
                  <c:v>1.2609474391990747</c:v>
                </c:pt>
                <c:pt idx="29">
                  <c:v>1.2809039218870637</c:v>
                </c:pt>
                <c:pt idx="30">
                  <c:v>1.2958494168635544</c:v>
                </c:pt>
                <c:pt idx="31">
                  <c:v>1.3065298854293024</c:v>
                </c:pt>
                <c:pt idx="32">
                  <c:v>1.3179405235100241</c:v>
                </c:pt>
                <c:pt idx="33">
                  <c:v>1.3269261774044063</c:v>
                </c:pt>
                <c:pt idx="34">
                  <c:v>1.3347368063774963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1.0022191937914875</c:v>
                </c:pt>
                <c:pt idx="7">
                  <c:v>1.0068643780289677</c:v>
                </c:pt>
                <c:pt idx="8">
                  <c:v>1.0170740816421426</c:v>
                </c:pt>
                <c:pt idx="9">
                  <c:v>1.0317709165439286</c:v>
                </c:pt>
                <c:pt idx="10">
                  <c:v>1.0557286793267227</c:v>
                </c:pt>
                <c:pt idx="11">
                  <c:v>1.0770482582847192</c:v>
                </c:pt>
                <c:pt idx="12">
                  <c:v>1.0965276681308951</c:v>
                </c:pt>
                <c:pt idx="13">
                  <c:v>1.1117583616650109</c:v>
                </c:pt>
                <c:pt idx="14">
                  <c:v>1.1244358633406495</c:v>
                </c:pt>
                <c:pt idx="15">
                  <c:v>1.1270539275180433</c:v>
                </c:pt>
                <c:pt idx="16">
                  <c:v>1.1327193397723989</c:v>
                </c:pt>
                <c:pt idx="17">
                  <c:v>1.1348444739238386</c:v>
                </c:pt>
                <c:pt idx="18">
                  <c:v>1.1373742327368175</c:v>
                </c:pt>
                <c:pt idx="19">
                  <c:v>1.1415404909160383</c:v>
                </c:pt>
                <c:pt idx="20">
                  <c:v>1.1426008515530683</c:v>
                </c:pt>
                <c:pt idx="21">
                  <c:v>1.1429750326439385</c:v>
                </c:pt>
                <c:pt idx="22">
                  <c:v>1.1438809433643247</c:v>
                </c:pt>
                <c:pt idx="23">
                  <c:v>1.1489332173502926</c:v>
                </c:pt>
                <c:pt idx="24">
                  <c:v>1.1516975370911764</c:v>
                </c:pt>
                <c:pt idx="25">
                  <c:v>1.1564968321654123</c:v>
                </c:pt>
                <c:pt idx="26">
                  <c:v>1.1659326623518642</c:v>
                </c:pt>
                <c:pt idx="27">
                  <c:v>1.1793195338542184</c:v>
                </c:pt>
                <c:pt idx="28">
                  <c:v>1.1953196932923398</c:v>
                </c:pt>
                <c:pt idx="29">
                  <c:v>1.2142013407808649</c:v>
                </c:pt>
                <c:pt idx="30">
                  <c:v>1.2278592508831407</c:v>
                </c:pt>
                <c:pt idx="31">
                  <c:v>1.229833268476437</c:v>
                </c:pt>
                <c:pt idx="32">
                  <c:v>1.236246771991252</c:v>
                </c:pt>
                <c:pt idx="33">
                  <c:v>1.2383754451790592</c:v>
                </c:pt>
                <c:pt idx="34">
                  <c:v>1.2407704344692261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6.5937589910582313</c:v>
                </c:pt>
                <c:pt idx="1">
                  <c:v>6.610100853808035</c:v>
                </c:pt>
                <c:pt idx="2">
                  <c:v>6.7005254493390005</c:v>
                </c:pt>
                <c:pt idx="3">
                  <c:v>6.7836459413167711</c:v>
                </c:pt>
                <c:pt idx="4">
                  <c:v>6.8935028575399588</c:v>
                </c:pt>
                <c:pt idx="5">
                  <c:v>7.0085428042454856</c:v>
                </c:pt>
                <c:pt idx="6">
                  <c:v>7.1518705692126217</c:v>
                </c:pt>
                <c:pt idx="7">
                  <c:v>7.285737346405269</c:v>
                </c:pt>
                <c:pt idx="8">
                  <c:v>7.3498347364013634</c:v>
                </c:pt>
                <c:pt idx="9">
                  <c:v>7.4265021351464533</c:v>
                </c:pt>
                <c:pt idx="10">
                  <c:v>7.4306901675713188</c:v>
                </c:pt>
                <c:pt idx="11">
                  <c:v>7.4348781999961817</c:v>
                </c:pt>
                <c:pt idx="12">
                  <c:v>7.4390662324210455</c:v>
                </c:pt>
                <c:pt idx="13">
                  <c:v>7.4432542648459084</c:v>
                </c:pt>
                <c:pt idx="14">
                  <c:v>7.4474422972707748</c:v>
                </c:pt>
                <c:pt idx="15">
                  <c:v>7.4516303296956377</c:v>
                </c:pt>
                <c:pt idx="16">
                  <c:v>7.4551478614568492</c:v>
                </c:pt>
                <c:pt idx="17">
                  <c:v>7.4551644145974123</c:v>
                </c:pt>
                <c:pt idx="18">
                  <c:v>7.4551809677379772</c:v>
                </c:pt>
                <c:pt idx="19">
                  <c:v>7.4551975208785422</c:v>
                </c:pt>
                <c:pt idx="20">
                  <c:v>7.4552140740191053</c:v>
                </c:pt>
                <c:pt idx="21">
                  <c:v>7.4552306271596702</c:v>
                </c:pt>
                <c:pt idx="22">
                  <c:v>7.455247180300236</c:v>
                </c:pt>
                <c:pt idx="23">
                  <c:v>7.4552637334407992</c:v>
                </c:pt>
                <c:pt idx="24">
                  <c:v>7.4552802865813641</c:v>
                </c:pt>
                <c:pt idx="25">
                  <c:v>7.455296839721929</c:v>
                </c:pt>
                <c:pt idx="26">
                  <c:v>7.4553133928624931</c:v>
                </c:pt>
                <c:pt idx="27">
                  <c:v>7.4553299460030589</c:v>
                </c:pt>
                <c:pt idx="28">
                  <c:v>7.455346499143622</c:v>
                </c:pt>
                <c:pt idx="29">
                  <c:v>7.4553630522841869</c:v>
                </c:pt>
                <c:pt idx="30">
                  <c:v>7.455379605424751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6.7450424840493035</c:v>
                </c:pt>
                <c:pt idx="2">
                  <c:v>6.9690689215323394</c:v>
                </c:pt>
                <c:pt idx="3">
                  <c:v>7.1840928879382586</c:v>
                </c:pt>
                <c:pt idx="4">
                  <c:v>7.4264535186122629</c:v>
                </c:pt>
                <c:pt idx="5">
                  <c:v>7.6740426808692392</c:v>
                </c:pt>
                <c:pt idx="6">
                  <c:v>7.9528406682628203</c:v>
                </c:pt>
                <c:pt idx="7">
                  <c:v>8.2216592425265489</c:v>
                </c:pt>
                <c:pt idx="8">
                  <c:v>8.4109962645064513</c:v>
                </c:pt>
                <c:pt idx="9">
                  <c:v>8.6131061487827569</c:v>
                </c:pt>
                <c:pt idx="10">
                  <c:v>8.7287315275043209</c:v>
                </c:pt>
                <c:pt idx="11">
                  <c:v>8.7336511527128469</c:v>
                </c:pt>
                <c:pt idx="12">
                  <c:v>8.738570777921371</c:v>
                </c:pt>
                <c:pt idx="13">
                  <c:v>8.7434904031298952</c:v>
                </c:pt>
                <c:pt idx="14">
                  <c:v>8.7484100283384194</c:v>
                </c:pt>
                <c:pt idx="15">
                  <c:v>8.7533296535469436</c:v>
                </c:pt>
                <c:pt idx="16">
                  <c:v>8.757461650668434</c:v>
                </c:pt>
                <c:pt idx="17">
                  <c:v>8.7574810954194149</c:v>
                </c:pt>
                <c:pt idx="18">
                  <c:v>8.7575005401703958</c:v>
                </c:pt>
                <c:pt idx="19">
                  <c:v>8.7575199849213785</c:v>
                </c:pt>
                <c:pt idx="20">
                  <c:v>8.7575394296723594</c:v>
                </c:pt>
                <c:pt idx="21">
                  <c:v>8.7575588744233404</c:v>
                </c:pt>
                <c:pt idx="22">
                  <c:v>8.7575783191743213</c:v>
                </c:pt>
                <c:pt idx="23">
                  <c:v>8.757597763925304</c:v>
                </c:pt>
                <c:pt idx="24">
                  <c:v>8.7576172086762831</c:v>
                </c:pt>
                <c:pt idx="25">
                  <c:v>8.7576366534272641</c:v>
                </c:pt>
                <c:pt idx="26">
                  <c:v>8.757656098178245</c:v>
                </c:pt>
                <c:pt idx="27">
                  <c:v>8.7576755429292259</c:v>
                </c:pt>
                <c:pt idx="28">
                  <c:v>8.7576949876802068</c:v>
                </c:pt>
                <c:pt idx="29">
                  <c:v>8.7577144324311877</c:v>
                </c:pt>
                <c:pt idx="30">
                  <c:v>8.7577338771821687</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6.7496952407848143</c:v>
                </c:pt>
                <c:pt idx="2">
                  <c:v>6.978762914555956</c:v>
                </c:pt>
                <c:pt idx="3">
                  <c:v>7.1987644467737528</c:v>
                </c:pt>
                <c:pt idx="4">
                  <c:v>7.4461235189702206</c:v>
                </c:pt>
                <c:pt idx="5">
                  <c:v>7.6987124926565631</c:v>
                </c:pt>
                <c:pt idx="6">
                  <c:v>7.9826187386488376</c:v>
                </c:pt>
                <c:pt idx="7">
                  <c:v>8.2565266231786616</c:v>
                </c:pt>
                <c:pt idx="8">
                  <c:v>8.4505907397396012</c:v>
                </c:pt>
                <c:pt idx="9">
                  <c:v>8.657434535593751</c:v>
                </c:pt>
                <c:pt idx="10">
                  <c:v>8.7772696090206512</c:v>
                </c:pt>
                <c:pt idx="11">
                  <c:v>8.782216590915386</c:v>
                </c:pt>
                <c:pt idx="12">
                  <c:v>8.7871635728101189</c:v>
                </c:pt>
                <c:pt idx="13">
                  <c:v>8.7921105547048519</c:v>
                </c:pt>
                <c:pt idx="14">
                  <c:v>8.7970575365995849</c:v>
                </c:pt>
                <c:pt idx="15">
                  <c:v>8.8020045184943179</c:v>
                </c:pt>
                <c:pt idx="16">
                  <c:v>8.8061594925182902</c:v>
                </c:pt>
                <c:pt idx="17">
                  <c:v>8.8061790453961972</c:v>
                </c:pt>
                <c:pt idx="18">
                  <c:v>8.8061985982741025</c:v>
                </c:pt>
                <c:pt idx="19">
                  <c:v>8.8062181511520112</c:v>
                </c:pt>
                <c:pt idx="20">
                  <c:v>8.8062377040299182</c:v>
                </c:pt>
                <c:pt idx="21">
                  <c:v>8.8062572569078252</c:v>
                </c:pt>
                <c:pt idx="22">
                  <c:v>8.8062768097857322</c:v>
                </c:pt>
                <c:pt idx="23">
                  <c:v>8.8062963626636392</c:v>
                </c:pt>
                <c:pt idx="24">
                  <c:v>8.8063159155415462</c:v>
                </c:pt>
                <c:pt idx="25">
                  <c:v>8.8063354684194532</c:v>
                </c:pt>
                <c:pt idx="26">
                  <c:v>8.8063550212973603</c:v>
                </c:pt>
                <c:pt idx="27">
                  <c:v>8.8063745741752673</c:v>
                </c:pt>
                <c:pt idx="28">
                  <c:v>8.8063941270531743</c:v>
                </c:pt>
                <c:pt idx="29">
                  <c:v>8.8064136799310795</c:v>
                </c:pt>
                <c:pt idx="30">
                  <c:v>8.8064332328089865</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9.0537606474300549</c:v>
                </c:pt>
                <c:pt idx="12">
                  <c:v>9.2716101600233873</c:v>
                </c:pt>
                <c:pt idx="13">
                  <c:v>9.5495262472803866</c:v>
                </c:pt>
                <c:pt idx="14">
                  <c:v>9.8869716013284243</c:v>
                </c:pt>
                <c:pt idx="15">
                  <c:v>10.251101761948355</c:v>
                </c:pt>
                <c:pt idx="16">
                  <c:v>10.380980945103342</c:v>
                </c:pt>
                <c:pt idx="17">
                  <c:v>10.489284653009459</c:v>
                </c:pt>
                <c:pt idx="18">
                  <c:v>10.636641623772098</c:v>
                </c:pt>
                <c:pt idx="19">
                  <c:v>10.785747184830429</c:v>
                </c:pt>
                <c:pt idx="20">
                  <c:v>10.957504382685043</c:v>
                </c:pt>
                <c:pt idx="21">
                  <c:v>11.142796945553878</c:v>
                </c:pt>
                <c:pt idx="22">
                  <c:v>11.362221268713945</c:v>
                </c:pt>
                <c:pt idx="23">
                  <c:v>11.621337178521928</c:v>
                </c:pt>
                <c:pt idx="24">
                  <c:v>11.849402916091428</c:v>
                </c:pt>
                <c:pt idx="25">
                  <c:v>12.044200311359473</c:v>
                </c:pt>
                <c:pt idx="26">
                  <c:v>12.201267536158785</c:v>
                </c:pt>
                <c:pt idx="27">
                  <c:v>12.316326444468627</c:v>
                </c:pt>
                <c:pt idx="28">
                  <c:v>12.420839548418829</c:v>
                </c:pt>
                <c:pt idx="29">
                  <c:v>12.513441247942984</c:v>
                </c:pt>
                <c:pt idx="30">
                  <c:v>12.600172029070837</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19.935600230039654</c:v>
                </c:pt>
                <c:pt idx="23">
                  <c:v>20.01574261553893</c:v>
                </c:pt>
                <c:pt idx="24">
                  <c:v>20.095885356726619</c:v>
                </c:pt>
                <c:pt idx="25">
                  <c:v>20.176028453602722</c:v>
                </c:pt>
                <c:pt idx="26">
                  <c:v>20.256171906167243</c:v>
                </c:pt>
                <c:pt idx="27">
                  <c:v>20.336315714420177</c:v>
                </c:pt>
                <c:pt idx="28">
                  <c:v>20.416459878361525</c:v>
                </c:pt>
                <c:pt idx="29">
                  <c:v>20.496604397991288</c:v>
                </c:pt>
                <c:pt idx="30">
                  <c:v>20.576749273309449</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10.111692570575936</c:v>
                </c:pt>
                <c:pt idx="17">
                  <c:v>10.214978650102701</c:v>
                </c:pt>
                <c:pt idx="18">
                  <c:v>10.318265188194093</c:v>
                </c:pt>
                <c:pt idx="19">
                  <c:v>10.421552184850116</c:v>
                </c:pt>
                <c:pt idx="20">
                  <c:v>10.524839640070761</c:v>
                </c:pt>
                <c:pt idx="21">
                  <c:v>10.628127553856038</c:v>
                </c:pt>
                <c:pt idx="22">
                  <c:v>10.731415926205942</c:v>
                </c:pt>
                <c:pt idx="23">
                  <c:v>10.834704757120475</c:v>
                </c:pt>
                <c:pt idx="24">
                  <c:v>10.937994046599632</c:v>
                </c:pt>
                <c:pt idx="25">
                  <c:v>11.041283794643421</c:v>
                </c:pt>
                <c:pt idx="26">
                  <c:v>11.144574001251836</c:v>
                </c:pt>
                <c:pt idx="27">
                  <c:v>11.24786466642488</c:v>
                </c:pt>
                <c:pt idx="28">
                  <c:v>11.351155790162549</c:v>
                </c:pt>
                <c:pt idx="29">
                  <c:v>11.454447372464848</c:v>
                </c:pt>
                <c:pt idx="30">
                  <c:v>11.557739413331781</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png"/><Relationship Id="rId4"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85725</xdr:colOff>
          <xdr:row>8</xdr:row>
          <xdr:rowOff>0</xdr:rowOff>
        </xdr:from>
        <xdr:to>
          <xdr:col>18</xdr:col>
          <xdr:colOff>438150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8</xdr:row>
          <xdr:rowOff>123825</xdr:rowOff>
        </xdr:from>
        <xdr:to>
          <xdr:col>19</xdr:col>
          <xdr:colOff>476250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511212</xdr:colOff>
      <xdr:row>8</xdr:row>
      <xdr:rowOff>75640</xdr:rowOff>
    </xdr:from>
    <xdr:to>
      <xdr:col>23</xdr:col>
      <xdr:colOff>278802</xdr:colOff>
      <xdr:row>28</xdr:row>
      <xdr:rowOff>145153</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548640</xdr:colOff>
      <xdr:row>30</xdr:row>
      <xdr:rowOff>87630</xdr:rowOff>
    </xdr:from>
    <xdr:to>
      <xdr:col>23</xdr:col>
      <xdr:colOff>266700</xdr:colOff>
      <xdr:row>49</xdr:row>
      <xdr:rowOff>167640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209550</xdr:colOff>
      <xdr:row>7</xdr:row>
      <xdr:rowOff>285750</xdr:rowOff>
    </xdr:from>
    <xdr:to>
      <xdr:col>12</xdr:col>
      <xdr:colOff>371475</xdr:colOff>
      <xdr:row>22</xdr:row>
      <xdr:rowOff>85725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defaultRowHeight="12.75" x14ac:dyDescent="0.2"/>
  <cols>
    <col min="1" max="1" width="9.140625" style="1341"/>
    <col min="2" max="2" width="10.140625" style="1341" bestFit="1" customWidth="1"/>
    <col min="3" max="3" width="15.28515625" style="1341" bestFit="1" customWidth="1"/>
    <col min="4" max="4" width="72.7109375" style="1343" customWidth="1"/>
    <col min="5" max="16384" width="9.140625" style="1341"/>
  </cols>
  <sheetData>
    <row r="2" spans="2:4" x14ac:dyDescent="0.2">
      <c r="B2" s="1339" t="s">
        <v>391</v>
      </c>
    </row>
    <row r="4" spans="2:4" x14ac:dyDescent="0.2">
      <c r="B4" s="1339" t="s">
        <v>382</v>
      </c>
      <c r="C4" s="1339" t="s">
        <v>383</v>
      </c>
      <c r="D4" s="1340" t="s">
        <v>384</v>
      </c>
    </row>
    <row r="5" spans="2:4" x14ac:dyDescent="0.2">
      <c r="B5" s="1342">
        <v>43763</v>
      </c>
      <c r="C5" s="1339" t="s">
        <v>385</v>
      </c>
      <c r="D5" s="1340" t="s">
        <v>412</v>
      </c>
    </row>
    <row r="6" spans="2:4" x14ac:dyDescent="0.2">
      <c r="B6" s="1342">
        <v>43763</v>
      </c>
      <c r="C6" s="1339" t="s">
        <v>386</v>
      </c>
      <c r="D6" s="1340" t="s">
        <v>387</v>
      </c>
    </row>
    <row r="7" spans="2:4" ht="38.25" x14ac:dyDescent="0.2">
      <c r="B7" s="1342">
        <v>43763</v>
      </c>
      <c r="C7" s="1339" t="s">
        <v>388</v>
      </c>
      <c r="D7" s="1340" t="s">
        <v>389</v>
      </c>
    </row>
    <row r="8" spans="2:4" ht="38.25" x14ac:dyDescent="0.2">
      <c r="B8" s="1342">
        <v>43763</v>
      </c>
      <c r="C8" s="1339" t="s">
        <v>378</v>
      </c>
      <c r="D8" s="1340" t="s">
        <v>389</v>
      </c>
    </row>
    <row r="9" spans="2:4" ht="38.25" x14ac:dyDescent="0.2">
      <c r="B9" s="1342">
        <v>43763</v>
      </c>
      <c r="C9" s="1339" t="s">
        <v>390</v>
      </c>
      <c r="D9" s="1340" t="s">
        <v>389</v>
      </c>
    </row>
    <row r="10" spans="2:4" ht="38.25" x14ac:dyDescent="0.2">
      <c r="B10" s="1342">
        <v>43763</v>
      </c>
      <c r="C10" s="1339" t="s">
        <v>392</v>
      </c>
      <c r="D10" s="1340" t="s">
        <v>393</v>
      </c>
    </row>
    <row r="11" spans="2:4" ht="25.5" x14ac:dyDescent="0.2">
      <c r="B11" s="1342">
        <v>43763</v>
      </c>
      <c r="C11" s="1339" t="s">
        <v>388</v>
      </c>
      <c r="D11" s="1340" t="s">
        <v>394</v>
      </c>
    </row>
    <row r="12" spans="2:4" ht="25.5" x14ac:dyDescent="0.2">
      <c r="B12" s="1342">
        <v>43763</v>
      </c>
      <c r="C12" s="1339" t="s">
        <v>378</v>
      </c>
      <c r="D12" s="1340" t="s">
        <v>394</v>
      </c>
    </row>
    <row r="13" spans="2:4" ht="25.5" x14ac:dyDescent="0.2">
      <c r="B13" s="1342">
        <v>43763</v>
      </c>
      <c r="C13" s="1339" t="s">
        <v>390</v>
      </c>
      <c r="D13" s="1340" t="s">
        <v>394</v>
      </c>
    </row>
    <row r="14" spans="2:4" ht="38.25" x14ac:dyDescent="0.2">
      <c r="B14" s="1342">
        <v>43763</v>
      </c>
      <c r="C14" s="1339" t="s">
        <v>385</v>
      </c>
      <c r="D14" s="1340" t="s">
        <v>395</v>
      </c>
    </row>
    <row r="15" spans="2:4" ht="25.5" x14ac:dyDescent="0.2">
      <c r="B15" s="1342">
        <v>43768</v>
      </c>
      <c r="C15" s="1339" t="s">
        <v>403</v>
      </c>
      <c r="D15" s="1340" t="s">
        <v>406</v>
      </c>
    </row>
    <row r="16" spans="2:4" x14ac:dyDescent="0.2">
      <c r="B16" s="1339" t="s">
        <v>405</v>
      </c>
      <c r="C16" s="1339" t="s">
        <v>407</v>
      </c>
      <c r="D16" s="1340" t="s">
        <v>408</v>
      </c>
    </row>
    <row r="17" spans="2:4" x14ac:dyDescent="0.2">
      <c r="B17" s="1342">
        <v>43770</v>
      </c>
      <c r="C17" s="1339" t="s">
        <v>407</v>
      </c>
      <c r="D17" s="1340" t="s">
        <v>409</v>
      </c>
    </row>
    <row r="18" spans="2:4" ht="25.5" x14ac:dyDescent="0.2">
      <c r="B18" s="1525">
        <v>43770</v>
      </c>
      <c r="C18" s="1339" t="s">
        <v>410</v>
      </c>
      <c r="D18" s="1340" t="s">
        <v>411</v>
      </c>
    </row>
    <row r="19" spans="2:4" x14ac:dyDescent="0.2">
      <c r="B19" s="1342">
        <v>43775</v>
      </c>
      <c r="C19" s="1339" t="s">
        <v>403</v>
      </c>
      <c r="D19" s="1340" t="s">
        <v>414</v>
      </c>
    </row>
    <row r="20" spans="2:4" ht="25.5" x14ac:dyDescent="0.2">
      <c r="B20" s="1342">
        <v>43775</v>
      </c>
      <c r="C20" s="1339" t="s">
        <v>410</v>
      </c>
      <c r="D20" s="1340" t="s">
        <v>415</v>
      </c>
    </row>
    <row r="21" spans="2:4" ht="25.5" x14ac:dyDescent="0.2">
      <c r="B21" s="1342">
        <v>43775</v>
      </c>
      <c r="C21" s="1339" t="s">
        <v>392</v>
      </c>
      <c r="D21" s="1340" t="s">
        <v>416</v>
      </c>
    </row>
    <row r="22" spans="2:4" ht="51" x14ac:dyDescent="0.2">
      <c r="B22" s="1342">
        <v>43775</v>
      </c>
      <c r="C22" s="1339" t="s">
        <v>410</v>
      </c>
      <c r="D22" s="1340" t="s">
        <v>417</v>
      </c>
    </row>
    <row r="23" spans="2:4" x14ac:dyDescent="0.2">
      <c r="B23" s="1342">
        <v>43775</v>
      </c>
      <c r="C23" s="1339" t="s">
        <v>420</v>
      </c>
      <c r="D23" s="1340" t="s">
        <v>419</v>
      </c>
    </row>
    <row r="24" spans="2:4" ht="25.5" x14ac:dyDescent="0.2">
      <c r="B24" s="1342">
        <v>44019</v>
      </c>
      <c r="C24" s="1339" t="s">
        <v>407</v>
      </c>
      <c r="D24" s="1340" t="s">
        <v>450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defaultColWidth="9.140625" defaultRowHeight="12.75" x14ac:dyDescent="0.2"/>
  <cols>
    <col min="1" max="1" width="3" style="353" customWidth="1"/>
    <col min="2" max="2" width="120" style="367" customWidth="1"/>
    <col min="3" max="16384" width="9.140625" style="353"/>
  </cols>
  <sheetData>
    <row r="1" spans="1:3" ht="15.75" x14ac:dyDescent="0.25">
      <c r="A1" s="1526" t="s">
        <v>441</v>
      </c>
      <c r="B1" s="1526"/>
    </row>
    <row r="2" spans="1:3" x14ac:dyDescent="0.2">
      <c r="A2" s="1527" t="s">
        <v>374</v>
      </c>
      <c r="B2" s="1528"/>
    </row>
    <row r="3" spans="1:3" x14ac:dyDescent="0.2">
      <c r="A3" s="354"/>
      <c r="B3" s="355"/>
    </row>
    <row r="4" spans="1:3" ht="15" x14ac:dyDescent="0.25">
      <c r="A4" s="356" t="s">
        <v>130</v>
      </c>
      <c r="B4" s="357"/>
    </row>
    <row r="5" spans="1:3" ht="38.25" x14ac:dyDescent="0.2">
      <c r="A5" s="358">
        <v>1</v>
      </c>
      <c r="B5" s="1315" t="s">
        <v>443</v>
      </c>
      <c r="C5" s="376"/>
    </row>
    <row r="6" spans="1:3" x14ac:dyDescent="0.2">
      <c r="A6" s="359">
        <v>2</v>
      </c>
      <c r="B6" s="1316" t="s">
        <v>444</v>
      </c>
    </row>
    <row r="7" spans="1:3" x14ac:dyDescent="0.2">
      <c r="A7" s="359">
        <v>3</v>
      </c>
      <c r="B7" s="1317" t="s">
        <v>131</v>
      </c>
    </row>
    <row r="8" spans="1:3" ht="25.5" x14ac:dyDescent="0.2">
      <c r="A8" s="361"/>
      <c r="B8" s="1316" t="s">
        <v>132</v>
      </c>
    </row>
    <row r="9" spans="1:3" ht="38.25" x14ac:dyDescent="0.2">
      <c r="A9" s="363">
        <v>4</v>
      </c>
      <c r="B9" s="1318" t="s">
        <v>171</v>
      </c>
    </row>
    <row r="10" spans="1:3" x14ac:dyDescent="0.2">
      <c r="A10" s="363">
        <v>5</v>
      </c>
      <c r="B10" s="1318" t="s">
        <v>134</v>
      </c>
    </row>
    <row r="11" spans="1:3" ht="25.5" x14ac:dyDescent="0.2">
      <c r="A11" s="363">
        <v>6</v>
      </c>
      <c r="B11" s="1318" t="s">
        <v>172</v>
      </c>
    </row>
    <row r="12" spans="1:3" ht="25.5" x14ac:dyDescent="0.2">
      <c r="A12" s="363">
        <v>7</v>
      </c>
      <c r="B12" s="1318" t="s">
        <v>149</v>
      </c>
    </row>
    <row r="13" spans="1:3" ht="25.5" x14ac:dyDescent="0.2">
      <c r="A13" s="360">
        <v>8</v>
      </c>
      <c r="B13" s="1319" t="s">
        <v>445</v>
      </c>
    </row>
    <row r="14" spans="1:3" ht="16.5" customHeight="1" x14ac:dyDescent="0.2">
      <c r="A14" s="360"/>
      <c r="B14" s="1319" t="s">
        <v>446</v>
      </c>
    </row>
    <row r="15" spans="1:3" x14ac:dyDescent="0.2">
      <c r="A15" s="360"/>
      <c r="B15" s="1319" t="s">
        <v>448</v>
      </c>
    </row>
    <row r="16" spans="1:3" x14ac:dyDescent="0.2">
      <c r="A16" s="360"/>
      <c r="B16" s="1319" t="s">
        <v>449</v>
      </c>
    </row>
    <row r="17" spans="1:3" x14ac:dyDescent="0.2">
      <c r="A17" s="360"/>
      <c r="B17" s="1319"/>
    </row>
    <row r="18" spans="1:3" x14ac:dyDescent="0.2">
      <c r="A18" s="366"/>
      <c r="B18" s="1320" t="s">
        <v>447</v>
      </c>
    </row>
    <row r="20" spans="1:3" ht="15" x14ac:dyDescent="0.25">
      <c r="A20" s="356" t="s">
        <v>133</v>
      </c>
      <c r="B20" s="357"/>
    </row>
    <row r="21" spans="1:3" ht="18.75" customHeight="1" x14ac:dyDescent="0.2">
      <c r="A21" s="368">
        <v>1</v>
      </c>
      <c r="B21" s="369" t="s">
        <v>135</v>
      </c>
    </row>
    <row r="22" spans="1:3" x14ac:dyDescent="0.2">
      <c r="A22" s="370"/>
      <c r="B22" s="371" t="s">
        <v>146</v>
      </c>
    </row>
    <row r="23" spans="1:3" ht="18.75" customHeight="1" x14ac:dyDescent="0.2">
      <c r="A23" s="368">
        <v>2</v>
      </c>
      <c r="B23" s="369" t="s">
        <v>147</v>
      </c>
      <c r="C23" s="376"/>
    </row>
    <row r="24" spans="1:3" x14ac:dyDescent="0.2">
      <c r="A24" s="372"/>
      <c r="B24" s="407" t="s">
        <v>148</v>
      </c>
    </row>
    <row r="25" spans="1:3" x14ac:dyDescent="0.2">
      <c r="A25" s="372"/>
      <c r="B25" s="406" t="s">
        <v>140</v>
      </c>
    </row>
    <row r="26" spans="1:3" ht="25.5" x14ac:dyDescent="0.2">
      <c r="A26" s="370"/>
      <c r="B26" s="456" t="s">
        <v>141</v>
      </c>
    </row>
    <row r="27" spans="1:3" ht="18.75" customHeight="1" x14ac:dyDescent="0.2">
      <c r="A27" s="368">
        <v>3</v>
      </c>
      <c r="B27" s="369" t="s">
        <v>142</v>
      </c>
    </row>
    <row r="28" spans="1:3" x14ac:dyDescent="0.2">
      <c r="A28" s="372"/>
      <c r="B28" s="365" t="s">
        <v>371</v>
      </c>
    </row>
    <row r="29" spans="1:3" x14ac:dyDescent="0.2">
      <c r="A29" s="372"/>
      <c r="B29" s="406"/>
    </row>
    <row r="30" spans="1:3" x14ac:dyDescent="0.2">
      <c r="A30" s="372"/>
      <c r="B30" s="406" t="s">
        <v>150</v>
      </c>
    </row>
    <row r="31" spans="1:3" x14ac:dyDescent="0.2">
      <c r="A31" s="372"/>
      <c r="B31" s="409" t="s">
        <v>372</v>
      </c>
    </row>
    <row r="32" spans="1:3" x14ac:dyDescent="0.2">
      <c r="A32" s="370"/>
      <c r="B32" s="373"/>
    </row>
    <row r="33" spans="1:2" ht="18.75" customHeight="1" x14ac:dyDescent="0.2">
      <c r="A33" s="368">
        <v>4</v>
      </c>
      <c r="B33" s="369" t="s">
        <v>143</v>
      </c>
    </row>
    <row r="34" spans="1:2" x14ac:dyDescent="0.2">
      <c r="A34" s="372"/>
      <c r="B34" s="364" t="s">
        <v>442</v>
      </c>
    </row>
    <row r="35" spans="1:2" x14ac:dyDescent="0.2">
      <c r="A35" s="372"/>
      <c r="B35" s="364" t="s">
        <v>373</v>
      </c>
    </row>
    <row r="36" spans="1:2" x14ac:dyDescent="0.2">
      <c r="A36" s="372"/>
      <c r="B36" s="362"/>
    </row>
    <row r="37" spans="1:2" x14ac:dyDescent="0.2">
      <c r="A37" s="372"/>
      <c r="B37" s="364"/>
    </row>
    <row r="38" spans="1:2" x14ac:dyDescent="0.2">
      <c r="A38" s="372"/>
      <c r="B38" s="362"/>
    </row>
    <row r="39" spans="1:2" x14ac:dyDescent="0.2">
      <c r="A39" s="370"/>
      <c r="B39" s="374"/>
    </row>
    <row r="40" spans="1:2" ht="18.75" customHeight="1" x14ac:dyDescent="0.2">
      <c r="A40" s="368">
        <v>5</v>
      </c>
      <c r="B40" s="369" t="s">
        <v>144</v>
      </c>
    </row>
    <row r="41" spans="1:2" x14ac:dyDescent="0.2">
      <c r="A41" s="372"/>
      <c r="B41" s="375" t="s">
        <v>145</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C31" sqref="C31"/>
    </sheetView>
  </sheetViews>
  <sheetFormatPr defaultColWidth="9.140625" defaultRowHeight="12.75" x14ac:dyDescent="0.2"/>
  <cols>
    <col min="1" max="1" width="3" style="917" customWidth="1"/>
    <col min="2" max="2" width="20.28515625" style="913" customWidth="1"/>
    <col min="3" max="3" width="15.28515625" style="913" customWidth="1"/>
    <col min="4" max="4" width="18.42578125" style="913" customWidth="1"/>
    <col min="5" max="5" width="14.85546875" style="913" customWidth="1"/>
    <col min="6" max="16384" width="9.140625" style="913"/>
  </cols>
  <sheetData>
    <row r="1" spans="1:7" x14ac:dyDescent="0.2">
      <c r="A1" s="475"/>
      <c r="B1" s="476"/>
      <c r="C1" s="476"/>
      <c r="D1" s="476"/>
      <c r="E1" s="477"/>
    </row>
    <row r="2" spans="1:7" s="922" customFormat="1" ht="15" x14ac:dyDescent="0.25">
      <c r="A2" s="918">
        <v>1</v>
      </c>
      <c r="B2" s="919" t="s">
        <v>115</v>
      </c>
      <c r="C2" s="919"/>
      <c r="D2" s="920"/>
      <c r="E2" s="921"/>
    </row>
    <row r="3" spans="1:7" x14ac:dyDescent="0.2">
      <c r="A3" s="479"/>
      <c r="B3" s="1529" t="s">
        <v>375</v>
      </c>
      <c r="C3" s="1530"/>
      <c r="D3" s="1531"/>
      <c r="E3" s="480"/>
      <c r="F3" s="914"/>
    </row>
    <row r="4" spans="1:7" x14ac:dyDescent="0.2">
      <c r="A4" s="479"/>
      <c r="B4" s="474"/>
      <c r="C4" s="474"/>
      <c r="D4" s="474"/>
      <c r="E4" s="478"/>
    </row>
    <row r="5" spans="1:7" s="922" customFormat="1" ht="15" x14ac:dyDescent="0.25">
      <c r="A5" s="918">
        <v>2</v>
      </c>
      <c r="B5" s="919" t="s">
        <v>114</v>
      </c>
      <c r="C5" s="919"/>
      <c r="D5" s="920"/>
      <c r="E5" s="921"/>
    </row>
    <row r="6" spans="1:7" x14ac:dyDescent="0.2">
      <c r="A6" s="479"/>
      <c r="B6" s="481" t="s">
        <v>53</v>
      </c>
      <c r="C6" s="911">
        <v>7.4999999999999997E-2</v>
      </c>
      <c r="D6" s="474"/>
      <c r="E6" s="478"/>
    </row>
    <row r="7" spans="1:7" x14ac:dyDescent="0.2">
      <c r="A7" s="479"/>
      <c r="B7" s="481" t="s">
        <v>54</v>
      </c>
      <c r="C7" s="912" t="s">
        <v>111</v>
      </c>
      <c r="D7" s="474"/>
      <c r="E7" s="478"/>
    </row>
    <row r="8" spans="1:7" x14ac:dyDescent="0.2">
      <c r="A8" s="479"/>
      <c r="B8" s="482"/>
      <c r="C8" s="482"/>
      <c r="D8" s="482"/>
      <c r="E8" s="483"/>
    </row>
    <row r="9" spans="1:7" s="922" customFormat="1" ht="15" x14ac:dyDescent="0.25">
      <c r="A9" s="918">
        <v>3</v>
      </c>
      <c r="B9" s="923" t="s">
        <v>202</v>
      </c>
      <c r="C9" s="923"/>
      <c r="D9" s="920"/>
      <c r="E9" s="921"/>
    </row>
    <row r="10" spans="1:7" x14ac:dyDescent="0.2">
      <c r="A10" s="479"/>
      <c r="B10" s="474"/>
      <c r="C10" s="474"/>
      <c r="D10" s="474"/>
      <c r="E10" s="478"/>
    </row>
    <row r="11" spans="1:7" x14ac:dyDescent="0.2">
      <c r="A11" s="479"/>
      <c r="B11" s="474"/>
      <c r="C11" s="474"/>
      <c r="D11" s="474"/>
      <c r="E11" s="478"/>
    </row>
    <row r="12" spans="1:7" x14ac:dyDescent="0.2">
      <c r="A12" s="907"/>
      <c r="B12" s="474"/>
      <c r="C12" s="474"/>
      <c r="D12" s="474"/>
      <c r="E12" s="478"/>
    </row>
    <row r="13" spans="1:7" x14ac:dyDescent="0.2">
      <c r="A13" s="907"/>
      <c r="B13" s="905"/>
      <c r="C13" s="474"/>
      <c r="D13" s="484"/>
      <c r="E13" s="478"/>
    </row>
    <row r="14" spans="1:7" x14ac:dyDescent="0.2">
      <c r="A14" s="479"/>
      <c r="B14" s="905"/>
      <c r="C14" s="481" t="s">
        <v>246</v>
      </c>
      <c r="D14" s="909">
        <v>43947.795219907406</v>
      </c>
      <c r="E14" s="478"/>
    </row>
    <row r="15" spans="1:7" x14ac:dyDescent="0.2">
      <c r="A15" s="479"/>
      <c r="B15" s="905"/>
      <c r="C15" s="481" t="s">
        <v>247</v>
      </c>
      <c r="D15" s="909">
        <v>43947.795219907406</v>
      </c>
      <c r="E15" s="478"/>
      <c r="G15" s="915"/>
    </row>
    <row r="16" spans="1:7" x14ac:dyDescent="0.2">
      <c r="A16" s="479"/>
      <c r="B16" s="905"/>
      <c r="C16" s="481" t="s">
        <v>248</v>
      </c>
      <c r="D16" s="909">
        <v>43947.795219907406</v>
      </c>
      <c r="E16" s="478"/>
      <c r="G16" s="915"/>
    </row>
    <row r="17" spans="1:7" x14ac:dyDescent="0.2">
      <c r="A17" s="479"/>
      <c r="B17" s="905"/>
      <c r="C17" s="481" t="s">
        <v>249</v>
      </c>
      <c r="D17" s="909">
        <v>43947.795231481483</v>
      </c>
      <c r="E17" s="478"/>
      <c r="G17" s="915"/>
    </row>
    <row r="18" spans="1:7" x14ac:dyDescent="0.2">
      <c r="A18" s="838"/>
      <c r="B18" s="906"/>
      <c r="C18" s="908" t="s">
        <v>201</v>
      </c>
      <c r="D18" s="910">
        <v>43947.795231481483</v>
      </c>
      <c r="E18" s="839"/>
      <c r="G18" s="915"/>
    </row>
    <row r="19" spans="1:7" x14ac:dyDescent="0.2">
      <c r="A19" s="838"/>
      <c r="B19" s="906"/>
      <c r="C19" s="908" t="s">
        <v>200</v>
      </c>
      <c r="D19" s="910">
        <v>43947.795231481483</v>
      </c>
      <c r="E19" s="839"/>
      <c r="G19" s="916"/>
    </row>
    <row r="20" spans="1:7" x14ac:dyDescent="0.2">
      <c r="A20" s="837"/>
      <c r="B20" s="840"/>
      <c r="C20" s="840"/>
      <c r="D20" s="840"/>
      <c r="E20" s="841"/>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opLeftCell="M11" zoomScaleNormal="100" workbookViewId="0">
      <selection activeCell="AA21" sqref="AA21:AE21"/>
    </sheetView>
  </sheetViews>
  <sheetFormatPr defaultColWidth="9.140625" defaultRowHeight="12.75" x14ac:dyDescent="0.2"/>
  <cols>
    <col min="1" max="1" width="1.5703125" style="496" customWidth="1"/>
    <col min="2" max="2" width="8.28515625" style="496" customWidth="1"/>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ustomWidth="1"/>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1:27" s="538" customFormat="1" ht="15.75" x14ac:dyDescent="0.25">
      <c r="B1" s="771" t="s">
        <v>242</v>
      </c>
      <c r="C1" s="772"/>
      <c r="D1" s="772"/>
      <c r="E1" s="773"/>
      <c r="F1" s="772"/>
      <c r="G1" s="773"/>
    </row>
    <row r="2" spans="1:27" ht="5.25" customHeight="1" x14ac:dyDescent="0.25">
      <c r="B2" s="499"/>
      <c r="C2" s="497"/>
      <c r="D2" s="497"/>
      <c r="F2" s="497"/>
    </row>
    <row r="3" spans="1:27" customFormat="1" x14ac:dyDescent="0.2">
      <c r="A3" s="3"/>
      <c r="B3" s="1" t="s">
        <v>228</v>
      </c>
      <c r="C3" s="3"/>
      <c r="D3" s="766" t="s">
        <v>229</v>
      </c>
      <c r="E3" s="1384">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5.75" thickBot="1" x14ac:dyDescent="0.3">
      <c r="B5" s="500" t="s">
        <v>74</v>
      </c>
      <c r="E5" s="496"/>
      <c r="G5" s="496"/>
      <c r="N5" s="501"/>
      <c r="O5" s="501"/>
    </row>
    <row r="6" spans="1:27" ht="24" customHeight="1" x14ac:dyDescent="0.2">
      <c r="B6" s="502"/>
      <c r="C6" s="503"/>
      <c r="D6" s="504"/>
      <c r="E6" s="504"/>
      <c r="F6" s="503"/>
      <c r="G6" s="503"/>
      <c r="H6" s="834"/>
      <c r="I6" s="603"/>
      <c r="J6" s="1532" t="s">
        <v>76</v>
      </c>
      <c r="K6" s="1533"/>
      <c r="L6" s="1540" t="s">
        <v>83</v>
      </c>
      <c r="M6" s="1533"/>
      <c r="N6" s="1532" t="s">
        <v>109</v>
      </c>
      <c r="O6" s="1533"/>
    </row>
    <row r="7" spans="1:27" ht="27" customHeight="1" thickBot="1" x14ac:dyDescent="0.3">
      <c r="B7" s="505"/>
      <c r="C7" s="602" t="s">
        <v>75</v>
      </c>
      <c r="D7" s="600"/>
      <c r="E7" s="601"/>
      <c r="F7" s="605" t="s">
        <v>212</v>
      </c>
      <c r="G7" s="605" t="s">
        <v>211</v>
      </c>
      <c r="H7" s="835" t="s">
        <v>265</v>
      </c>
      <c r="I7" s="604" t="s">
        <v>81</v>
      </c>
      <c r="J7" s="606" t="s">
        <v>284</v>
      </c>
      <c r="K7" s="607" t="s">
        <v>285</v>
      </c>
      <c r="L7" s="506" t="s">
        <v>113</v>
      </c>
      <c r="M7" s="507" t="s">
        <v>84</v>
      </c>
      <c r="N7" s="508" t="s">
        <v>95</v>
      </c>
      <c r="O7" s="509" t="s">
        <v>112</v>
      </c>
      <c r="P7" s="510"/>
    </row>
    <row r="8" spans="1:27" ht="13.5" thickTop="1" x14ac:dyDescent="0.2">
      <c r="B8" s="511" t="s">
        <v>69</v>
      </c>
      <c r="C8" s="1385" t="s">
        <v>184</v>
      </c>
      <c r="D8" s="1386"/>
      <c r="E8" s="1387"/>
      <c r="F8" s="1388" t="s">
        <v>5</v>
      </c>
      <c r="G8" s="1388" t="s">
        <v>230</v>
      </c>
      <c r="H8" s="894" t="b">
        <f>IF(AND(F8="Electricity",G8="N/A"),TRUE,FALSE)</f>
        <v>0</v>
      </c>
      <c r="I8" s="512"/>
      <c r="J8" s="513"/>
      <c r="K8" s="514"/>
      <c r="L8" s="515"/>
      <c r="M8" s="516"/>
      <c r="N8" s="1419">
        <v>0</v>
      </c>
      <c r="O8" s="1420">
        <v>350</v>
      </c>
      <c r="P8" s="517"/>
    </row>
    <row r="9" spans="1:27" x14ac:dyDescent="0.2">
      <c r="B9" s="518" t="s">
        <v>65</v>
      </c>
      <c r="C9" s="1389" t="s">
        <v>330</v>
      </c>
      <c r="D9" s="1390"/>
      <c r="E9" s="1391"/>
      <c r="F9" s="1392" t="s">
        <v>5</v>
      </c>
      <c r="G9" s="1392" t="s">
        <v>230</v>
      </c>
      <c r="H9" s="895" t="b">
        <f t="shared" ref="H9:H13" si="0">IF(AND(F9="Electricity",G9="N/A"),TRUE,FALSE)</f>
        <v>0</v>
      </c>
      <c r="I9" s="1400">
        <v>2020</v>
      </c>
      <c r="J9" s="1401">
        <v>0</v>
      </c>
      <c r="K9" s="1402">
        <v>0.5</v>
      </c>
      <c r="L9" s="1403">
        <v>5000</v>
      </c>
      <c r="M9" s="1404">
        <v>100</v>
      </c>
      <c r="N9" s="1405">
        <v>0</v>
      </c>
      <c r="O9" s="1406">
        <v>350</v>
      </c>
      <c r="R9" s="539"/>
    </row>
    <row r="10" spans="1:27" x14ac:dyDescent="0.2">
      <c r="B10" s="518" t="s">
        <v>66</v>
      </c>
      <c r="C10" s="1389" t="s">
        <v>322</v>
      </c>
      <c r="D10" s="1390"/>
      <c r="E10" s="1391"/>
      <c r="F10" s="1392" t="s">
        <v>5</v>
      </c>
      <c r="G10" s="1392" t="s">
        <v>230</v>
      </c>
      <c r="H10" s="895" t="b">
        <f t="shared" si="0"/>
        <v>0</v>
      </c>
      <c r="I10" s="1400">
        <v>2020</v>
      </c>
      <c r="J10" s="1401">
        <v>0</v>
      </c>
      <c r="K10" s="1402">
        <v>0.5</v>
      </c>
      <c r="L10" s="1403">
        <v>5000</v>
      </c>
      <c r="M10" s="1404">
        <v>100</v>
      </c>
      <c r="N10" s="1405">
        <v>0</v>
      </c>
      <c r="O10" s="1406">
        <v>350</v>
      </c>
    </row>
    <row r="11" spans="1:27" x14ac:dyDescent="0.2">
      <c r="B11" s="542" t="s">
        <v>67</v>
      </c>
      <c r="C11" s="1389" t="s">
        <v>323</v>
      </c>
      <c r="D11" s="1393"/>
      <c r="E11" s="1394"/>
      <c r="F11" s="1395" t="s">
        <v>5</v>
      </c>
      <c r="G11" s="1395" t="s">
        <v>230</v>
      </c>
      <c r="H11" s="896" t="b">
        <f t="shared" si="0"/>
        <v>0</v>
      </c>
      <c r="I11" s="1400">
        <v>2020</v>
      </c>
      <c r="J11" s="1401">
        <v>0</v>
      </c>
      <c r="K11" s="1407">
        <v>0.5</v>
      </c>
      <c r="L11" s="1408">
        <v>5000</v>
      </c>
      <c r="M11" s="1409">
        <v>100</v>
      </c>
      <c r="N11" s="1410">
        <v>0</v>
      </c>
      <c r="O11" s="1411">
        <v>350</v>
      </c>
      <c r="P11" s="497"/>
    </row>
    <row r="12" spans="1:27" x14ac:dyDescent="0.2">
      <c r="B12" s="542" t="s">
        <v>206</v>
      </c>
      <c r="C12" s="1389" t="s">
        <v>324</v>
      </c>
      <c r="D12" s="1393"/>
      <c r="E12" s="1394"/>
      <c r="F12" s="1395" t="s">
        <v>5</v>
      </c>
      <c r="G12" s="1395" t="s">
        <v>6</v>
      </c>
      <c r="H12" s="896" t="b">
        <f t="shared" si="0"/>
        <v>0</v>
      </c>
      <c r="I12" s="1400">
        <v>2020</v>
      </c>
      <c r="J12" s="1401">
        <v>0</v>
      </c>
      <c r="K12" s="1407">
        <v>0.5</v>
      </c>
      <c r="L12" s="1408">
        <v>5000</v>
      </c>
      <c r="M12" s="1409">
        <v>100</v>
      </c>
      <c r="N12" s="1410">
        <v>0</v>
      </c>
      <c r="O12" s="1411">
        <v>350</v>
      </c>
    </row>
    <row r="13" spans="1:27" ht="13.5" thickBot="1" x14ac:dyDescent="0.25">
      <c r="B13" s="519" t="s">
        <v>207</v>
      </c>
      <c r="C13" s="1396" t="s">
        <v>327</v>
      </c>
      <c r="D13" s="1397"/>
      <c r="E13" s="1398"/>
      <c r="F13" s="1399" t="s">
        <v>208</v>
      </c>
      <c r="G13" s="1399" t="s">
        <v>230</v>
      </c>
      <c r="H13" s="897" t="b">
        <f t="shared" si="0"/>
        <v>0</v>
      </c>
      <c r="I13" s="1412">
        <v>2020</v>
      </c>
      <c r="J13" s="1413">
        <v>0</v>
      </c>
      <c r="K13" s="1414">
        <v>0.5</v>
      </c>
      <c r="L13" s="1415">
        <v>5000</v>
      </c>
      <c r="M13" s="1416">
        <v>100</v>
      </c>
      <c r="N13" s="1417">
        <v>0</v>
      </c>
      <c r="O13" s="1418">
        <v>350</v>
      </c>
    </row>
    <row r="14" spans="1:27" ht="15.75" x14ac:dyDescent="0.25">
      <c r="B14" s="499"/>
      <c r="C14" s="496" t="s">
        <v>266</v>
      </c>
      <c r="D14" s="497"/>
      <c r="F14" s="497"/>
    </row>
    <row r="15" spans="1:27" ht="15.75" thickBot="1" x14ac:dyDescent="0.25">
      <c r="B15" s="520" t="s">
        <v>119</v>
      </c>
      <c r="C15" s="521"/>
      <c r="D15" s="497"/>
      <c r="F15" s="497"/>
    </row>
    <row r="16" spans="1:27" ht="13.5" thickBot="1" x14ac:dyDescent="0.25">
      <c r="B16" s="522"/>
      <c r="C16" s="521"/>
      <c r="D16" s="497"/>
      <c r="F16" s="497"/>
      <c r="T16" s="769" t="s">
        <v>231</v>
      </c>
      <c r="U16" s="496" t="s">
        <v>232</v>
      </c>
      <c r="Z16" s="902"/>
      <c r="AA16" s="496" t="s">
        <v>263</v>
      </c>
    </row>
    <row r="17" spans="1:31" s="232" customFormat="1" x14ac:dyDescent="0.2">
      <c r="A17" s="3"/>
      <c r="B17" s="231"/>
      <c r="C17" s="233"/>
      <c r="E17" s="2"/>
      <c r="F17" s="3"/>
      <c r="G17" s="5"/>
      <c r="H17" s="6"/>
      <c r="I17" s="833"/>
      <c r="J17" s="833"/>
      <c r="K17" s="6"/>
      <c r="L17" s="6"/>
      <c r="M17" s="6"/>
      <c r="N17" s="6"/>
      <c r="O17" s="6"/>
      <c r="P17" s="6"/>
      <c r="U17" s="496" t="s">
        <v>233</v>
      </c>
      <c r="AA17" s="496" t="s">
        <v>264</v>
      </c>
    </row>
    <row r="18" spans="1:31" s="232" customFormat="1" ht="13.5" thickBot="1" x14ac:dyDescent="0.25">
      <c r="A18" s="3"/>
      <c r="B18" s="230"/>
      <c r="C18" s="229"/>
      <c r="E18" s="2"/>
      <c r="F18" s="229"/>
      <c r="G18" s="5"/>
      <c r="H18" s="6"/>
      <c r="I18" s="833"/>
      <c r="J18" s="833"/>
      <c r="K18" s="6"/>
      <c r="L18" s="6"/>
      <c r="M18" s="6"/>
      <c r="N18" s="6"/>
      <c r="O18" s="6"/>
      <c r="P18" s="6"/>
      <c r="Z18" s="1359" t="s">
        <v>421</v>
      </c>
    </row>
    <row r="19" spans="1:31" ht="16.5" thickBot="1" x14ac:dyDescent="0.3">
      <c r="B19" s="748"/>
      <c r="C19" s="1534" t="s">
        <v>222</v>
      </c>
      <c r="D19" s="1535"/>
      <c r="E19" s="1535"/>
      <c r="F19" s="1535"/>
      <c r="G19" s="1535"/>
      <c r="H19" s="1535"/>
      <c r="I19" s="1535" t="s">
        <v>223</v>
      </c>
      <c r="J19" s="1535"/>
      <c r="K19" s="1535"/>
      <c r="L19" s="1535"/>
      <c r="M19" s="1536"/>
      <c r="N19" s="1537" t="s">
        <v>320</v>
      </c>
      <c r="O19" s="1538"/>
      <c r="P19" s="1538"/>
      <c r="Q19" s="1538"/>
      <c r="R19" s="1538"/>
      <c r="S19" s="1539"/>
      <c r="T19" s="1537" t="s">
        <v>321</v>
      </c>
      <c r="U19" s="1538"/>
      <c r="V19" s="1538"/>
      <c r="W19" s="1538"/>
      <c r="X19" s="1538"/>
      <c r="Y19" s="1539"/>
      <c r="Z19" s="1537" t="s">
        <v>227</v>
      </c>
      <c r="AA19" s="1538"/>
      <c r="AB19" s="1538"/>
      <c r="AC19" s="1538"/>
      <c r="AD19" s="1538"/>
      <c r="AE19" s="1539"/>
    </row>
    <row r="20" spans="1:31" ht="13.5" thickBot="1" x14ac:dyDescent="0.25">
      <c r="B20" s="760" t="s">
        <v>226</v>
      </c>
      <c r="C20" s="763" t="s">
        <v>69</v>
      </c>
      <c r="D20" s="749" t="s">
        <v>65</v>
      </c>
      <c r="E20" s="750" t="s">
        <v>66</v>
      </c>
      <c r="F20" s="749" t="s">
        <v>67</v>
      </c>
      <c r="G20" s="750" t="s">
        <v>206</v>
      </c>
      <c r="H20" s="749" t="s">
        <v>207</v>
      </c>
      <c r="I20" s="749" t="s">
        <v>65</v>
      </c>
      <c r="J20" s="750" t="s">
        <v>66</v>
      </c>
      <c r="K20" s="749" t="s">
        <v>67</v>
      </c>
      <c r="L20" s="750" t="s">
        <v>206</v>
      </c>
      <c r="M20" s="764" t="s">
        <v>207</v>
      </c>
      <c r="N20" s="765" t="s">
        <v>69</v>
      </c>
      <c r="O20" s="751" t="s">
        <v>65</v>
      </c>
      <c r="P20" s="752" t="s">
        <v>66</v>
      </c>
      <c r="Q20" s="751" t="s">
        <v>67</v>
      </c>
      <c r="R20" s="752" t="s">
        <v>206</v>
      </c>
      <c r="S20" s="753" t="s">
        <v>207</v>
      </c>
      <c r="T20" s="1285" t="s">
        <v>69</v>
      </c>
      <c r="U20" s="751" t="s">
        <v>65</v>
      </c>
      <c r="V20" s="752" t="s">
        <v>66</v>
      </c>
      <c r="W20" s="751" t="s">
        <v>67</v>
      </c>
      <c r="X20" s="752" t="s">
        <v>206</v>
      </c>
      <c r="Y20" s="753" t="s">
        <v>207</v>
      </c>
      <c r="Z20" s="751" t="s">
        <v>69</v>
      </c>
      <c r="AA20" s="751" t="s">
        <v>65</v>
      </c>
      <c r="AB20" s="752" t="s">
        <v>66</v>
      </c>
      <c r="AC20" s="751" t="s">
        <v>67</v>
      </c>
      <c r="AD20" s="752" t="s">
        <v>206</v>
      </c>
      <c r="AE20" s="753" t="s">
        <v>207</v>
      </c>
    </row>
    <row r="21" spans="1:31" ht="13.5" thickBot="1" x14ac:dyDescent="0.25">
      <c r="B21" s="761" t="s">
        <v>3</v>
      </c>
      <c r="C21" s="762"/>
      <c r="D21" s="1523" t="str">
        <f>INDEX($C$9:$C$13,MATCH(D20,$B$9:$B$13,0))</f>
        <v>Adv Conv</v>
      </c>
      <c r="E21" s="1523" t="str">
        <f t="shared" ref="E21:H21" si="1">INDEX($C$9:$C$13,MATCH(E20,$B$9:$B$13,0))</f>
        <v>ISG</v>
      </c>
      <c r="F21" s="1523" t="str">
        <f t="shared" si="1"/>
        <v>HEV</v>
      </c>
      <c r="G21" s="1523" t="str">
        <f t="shared" si="1"/>
        <v>PHEV</v>
      </c>
      <c r="H21" s="1524" t="str">
        <f t="shared" si="1"/>
        <v>FCHEV</v>
      </c>
      <c r="I21" s="1436">
        <v>0</v>
      </c>
      <c r="J21" s="1437">
        <v>0</v>
      </c>
      <c r="K21" s="1437">
        <v>0</v>
      </c>
      <c r="L21" s="1437">
        <v>0</v>
      </c>
      <c r="M21" s="1438">
        <v>0</v>
      </c>
      <c r="N21" s="754"/>
      <c r="O21" s="1523" t="str">
        <f>INDEX($C$9:$C$13,MATCH(O20,$B$9:$B$13,0))</f>
        <v>Adv Conv</v>
      </c>
      <c r="P21" s="1523" t="str">
        <f t="shared" ref="P21:S21" si="2">INDEX($C$9:$C$13,MATCH(P20,$B$9:$B$13,0))</f>
        <v>ISG</v>
      </c>
      <c r="Q21" s="1523" t="str">
        <f t="shared" si="2"/>
        <v>HEV</v>
      </c>
      <c r="R21" s="1523" t="str">
        <f t="shared" si="2"/>
        <v>PHEV</v>
      </c>
      <c r="S21" s="1524" t="str">
        <f t="shared" si="2"/>
        <v>FCHEV</v>
      </c>
      <c r="T21" s="755"/>
      <c r="U21" s="1523" t="str">
        <f>INDEX($C$9:$C$13,MATCH(U20,$B$9:$B$13,0))</f>
        <v>Adv Conv</v>
      </c>
      <c r="V21" s="1523" t="str">
        <f t="shared" ref="V21:Y21" si="3">INDEX($C$9:$C$13,MATCH(V20,$B$9:$B$13,0))</f>
        <v>ISG</v>
      </c>
      <c r="W21" s="1523" t="str">
        <f t="shared" si="3"/>
        <v>HEV</v>
      </c>
      <c r="X21" s="1523" t="str">
        <f t="shared" si="3"/>
        <v>PHEV</v>
      </c>
      <c r="Y21" s="1524" t="str">
        <f t="shared" si="3"/>
        <v>FCHEV</v>
      </c>
      <c r="Z21" s="754"/>
      <c r="AA21" s="1523" t="str">
        <f>INDEX($C$9:$C$13,MATCH(AA20,$B$9:$B$13,0))</f>
        <v>Adv Conv</v>
      </c>
      <c r="AB21" s="1523" t="str">
        <f t="shared" ref="AB21:AE21" si="4">INDEX($C$9:$C$13,MATCH(AB20,$B$9:$B$13,0))</f>
        <v>ISG</v>
      </c>
      <c r="AC21" s="1523" t="str">
        <f t="shared" si="4"/>
        <v>HEV</v>
      </c>
      <c r="AD21" s="1523" t="str">
        <f t="shared" si="4"/>
        <v>PHEV</v>
      </c>
      <c r="AE21" s="1524" t="str">
        <f t="shared" si="4"/>
        <v>FCHEV</v>
      </c>
    </row>
    <row r="22" spans="1:31" x14ac:dyDescent="0.2">
      <c r="B22" s="527">
        <v>2007</v>
      </c>
      <c r="C22" s="1421">
        <v>156000</v>
      </c>
      <c r="D22" s="1422">
        <f t="shared" ref="D22:H24" si="5">D23</f>
        <v>1000000</v>
      </c>
      <c r="E22" s="1422">
        <f t="shared" si="5"/>
        <v>1000000</v>
      </c>
      <c r="F22" s="1422">
        <f t="shared" si="5"/>
        <v>1000000</v>
      </c>
      <c r="G22" s="1422">
        <f t="shared" si="5"/>
        <v>1000000</v>
      </c>
      <c r="H22" s="1423">
        <f t="shared" si="5"/>
        <v>1000000</v>
      </c>
      <c r="I22" s="1360">
        <f>D22*I$21</f>
        <v>0</v>
      </c>
      <c r="J22" s="528">
        <f t="shared" ref="J22:K37" si="6">E22*J$21</f>
        <v>0</v>
      </c>
      <c r="K22" s="528">
        <f t="shared" si="6"/>
        <v>0</v>
      </c>
      <c r="L22" s="528">
        <f t="shared" ref="L22:M37" si="7">G22*L$21</f>
        <v>0</v>
      </c>
      <c r="M22" s="1365">
        <f t="shared" si="7"/>
        <v>0</v>
      </c>
      <c r="N22" s="1439">
        <v>5.9278738513698928</v>
      </c>
      <c r="O22" s="1440">
        <f t="shared" ref="O22:W24" si="8">O23</f>
        <v>1</v>
      </c>
      <c r="P22" s="1440">
        <f t="shared" si="8"/>
        <v>1</v>
      </c>
      <c r="Q22" s="1440">
        <f t="shared" si="8"/>
        <v>1</v>
      </c>
      <c r="R22" s="1440">
        <f t="shared" si="8"/>
        <v>1</v>
      </c>
      <c r="S22" s="1441">
        <f t="shared" si="8"/>
        <v>1</v>
      </c>
      <c r="T22" s="1442">
        <f t="shared" si="8"/>
        <v>1</v>
      </c>
      <c r="U22" s="1443">
        <f t="shared" si="8"/>
        <v>1</v>
      </c>
      <c r="V22" s="1443">
        <f t="shared" si="8"/>
        <v>1</v>
      </c>
      <c r="W22" s="1443">
        <f t="shared" si="8"/>
        <v>1</v>
      </c>
      <c r="X22" s="1443">
        <f t="shared" ref="X22:AE24" si="9">X23</f>
        <v>1</v>
      </c>
      <c r="Y22" s="1444">
        <f t="shared" si="9"/>
        <v>1</v>
      </c>
      <c r="Z22" s="1442">
        <f t="shared" si="9"/>
        <v>0</v>
      </c>
      <c r="AA22" s="1443">
        <f t="shared" si="9"/>
        <v>0</v>
      </c>
      <c r="AB22" s="1443">
        <f t="shared" si="9"/>
        <v>0</v>
      </c>
      <c r="AC22" s="1443">
        <f t="shared" si="9"/>
        <v>0</v>
      </c>
      <c r="AD22" s="1443">
        <f t="shared" si="9"/>
        <v>0</v>
      </c>
      <c r="AE22" s="1444">
        <f t="shared" si="9"/>
        <v>0</v>
      </c>
    </row>
    <row r="23" spans="1:31" x14ac:dyDescent="0.2">
      <c r="B23" s="523">
        <v>2008</v>
      </c>
      <c r="C23" s="1424">
        <v>156000</v>
      </c>
      <c r="D23" s="1425">
        <f t="shared" si="5"/>
        <v>1000000</v>
      </c>
      <c r="E23" s="1425">
        <f t="shared" si="5"/>
        <v>1000000</v>
      </c>
      <c r="F23" s="1425">
        <f t="shared" si="5"/>
        <v>1000000</v>
      </c>
      <c r="G23" s="1425">
        <f t="shared" si="5"/>
        <v>1000000</v>
      </c>
      <c r="H23" s="1426">
        <f t="shared" si="5"/>
        <v>1000000</v>
      </c>
      <c r="I23" s="1361">
        <f t="shared" ref="I23:I65" si="10">D23*I$21</f>
        <v>0</v>
      </c>
      <c r="J23" s="524">
        <f t="shared" ref="J23:J65" si="11">E23*J$21</f>
        <v>0</v>
      </c>
      <c r="K23" s="524">
        <f t="shared" si="6"/>
        <v>0</v>
      </c>
      <c r="L23" s="524">
        <f t="shared" si="7"/>
        <v>0</v>
      </c>
      <c r="M23" s="1366">
        <f t="shared" si="7"/>
        <v>0</v>
      </c>
      <c r="N23" s="1445">
        <v>5.9278738513698928</v>
      </c>
      <c r="O23" s="1446">
        <f t="shared" si="8"/>
        <v>1</v>
      </c>
      <c r="P23" s="1446">
        <f t="shared" si="8"/>
        <v>1</v>
      </c>
      <c r="Q23" s="1446">
        <f t="shared" si="8"/>
        <v>1</v>
      </c>
      <c r="R23" s="1446">
        <f t="shared" si="8"/>
        <v>1</v>
      </c>
      <c r="S23" s="1447">
        <f t="shared" si="8"/>
        <v>1</v>
      </c>
      <c r="T23" s="1448">
        <f t="shared" si="8"/>
        <v>1</v>
      </c>
      <c r="U23" s="1449">
        <f t="shared" si="8"/>
        <v>1</v>
      </c>
      <c r="V23" s="1449">
        <f t="shared" si="8"/>
        <v>1</v>
      </c>
      <c r="W23" s="1449">
        <f t="shared" si="8"/>
        <v>1</v>
      </c>
      <c r="X23" s="1449">
        <f t="shared" si="9"/>
        <v>1</v>
      </c>
      <c r="Y23" s="1450">
        <f t="shared" si="9"/>
        <v>1</v>
      </c>
      <c r="Z23" s="1448">
        <f t="shared" si="9"/>
        <v>0</v>
      </c>
      <c r="AA23" s="1449">
        <f t="shared" si="9"/>
        <v>0</v>
      </c>
      <c r="AB23" s="1449">
        <f t="shared" si="9"/>
        <v>0</v>
      </c>
      <c r="AC23" s="1449">
        <f t="shared" si="9"/>
        <v>0</v>
      </c>
      <c r="AD23" s="1449">
        <f t="shared" si="9"/>
        <v>0</v>
      </c>
      <c r="AE23" s="1450">
        <f t="shared" si="9"/>
        <v>0</v>
      </c>
    </row>
    <row r="24" spans="1:31" x14ac:dyDescent="0.2">
      <c r="B24" s="523">
        <v>2009</v>
      </c>
      <c r="C24" s="1424">
        <v>156000</v>
      </c>
      <c r="D24" s="1425">
        <f t="shared" si="5"/>
        <v>1000000</v>
      </c>
      <c r="E24" s="1425">
        <f t="shared" si="5"/>
        <v>1000000</v>
      </c>
      <c r="F24" s="1425">
        <f t="shared" si="5"/>
        <v>1000000</v>
      </c>
      <c r="G24" s="1425">
        <f t="shared" si="5"/>
        <v>1000000</v>
      </c>
      <c r="H24" s="1426">
        <f t="shared" si="5"/>
        <v>1000000</v>
      </c>
      <c r="I24" s="1361">
        <f t="shared" si="10"/>
        <v>0</v>
      </c>
      <c r="J24" s="524">
        <f t="shared" si="11"/>
        <v>0</v>
      </c>
      <c r="K24" s="524">
        <f t="shared" si="6"/>
        <v>0</v>
      </c>
      <c r="L24" s="524">
        <f t="shared" si="7"/>
        <v>0</v>
      </c>
      <c r="M24" s="1366">
        <f t="shared" si="7"/>
        <v>0</v>
      </c>
      <c r="N24" s="1445">
        <v>5.9278738513698928</v>
      </c>
      <c r="O24" s="1446">
        <f t="shared" si="8"/>
        <v>1</v>
      </c>
      <c r="P24" s="1446">
        <f t="shared" si="8"/>
        <v>1</v>
      </c>
      <c r="Q24" s="1446">
        <f t="shared" si="8"/>
        <v>1</v>
      </c>
      <c r="R24" s="1446">
        <f t="shared" si="8"/>
        <v>1</v>
      </c>
      <c r="S24" s="1447">
        <f t="shared" si="8"/>
        <v>1</v>
      </c>
      <c r="T24" s="1448">
        <f t="shared" si="8"/>
        <v>1</v>
      </c>
      <c r="U24" s="1449">
        <f t="shared" si="8"/>
        <v>1</v>
      </c>
      <c r="V24" s="1449">
        <f t="shared" si="8"/>
        <v>1</v>
      </c>
      <c r="W24" s="1449">
        <f t="shared" si="8"/>
        <v>1</v>
      </c>
      <c r="X24" s="1449">
        <f t="shared" si="9"/>
        <v>1</v>
      </c>
      <c r="Y24" s="1450">
        <f t="shared" si="9"/>
        <v>1</v>
      </c>
      <c r="Z24" s="1448">
        <f t="shared" si="9"/>
        <v>0</v>
      </c>
      <c r="AA24" s="1449">
        <f t="shared" si="9"/>
        <v>0</v>
      </c>
      <c r="AB24" s="1449">
        <f t="shared" si="9"/>
        <v>0</v>
      </c>
      <c r="AC24" s="1449">
        <f t="shared" si="9"/>
        <v>0</v>
      </c>
      <c r="AD24" s="1449">
        <f t="shared" si="9"/>
        <v>0</v>
      </c>
      <c r="AE24" s="1450">
        <f t="shared" si="9"/>
        <v>0</v>
      </c>
    </row>
    <row r="25" spans="1:31" ht="13.5" thickBot="1" x14ac:dyDescent="0.25">
      <c r="B25" s="525">
        <v>2010</v>
      </c>
      <c r="C25" s="1427">
        <v>156000</v>
      </c>
      <c r="D25" s="1428">
        <v>1000000</v>
      </c>
      <c r="E25" s="1428">
        <v>1000000</v>
      </c>
      <c r="F25" s="1428">
        <v>1000000</v>
      </c>
      <c r="G25" s="1428">
        <v>1000000</v>
      </c>
      <c r="H25" s="1429">
        <v>1000000</v>
      </c>
      <c r="I25" s="1362">
        <f t="shared" si="10"/>
        <v>0</v>
      </c>
      <c r="J25" s="526">
        <f t="shared" si="11"/>
        <v>0</v>
      </c>
      <c r="K25" s="526">
        <f t="shared" si="6"/>
        <v>0</v>
      </c>
      <c r="L25" s="526">
        <f t="shared" si="7"/>
        <v>0</v>
      </c>
      <c r="M25" s="1367">
        <f t="shared" si="7"/>
        <v>0</v>
      </c>
      <c r="N25" s="1451">
        <v>5.9275040782864687</v>
      </c>
      <c r="O25" s="1452">
        <v>1</v>
      </c>
      <c r="P25" s="1452">
        <v>1</v>
      </c>
      <c r="Q25" s="1452">
        <v>1</v>
      </c>
      <c r="R25" s="1452">
        <v>1</v>
      </c>
      <c r="S25" s="1453">
        <v>1</v>
      </c>
      <c r="T25" s="1454">
        <v>1</v>
      </c>
      <c r="U25" s="1455">
        <v>1</v>
      </c>
      <c r="V25" s="1455">
        <v>1</v>
      </c>
      <c r="W25" s="1455">
        <v>1</v>
      </c>
      <c r="X25" s="1455">
        <v>1</v>
      </c>
      <c r="Y25" s="1456">
        <v>1</v>
      </c>
      <c r="Z25" s="1454">
        <v>0</v>
      </c>
      <c r="AA25" s="1455">
        <v>0</v>
      </c>
      <c r="AB25" s="1455">
        <v>0</v>
      </c>
      <c r="AC25" s="1455">
        <v>0</v>
      </c>
      <c r="AD25" s="1455">
        <v>0</v>
      </c>
      <c r="AE25" s="1456">
        <v>0</v>
      </c>
    </row>
    <row r="26" spans="1:31" x14ac:dyDescent="0.2">
      <c r="B26" s="527">
        <v>2011</v>
      </c>
      <c r="C26" s="1430">
        <v>156000</v>
      </c>
      <c r="D26" s="1431">
        <v>1000000</v>
      </c>
      <c r="E26" s="1431">
        <v>1000000</v>
      </c>
      <c r="F26" s="1431">
        <v>1000000</v>
      </c>
      <c r="G26" s="1431">
        <v>1000000</v>
      </c>
      <c r="H26" s="1432">
        <v>1000000</v>
      </c>
      <c r="I26" s="1360">
        <f t="shared" si="10"/>
        <v>0</v>
      </c>
      <c r="J26" s="528">
        <f t="shared" si="11"/>
        <v>0</v>
      </c>
      <c r="K26" s="528">
        <f t="shared" si="6"/>
        <v>0</v>
      </c>
      <c r="L26" s="528">
        <f t="shared" si="7"/>
        <v>0</v>
      </c>
      <c r="M26" s="1365">
        <f t="shared" si="7"/>
        <v>0</v>
      </c>
      <c r="N26" s="1457">
        <v>6.0448469218850382</v>
      </c>
      <c r="O26" s="1458">
        <v>1</v>
      </c>
      <c r="P26" s="1458">
        <v>1</v>
      </c>
      <c r="Q26" s="1458">
        <v>1</v>
      </c>
      <c r="R26" s="1458">
        <v>1</v>
      </c>
      <c r="S26" s="1459">
        <v>1</v>
      </c>
      <c r="T26" s="1460">
        <v>1</v>
      </c>
      <c r="U26" s="1461">
        <v>1</v>
      </c>
      <c r="V26" s="1461">
        <v>1</v>
      </c>
      <c r="W26" s="1461">
        <v>1</v>
      </c>
      <c r="X26" s="1461">
        <v>1</v>
      </c>
      <c r="Y26" s="1462">
        <v>1</v>
      </c>
      <c r="Z26" s="1460">
        <v>0</v>
      </c>
      <c r="AA26" s="1461">
        <v>0</v>
      </c>
      <c r="AB26" s="1461">
        <v>0</v>
      </c>
      <c r="AC26" s="1461">
        <v>0</v>
      </c>
      <c r="AD26" s="1461">
        <v>0</v>
      </c>
      <c r="AE26" s="1462">
        <v>0</v>
      </c>
    </row>
    <row r="27" spans="1:31" x14ac:dyDescent="0.2">
      <c r="B27" s="523">
        <v>2012</v>
      </c>
      <c r="C27" s="1424">
        <v>156000</v>
      </c>
      <c r="D27" s="1425">
        <v>1000000</v>
      </c>
      <c r="E27" s="1425">
        <v>1000000</v>
      </c>
      <c r="F27" s="1425">
        <v>1000000</v>
      </c>
      <c r="G27" s="1425">
        <v>1000000</v>
      </c>
      <c r="H27" s="1426">
        <v>1000000</v>
      </c>
      <c r="I27" s="1361">
        <f t="shared" si="10"/>
        <v>0</v>
      </c>
      <c r="J27" s="524">
        <f t="shared" si="11"/>
        <v>0</v>
      </c>
      <c r="K27" s="524">
        <f t="shared" si="6"/>
        <v>0</v>
      </c>
      <c r="L27" s="524">
        <f t="shared" si="7"/>
        <v>0</v>
      </c>
      <c r="M27" s="1366">
        <f t="shared" si="7"/>
        <v>0</v>
      </c>
      <c r="N27" s="1445">
        <v>6.0931241391408557</v>
      </c>
      <c r="O27" s="1446">
        <v>1</v>
      </c>
      <c r="P27" s="1446">
        <v>1</v>
      </c>
      <c r="Q27" s="1446">
        <v>1</v>
      </c>
      <c r="R27" s="1446">
        <v>1</v>
      </c>
      <c r="S27" s="1447">
        <v>1</v>
      </c>
      <c r="T27" s="1448">
        <v>1</v>
      </c>
      <c r="U27" s="1449">
        <v>1</v>
      </c>
      <c r="V27" s="1449">
        <v>1</v>
      </c>
      <c r="W27" s="1449">
        <v>1</v>
      </c>
      <c r="X27" s="1449">
        <v>1</v>
      </c>
      <c r="Y27" s="1450">
        <v>1</v>
      </c>
      <c r="Z27" s="1448">
        <v>0</v>
      </c>
      <c r="AA27" s="1449">
        <v>0</v>
      </c>
      <c r="AB27" s="1449">
        <v>0</v>
      </c>
      <c r="AC27" s="1449">
        <v>0</v>
      </c>
      <c r="AD27" s="1449">
        <v>0</v>
      </c>
      <c r="AE27" s="1450">
        <v>0</v>
      </c>
    </row>
    <row r="28" spans="1:31" x14ac:dyDescent="0.2">
      <c r="B28" s="523">
        <v>2013</v>
      </c>
      <c r="C28" s="1424">
        <v>156000</v>
      </c>
      <c r="D28" s="1425">
        <v>1000000</v>
      </c>
      <c r="E28" s="1425">
        <v>1000000</v>
      </c>
      <c r="F28" s="1425">
        <v>1000000</v>
      </c>
      <c r="G28" s="1425">
        <v>1000000</v>
      </c>
      <c r="H28" s="1426">
        <v>1000000</v>
      </c>
      <c r="I28" s="1361">
        <f t="shared" si="10"/>
        <v>0</v>
      </c>
      <c r="J28" s="524">
        <f t="shared" si="11"/>
        <v>0</v>
      </c>
      <c r="K28" s="524">
        <f t="shared" si="6"/>
        <v>0</v>
      </c>
      <c r="L28" s="524">
        <f t="shared" si="7"/>
        <v>0</v>
      </c>
      <c r="M28" s="1366">
        <f t="shared" si="7"/>
        <v>0</v>
      </c>
      <c r="N28" s="1445">
        <v>6.2088375370079243</v>
      </c>
      <c r="O28" s="1446">
        <v>1</v>
      </c>
      <c r="P28" s="1446">
        <v>1</v>
      </c>
      <c r="Q28" s="1446">
        <v>1</v>
      </c>
      <c r="R28" s="1446">
        <v>1</v>
      </c>
      <c r="S28" s="1447">
        <v>1</v>
      </c>
      <c r="T28" s="1448">
        <v>1</v>
      </c>
      <c r="U28" s="1449">
        <v>1</v>
      </c>
      <c r="V28" s="1449">
        <v>1</v>
      </c>
      <c r="W28" s="1449">
        <v>1</v>
      </c>
      <c r="X28" s="1449">
        <v>1</v>
      </c>
      <c r="Y28" s="1450">
        <v>1</v>
      </c>
      <c r="Z28" s="1448">
        <v>0</v>
      </c>
      <c r="AA28" s="1449">
        <v>0</v>
      </c>
      <c r="AB28" s="1449">
        <v>0</v>
      </c>
      <c r="AC28" s="1449">
        <v>0</v>
      </c>
      <c r="AD28" s="1449">
        <v>0</v>
      </c>
      <c r="AE28" s="1450">
        <v>0</v>
      </c>
    </row>
    <row r="29" spans="1:31" x14ac:dyDescent="0.2">
      <c r="B29" s="523">
        <v>2014</v>
      </c>
      <c r="C29" s="1424">
        <v>156000</v>
      </c>
      <c r="D29" s="1425">
        <v>1000000</v>
      </c>
      <c r="E29" s="1425">
        <v>1000000</v>
      </c>
      <c r="F29" s="1425">
        <v>1000000</v>
      </c>
      <c r="G29" s="1425">
        <v>1000000</v>
      </c>
      <c r="H29" s="1426">
        <v>1000000</v>
      </c>
      <c r="I29" s="1361">
        <f t="shared" si="10"/>
        <v>0</v>
      </c>
      <c r="J29" s="524">
        <f t="shared" si="11"/>
        <v>0</v>
      </c>
      <c r="K29" s="524">
        <f t="shared" si="6"/>
        <v>0</v>
      </c>
      <c r="L29" s="524">
        <f t="shared" si="7"/>
        <v>0</v>
      </c>
      <c r="M29" s="1366">
        <f t="shared" si="7"/>
        <v>0</v>
      </c>
      <c r="N29" s="1445">
        <v>6.3529154274884636</v>
      </c>
      <c r="O29" s="1446">
        <v>1</v>
      </c>
      <c r="P29" s="1446">
        <v>1</v>
      </c>
      <c r="Q29" s="1446">
        <v>1</v>
      </c>
      <c r="R29" s="1446">
        <v>1</v>
      </c>
      <c r="S29" s="1447">
        <v>1</v>
      </c>
      <c r="T29" s="1448">
        <v>1</v>
      </c>
      <c r="U29" s="1449">
        <v>1</v>
      </c>
      <c r="V29" s="1449">
        <v>1</v>
      </c>
      <c r="W29" s="1449">
        <v>1</v>
      </c>
      <c r="X29" s="1449">
        <v>1</v>
      </c>
      <c r="Y29" s="1450">
        <v>1</v>
      </c>
      <c r="Z29" s="1448">
        <v>0</v>
      </c>
      <c r="AA29" s="1449">
        <v>0</v>
      </c>
      <c r="AB29" s="1449">
        <v>0</v>
      </c>
      <c r="AC29" s="1449">
        <v>0</v>
      </c>
      <c r="AD29" s="1449">
        <v>0</v>
      </c>
      <c r="AE29" s="1450">
        <v>0</v>
      </c>
    </row>
    <row r="30" spans="1:31" ht="13.5" thickBot="1" x14ac:dyDescent="0.25">
      <c r="B30" s="525">
        <v>2015</v>
      </c>
      <c r="C30" s="1427">
        <v>156000</v>
      </c>
      <c r="D30" s="1428">
        <v>1000000</v>
      </c>
      <c r="E30" s="1428">
        <v>1000000</v>
      </c>
      <c r="F30" s="1428">
        <v>1000000</v>
      </c>
      <c r="G30" s="1428">
        <v>1000000</v>
      </c>
      <c r="H30" s="1429">
        <v>1000000</v>
      </c>
      <c r="I30" s="1362">
        <f t="shared" si="10"/>
        <v>0</v>
      </c>
      <c r="J30" s="526">
        <f t="shared" si="11"/>
        <v>0</v>
      </c>
      <c r="K30" s="526">
        <f t="shared" si="6"/>
        <v>0</v>
      </c>
      <c r="L30" s="526">
        <f t="shared" si="7"/>
        <v>0</v>
      </c>
      <c r="M30" s="1367">
        <f t="shared" si="7"/>
        <v>0</v>
      </c>
      <c r="N30" s="1451">
        <v>6.5645186009865792</v>
      </c>
      <c r="O30" s="1452">
        <v>1</v>
      </c>
      <c r="P30" s="1452">
        <v>1</v>
      </c>
      <c r="Q30" s="1463">
        <v>1</v>
      </c>
      <c r="R30" s="1463">
        <v>1</v>
      </c>
      <c r="S30" s="1464">
        <v>1</v>
      </c>
      <c r="T30" s="1454">
        <v>1</v>
      </c>
      <c r="U30" s="1455">
        <v>1</v>
      </c>
      <c r="V30" s="1455">
        <v>1</v>
      </c>
      <c r="W30" s="1455">
        <v>1</v>
      </c>
      <c r="X30" s="1455">
        <v>1</v>
      </c>
      <c r="Y30" s="1456">
        <v>1</v>
      </c>
      <c r="Z30" s="1454">
        <v>0</v>
      </c>
      <c r="AA30" s="1455">
        <v>0</v>
      </c>
      <c r="AB30" s="1455">
        <v>0</v>
      </c>
      <c r="AC30" s="1455">
        <v>0</v>
      </c>
      <c r="AD30" s="1455">
        <v>0</v>
      </c>
      <c r="AE30" s="1456">
        <v>0</v>
      </c>
    </row>
    <row r="31" spans="1:31" x14ac:dyDescent="0.2">
      <c r="B31" s="527">
        <v>2016</v>
      </c>
      <c r="C31" s="1430">
        <v>156000</v>
      </c>
      <c r="D31" s="1431">
        <v>1000000</v>
      </c>
      <c r="E31" s="1431">
        <v>1000000</v>
      </c>
      <c r="F31" s="1431">
        <v>1000000</v>
      </c>
      <c r="G31" s="1431">
        <v>1000000</v>
      </c>
      <c r="H31" s="1432">
        <v>1000000</v>
      </c>
      <c r="I31" s="1360">
        <f t="shared" si="10"/>
        <v>0</v>
      </c>
      <c r="J31" s="528">
        <f t="shared" si="11"/>
        <v>0</v>
      </c>
      <c r="K31" s="528">
        <f t="shared" si="6"/>
        <v>0</v>
      </c>
      <c r="L31" s="528">
        <f t="shared" si="7"/>
        <v>0</v>
      </c>
      <c r="M31" s="1365">
        <f t="shared" si="7"/>
        <v>0</v>
      </c>
      <c r="N31" s="1457">
        <v>6.7583664951373068</v>
      </c>
      <c r="O31" s="1446">
        <v>1</v>
      </c>
      <c r="P31" s="1446">
        <v>1</v>
      </c>
      <c r="Q31" s="1465">
        <v>1</v>
      </c>
      <c r="R31" s="1465">
        <v>1</v>
      </c>
      <c r="S31" s="1466">
        <v>1</v>
      </c>
      <c r="T31" s="1460">
        <v>1</v>
      </c>
      <c r="U31" s="1461">
        <v>1</v>
      </c>
      <c r="V31" s="1461">
        <v>1</v>
      </c>
      <c r="W31" s="1461">
        <v>1</v>
      </c>
      <c r="X31" s="1461">
        <v>1</v>
      </c>
      <c r="Y31" s="1462">
        <v>1</v>
      </c>
      <c r="Z31" s="1460">
        <v>0</v>
      </c>
      <c r="AA31" s="1461">
        <v>0</v>
      </c>
      <c r="AB31" s="1461">
        <v>0</v>
      </c>
      <c r="AC31" s="1461">
        <v>0</v>
      </c>
      <c r="AD31" s="1461">
        <v>0</v>
      </c>
      <c r="AE31" s="1462">
        <v>0</v>
      </c>
    </row>
    <row r="32" spans="1:31" x14ac:dyDescent="0.2">
      <c r="B32" s="523">
        <v>2017</v>
      </c>
      <c r="C32" s="1424">
        <v>156000</v>
      </c>
      <c r="D32" s="1425">
        <v>1000000</v>
      </c>
      <c r="E32" s="1425">
        <v>1000000</v>
      </c>
      <c r="F32" s="1425">
        <v>1000000</v>
      </c>
      <c r="G32" s="1425">
        <v>1000000</v>
      </c>
      <c r="H32" s="1426">
        <v>1000000</v>
      </c>
      <c r="I32" s="1361">
        <f t="shared" si="10"/>
        <v>0</v>
      </c>
      <c r="J32" s="524">
        <f t="shared" si="11"/>
        <v>0</v>
      </c>
      <c r="K32" s="524">
        <f t="shared" si="6"/>
        <v>0</v>
      </c>
      <c r="L32" s="524">
        <f t="shared" si="7"/>
        <v>0</v>
      </c>
      <c r="M32" s="1366">
        <f t="shared" si="7"/>
        <v>0</v>
      </c>
      <c r="N32" s="1445">
        <v>6.9782676092922067</v>
      </c>
      <c r="O32" s="1446">
        <v>1</v>
      </c>
      <c r="P32" s="1446">
        <v>1</v>
      </c>
      <c r="Q32" s="1465">
        <v>1</v>
      </c>
      <c r="R32" s="1465">
        <v>1</v>
      </c>
      <c r="S32" s="1466">
        <v>1</v>
      </c>
      <c r="T32" s="1448">
        <v>1</v>
      </c>
      <c r="U32" s="1449">
        <v>1</v>
      </c>
      <c r="V32" s="1449">
        <v>1</v>
      </c>
      <c r="W32" s="1449">
        <v>1</v>
      </c>
      <c r="X32" s="1449">
        <v>1</v>
      </c>
      <c r="Y32" s="1450">
        <v>1</v>
      </c>
      <c r="Z32" s="1448">
        <v>0</v>
      </c>
      <c r="AA32" s="1449">
        <v>0</v>
      </c>
      <c r="AB32" s="1449">
        <v>0</v>
      </c>
      <c r="AC32" s="1449">
        <v>0</v>
      </c>
      <c r="AD32" s="1449">
        <v>0</v>
      </c>
      <c r="AE32" s="1450">
        <v>0</v>
      </c>
    </row>
    <row r="33" spans="2:80" x14ac:dyDescent="0.2">
      <c r="B33" s="523">
        <v>2018</v>
      </c>
      <c r="C33" s="1424">
        <v>156000</v>
      </c>
      <c r="D33" s="1425">
        <v>1000000</v>
      </c>
      <c r="E33" s="1425">
        <v>1000000</v>
      </c>
      <c r="F33" s="1425">
        <v>1000000</v>
      </c>
      <c r="G33" s="1425">
        <v>1000000</v>
      </c>
      <c r="H33" s="1426">
        <v>1000000</v>
      </c>
      <c r="I33" s="1361">
        <f t="shared" si="10"/>
        <v>0</v>
      </c>
      <c r="J33" s="524">
        <f t="shared" si="11"/>
        <v>0</v>
      </c>
      <c r="K33" s="524">
        <f t="shared" si="6"/>
        <v>0</v>
      </c>
      <c r="L33" s="524">
        <f t="shared" si="7"/>
        <v>0</v>
      </c>
      <c r="M33" s="1366">
        <f t="shared" si="7"/>
        <v>0</v>
      </c>
      <c r="N33" s="1445">
        <v>7.1813150613749697</v>
      </c>
      <c r="O33" s="1446">
        <v>1</v>
      </c>
      <c r="P33" s="1446">
        <v>1</v>
      </c>
      <c r="Q33" s="1465">
        <v>1</v>
      </c>
      <c r="R33" s="1465">
        <v>1</v>
      </c>
      <c r="S33" s="1466">
        <v>1</v>
      </c>
      <c r="T33" s="1448">
        <v>1</v>
      </c>
      <c r="U33" s="1449">
        <v>1</v>
      </c>
      <c r="V33" s="1449">
        <v>1</v>
      </c>
      <c r="W33" s="1449">
        <v>1</v>
      </c>
      <c r="X33" s="1449">
        <v>1</v>
      </c>
      <c r="Y33" s="1450">
        <v>1</v>
      </c>
      <c r="Z33" s="1448">
        <v>0</v>
      </c>
      <c r="AA33" s="1449">
        <v>0</v>
      </c>
      <c r="AB33" s="1449">
        <v>0</v>
      </c>
      <c r="AC33" s="1449">
        <v>0</v>
      </c>
      <c r="AD33" s="1449">
        <v>0</v>
      </c>
      <c r="AE33" s="1450">
        <v>0</v>
      </c>
    </row>
    <row r="34" spans="2:80" x14ac:dyDescent="0.2">
      <c r="B34" s="523">
        <v>2019</v>
      </c>
      <c r="C34" s="1424">
        <v>156000</v>
      </c>
      <c r="D34" s="1425">
        <v>1000000</v>
      </c>
      <c r="E34" s="1425">
        <v>1000000</v>
      </c>
      <c r="F34" s="1425">
        <v>1000000</v>
      </c>
      <c r="G34" s="1425">
        <v>1000000</v>
      </c>
      <c r="H34" s="1426">
        <v>1000000</v>
      </c>
      <c r="I34" s="1361">
        <f t="shared" si="10"/>
        <v>0</v>
      </c>
      <c r="J34" s="524">
        <f t="shared" si="11"/>
        <v>0</v>
      </c>
      <c r="K34" s="524">
        <f t="shared" si="6"/>
        <v>0</v>
      </c>
      <c r="L34" s="524">
        <f t="shared" si="7"/>
        <v>0</v>
      </c>
      <c r="M34" s="1366">
        <f t="shared" si="7"/>
        <v>0</v>
      </c>
      <c r="N34" s="1445">
        <v>7.2271132477914177</v>
      </c>
      <c r="O34" s="1446">
        <v>1</v>
      </c>
      <c r="P34" s="1446">
        <v>1</v>
      </c>
      <c r="Q34" s="1465">
        <v>1</v>
      </c>
      <c r="R34" s="1465">
        <v>1</v>
      </c>
      <c r="S34" s="1466">
        <v>1</v>
      </c>
      <c r="T34" s="1448">
        <v>1</v>
      </c>
      <c r="U34" s="1449">
        <v>1</v>
      </c>
      <c r="V34" s="1449">
        <v>1</v>
      </c>
      <c r="W34" s="1449">
        <v>1</v>
      </c>
      <c r="X34" s="1449">
        <v>1</v>
      </c>
      <c r="Y34" s="1450">
        <v>1</v>
      </c>
      <c r="Z34" s="1448">
        <v>0</v>
      </c>
      <c r="AA34" s="1449">
        <v>0</v>
      </c>
      <c r="AB34" s="1449">
        <v>0</v>
      </c>
      <c r="AC34" s="1449">
        <v>0</v>
      </c>
      <c r="AD34" s="1449">
        <v>0</v>
      </c>
      <c r="AE34" s="1450">
        <v>0</v>
      </c>
      <c r="BP34"/>
      <c r="BQ34"/>
      <c r="BR34"/>
      <c r="BS34"/>
      <c r="BT34"/>
      <c r="BU34"/>
      <c r="BV34"/>
      <c r="BW34"/>
      <c r="BX34"/>
      <c r="BY34"/>
      <c r="BZ34"/>
      <c r="CA34"/>
      <c r="CB34"/>
    </row>
    <row r="35" spans="2:80" ht="13.5" thickBot="1" x14ac:dyDescent="0.25">
      <c r="B35" s="525">
        <v>2020</v>
      </c>
      <c r="C35" s="1427">
        <v>156000</v>
      </c>
      <c r="D35" s="1428">
        <v>1000000</v>
      </c>
      <c r="E35" s="1428">
        <v>1000000</v>
      </c>
      <c r="F35" s="1428">
        <v>1000000</v>
      </c>
      <c r="G35" s="1428">
        <v>1000000</v>
      </c>
      <c r="H35" s="1429">
        <v>1000000</v>
      </c>
      <c r="I35" s="1362">
        <f t="shared" si="10"/>
        <v>0</v>
      </c>
      <c r="J35" s="526">
        <f t="shared" si="11"/>
        <v>0</v>
      </c>
      <c r="K35" s="526">
        <f t="shared" si="6"/>
        <v>0</v>
      </c>
      <c r="L35" s="526">
        <f t="shared" si="7"/>
        <v>0</v>
      </c>
      <c r="M35" s="1367">
        <f t="shared" si="7"/>
        <v>0</v>
      </c>
      <c r="N35" s="1451">
        <v>7.2894962312959821</v>
      </c>
      <c r="O35" s="1467">
        <v>1</v>
      </c>
      <c r="P35" s="1467">
        <v>1</v>
      </c>
      <c r="Q35" s="1468">
        <v>1</v>
      </c>
      <c r="R35" s="1468">
        <v>1</v>
      </c>
      <c r="S35" s="1469">
        <v>1</v>
      </c>
      <c r="T35" s="1454">
        <v>1</v>
      </c>
      <c r="U35" s="1455">
        <v>1</v>
      </c>
      <c r="V35" s="1455">
        <v>1</v>
      </c>
      <c r="W35" s="1455">
        <v>1</v>
      </c>
      <c r="X35" s="1455">
        <v>1</v>
      </c>
      <c r="Y35" s="1456">
        <v>1</v>
      </c>
      <c r="Z35" s="1454">
        <v>0</v>
      </c>
      <c r="AA35" s="1455">
        <v>0</v>
      </c>
      <c r="AB35" s="1455">
        <v>0</v>
      </c>
      <c r="AC35" s="1455">
        <v>0</v>
      </c>
      <c r="AD35" s="1455">
        <v>0</v>
      </c>
      <c r="AE35" s="1456">
        <v>0</v>
      </c>
      <c r="AF35" s="496">
        <v>7.2892680928012563</v>
      </c>
      <c r="BP35">
        <f>AF35/N35</f>
        <v>0.99996870311918862</v>
      </c>
      <c r="BQ35"/>
      <c r="BR35"/>
      <c r="BS35"/>
      <c r="BT35"/>
      <c r="BU35"/>
      <c r="BV35"/>
      <c r="BW35"/>
      <c r="BX35"/>
      <c r="BY35"/>
      <c r="BZ35"/>
      <c r="CA35"/>
      <c r="CB35"/>
    </row>
    <row r="36" spans="2:80" x14ac:dyDescent="0.2">
      <c r="B36" s="527">
        <v>2021</v>
      </c>
      <c r="C36" s="1430">
        <v>156551.27371701796</v>
      </c>
      <c r="D36" s="1431">
        <v>730.36318460656912</v>
      </c>
      <c r="E36" s="1431">
        <v>2705.7495542290853</v>
      </c>
      <c r="F36" s="1431">
        <v>12559.923336376814</v>
      </c>
      <c r="G36" s="1431">
        <v>368339.21131604665</v>
      </c>
      <c r="H36" s="1432">
        <v>190187.88269309566</v>
      </c>
      <c r="I36" s="1360">
        <f t="shared" si="10"/>
        <v>0</v>
      </c>
      <c r="J36" s="528">
        <f t="shared" si="11"/>
        <v>0</v>
      </c>
      <c r="K36" s="528">
        <f t="shared" si="6"/>
        <v>0</v>
      </c>
      <c r="L36" s="528">
        <f t="shared" si="7"/>
        <v>0</v>
      </c>
      <c r="M36" s="1365">
        <f t="shared" si="7"/>
        <v>0</v>
      </c>
      <c r="N36" s="1457">
        <v>7.2954131536121691</v>
      </c>
      <c r="O36" s="1458">
        <v>7.4308901714917459</v>
      </c>
      <c r="P36" s="1458">
        <v>7.4665124503382803</v>
      </c>
      <c r="Q36" s="1465">
        <v>7.3377061005989868</v>
      </c>
      <c r="R36" s="1465">
        <v>5.9194810180966675</v>
      </c>
      <c r="S36" s="1466">
        <v>7.4593554530835418</v>
      </c>
      <c r="T36" s="1460">
        <v>1</v>
      </c>
      <c r="U36" s="1461">
        <v>1</v>
      </c>
      <c r="V36" s="1461">
        <v>1</v>
      </c>
      <c r="W36" s="1461">
        <v>1</v>
      </c>
      <c r="X36" s="1461">
        <v>15.925653061817686</v>
      </c>
      <c r="Y36" s="1462">
        <v>1</v>
      </c>
      <c r="Z36" s="1460">
        <v>0</v>
      </c>
      <c r="AA36" s="1461">
        <v>0</v>
      </c>
      <c r="AB36" s="1461">
        <v>0</v>
      </c>
      <c r="AC36" s="1461">
        <v>0</v>
      </c>
      <c r="AD36" s="1461">
        <v>257.16885674549303</v>
      </c>
      <c r="AE36" s="1462">
        <v>0</v>
      </c>
      <c r="AF36" s="496">
        <v>7.295170630607748</v>
      </c>
      <c r="BP36">
        <f t="shared" ref="BP36:BP65" si="12">AF36/N36</f>
        <v>0.99996675678274627</v>
      </c>
      <c r="BQ36"/>
      <c r="BR36"/>
      <c r="BS36"/>
      <c r="BT36"/>
      <c r="BU36"/>
      <c r="BV36"/>
      <c r="BW36"/>
      <c r="BX36"/>
      <c r="BY36"/>
      <c r="BZ36"/>
      <c r="CA36"/>
      <c r="CB36"/>
    </row>
    <row r="37" spans="2:80" x14ac:dyDescent="0.2">
      <c r="B37" s="523">
        <v>2022</v>
      </c>
      <c r="C37" s="1424">
        <v>157102.54743403592</v>
      </c>
      <c r="D37" s="1425">
        <v>1460.7263692131382</v>
      </c>
      <c r="E37" s="1425">
        <v>3132.1950407069526</v>
      </c>
      <c r="F37" s="1425">
        <v>12815.593393935997</v>
      </c>
      <c r="G37" s="1425">
        <v>311856.78907670779</v>
      </c>
      <c r="H37" s="1426">
        <v>164412.72073788615</v>
      </c>
      <c r="I37" s="1361">
        <f t="shared" si="10"/>
        <v>0</v>
      </c>
      <c r="J37" s="524">
        <f t="shared" si="11"/>
        <v>0</v>
      </c>
      <c r="K37" s="524">
        <f t="shared" si="6"/>
        <v>0</v>
      </c>
      <c r="L37" s="524">
        <f t="shared" si="7"/>
        <v>0</v>
      </c>
      <c r="M37" s="1366">
        <f t="shared" si="7"/>
        <v>0</v>
      </c>
      <c r="N37" s="1445">
        <v>7.3873963165063765</v>
      </c>
      <c r="O37" s="1446">
        <v>7.6568734158989926</v>
      </c>
      <c r="P37" s="1446">
        <v>7.6947705083553926</v>
      </c>
      <c r="Q37" s="1470">
        <v>7.5826521130421671</v>
      </c>
      <c r="R37" s="1470">
        <v>6.1996330263744017</v>
      </c>
      <c r="S37" s="1471">
        <v>7.6742944378951732</v>
      </c>
      <c r="T37" s="1448">
        <v>1</v>
      </c>
      <c r="U37" s="1449">
        <v>1</v>
      </c>
      <c r="V37" s="1449">
        <v>1</v>
      </c>
      <c r="W37" s="1449">
        <v>1</v>
      </c>
      <c r="X37" s="1449">
        <v>16.386016607362045</v>
      </c>
      <c r="Y37" s="1450">
        <v>1</v>
      </c>
      <c r="Z37" s="1448">
        <v>0</v>
      </c>
      <c r="AA37" s="1449">
        <v>0</v>
      </c>
      <c r="AB37" s="1449">
        <v>0</v>
      </c>
      <c r="AC37" s="1449">
        <v>0</v>
      </c>
      <c r="AD37" s="1449">
        <v>259.03898988667066</v>
      </c>
      <c r="AE37" s="1450">
        <v>0</v>
      </c>
      <c r="AF37" s="496">
        <v>7.387146020152362</v>
      </c>
      <c r="BP37">
        <f t="shared" si="12"/>
        <v>0.99996611846132377</v>
      </c>
      <c r="BQ37"/>
      <c r="BR37"/>
      <c r="BS37"/>
      <c r="BT37"/>
      <c r="BU37"/>
      <c r="BV37"/>
      <c r="BW37"/>
      <c r="BX37"/>
      <c r="BY37"/>
      <c r="BZ37"/>
      <c r="CA37"/>
      <c r="CB37"/>
    </row>
    <row r="38" spans="2:80" x14ac:dyDescent="0.2">
      <c r="B38" s="523">
        <v>2023</v>
      </c>
      <c r="C38" s="1424">
        <v>157653.82115105388</v>
      </c>
      <c r="D38" s="1425">
        <v>2191.0895538197074</v>
      </c>
      <c r="E38" s="1425">
        <v>3558.6405271848198</v>
      </c>
      <c r="F38" s="1425">
        <v>13071.263451495179</v>
      </c>
      <c r="G38" s="1425">
        <v>255374.36683736893</v>
      </c>
      <c r="H38" s="1426">
        <v>138637.55878267664</v>
      </c>
      <c r="I38" s="1361">
        <f t="shared" si="10"/>
        <v>0</v>
      </c>
      <c r="J38" s="524">
        <f t="shared" si="11"/>
        <v>0</v>
      </c>
      <c r="K38" s="524">
        <f t="shared" ref="K38:K65" si="13">F38*K$21</f>
        <v>0</v>
      </c>
      <c r="L38" s="524">
        <f t="shared" ref="L38:L65" si="14">G38*L$21</f>
        <v>0</v>
      </c>
      <c r="M38" s="1366">
        <f t="shared" ref="M38:M65" si="15">H38*M$21</f>
        <v>0</v>
      </c>
      <c r="N38" s="1445">
        <v>7.4857900803231185</v>
      </c>
      <c r="O38" s="1446">
        <v>7.8882125832335461</v>
      </c>
      <c r="P38" s="1446">
        <v>7.9283995933865468</v>
      </c>
      <c r="Q38" s="1470">
        <v>7.8326935001075295</v>
      </c>
      <c r="R38" s="1470">
        <v>6.4831631871906783</v>
      </c>
      <c r="S38" s="1471">
        <v>7.8947155299565646</v>
      </c>
      <c r="T38" s="1448">
        <v>1</v>
      </c>
      <c r="U38" s="1449">
        <v>1</v>
      </c>
      <c r="V38" s="1449">
        <v>1</v>
      </c>
      <c r="W38" s="1449">
        <v>1</v>
      </c>
      <c r="X38" s="1449">
        <v>16.858071350081509</v>
      </c>
      <c r="Y38" s="1450">
        <v>1</v>
      </c>
      <c r="Z38" s="1448">
        <v>0</v>
      </c>
      <c r="AA38" s="1449">
        <v>0</v>
      </c>
      <c r="AB38" s="1449">
        <v>0</v>
      </c>
      <c r="AC38" s="1449">
        <v>0</v>
      </c>
      <c r="AD38" s="1449">
        <v>260.9091230278483</v>
      </c>
      <c r="AE38" s="1450">
        <v>0</v>
      </c>
      <c r="AF38" s="496">
        <v>7.4855391580542259</v>
      </c>
      <c r="BP38">
        <f t="shared" si="12"/>
        <v>0.99996648018897138</v>
      </c>
      <c r="BQ38"/>
      <c r="BR38"/>
      <c r="BS38"/>
      <c r="BT38"/>
      <c r="BU38"/>
      <c r="BV38"/>
      <c r="BW38"/>
      <c r="BX38"/>
      <c r="BY38"/>
      <c r="BZ38"/>
      <c r="CA38"/>
      <c r="CB38"/>
    </row>
    <row r="39" spans="2:80" x14ac:dyDescent="0.2">
      <c r="B39" s="523">
        <v>2024</v>
      </c>
      <c r="C39" s="1424">
        <v>158205.09486807184</v>
      </c>
      <c r="D39" s="1425">
        <v>2921.4527384262765</v>
      </c>
      <c r="E39" s="1425">
        <v>3985.086013662687</v>
      </c>
      <c r="F39" s="1425">
        <v>13326.933509054361</v>
      </c>
      <c r="G39" s="1425">
        <v>198891.94459803007</v>
      </c>
      <c r="H39" s="1426">
        <v>112862.39682746716</v>
      </c>
      <c r="I39" s="1361">
        <f t="shared" si="10"/>
        <v>0</v>
      </c>
      <c r="J39" s="524">
        <f t="shared" si="11"/>
        <v>0</v>
      </c>
      <c r="K39" s="524">
        <f t="shared" si="13"/>
        <v>0</v>
      </c>
      <c r="L39" s="524">
        <f t="shared" si="14"/>
        <v>0</v>
      </c>
      <c r="M39" s="1366">
        <f t="shared" si="15"/>
        <v>0</v>
      </c>
      <c r="N39" s="1445">
        <v>7.635609368818371</v>
      </c>
      <c r="O39" s="1446">
        <v>8.1734867692834037</v>
      </c>
      <c r="P39" s="1446">
        <v>8.2162362521791703</v>
      </c>
      <c r="Q39" s="1470">
        <v>8.1362496796220292</v>
      </c>
      <c r="R39" s="1470">
        <v>6.8108348526115927</v>
      </c>
      <c r="S39" s="1471">
        <v>8.1691382988044534</v>
      </c>
      <c r="T39" s="1448">
        <v>1</v>
      </c>
      <c r="U39" s="1449">
        <v>1</v>
      </c>
      <c r="V39" s="1449">
        <v>1</v>
      </c>
      <c r="W39" s="1449">
        <v>1</v>
      </c>
      <c r="X39" s="1449">
        <v>17.445436443425915</v>
      </c>
      <c r="Y39" s="1450">
        <v>1</v>
      </c>
      <c r="Z39" s="1448">
        <v>0</v>
      </c>
      <c r="AA39" s="1449">
        <v>0</v>
      </c>
      <c r="AB39" s="1449">
        <v>0</v>
      </c>
      <c r="AC39" s="1449">
        <v>0</v>
      </c>
      <c r="AD39" s="1449">
        <v>262.77925616902593</v>
      </c>
      <c r="AE39" s="1450">
        <v>0</v>
      </c>
      <c r="AF39" s="496">
        <v>7.6353712468712809</v>
      </c>
      <c r="BP39">
        <f t="shared" si="12"/>
        <v>0.99996881428376072</v>
      </c>
      <c r="BQ39"/>
      <c r="BR39"/>
      <c r="BS39"/>
      <c r="BT39"/>
      <c r="BU39"/>
      <c r="BV39"/>
      <c r="BW39"/>
      <c r="BX39"/>
      <c r="BY39"/>
      <c r="BZ39"/>
      <c r="CA39"/>
      <c r="CB39"/>
    </row>
    <row r="40" spans="2:80" ht="13.5" thickBot="1" x14ac:dyDescent="0.25">
      <c r="B40" s="525">
        <v>2025</v>
      </c>
      <c r="C40" s="1427">
        <v>158756.3685850898</v>
      </c>
      <c r="D40" s="1428">
        <v>3651.8159230329038</v>
      </c>
      <c r="E40" s="1428">
        <v>4411.5315001405834</v>
      </c>
      <c r="F40" s="1428">
        <v>13582.603566613543</v>
      </c>
      <c r="G40" s="1428">
        <v>142409.52235869115</v>
      </c>
      <c r="H40" s="1429">
        <v>87087.234872257744</v>
      </c>
      <c r="I40" s="1362">
        <f t="shared" si="10"/>
        <v>0</v>
      </c>
      <c r="J40" s="526">
        <f t="shared" si="11"/>
        <v>0</v>
      </c>
      <c r="K40" s="526">
        <f t="shared" si="13"/>
        <v>0</v>
      </c>
      <c r="L40" s="526">
        <f t="shared" si="14"/>
        <v>0</v>
      </c>
      <c r="M40" s="1367">
        <f t="shared" si="15"/>
        <v>0</v>
      </c>
      <c r="N40" s="1451">
        <v>7.8151349393991643</v>
      </c>
      <c r="O40" s="1452">
        <v>8.4916401346514601</v>
      </c>
      <c r="P40" s="1452">
        <v>8.5371333152088571</v>
      </c>
      <c r="Q40" s="1463">
        <v>8.4727046109743416</v>
      </c>
      <c r="R40" s="1463">
        <v>7.1666822628786235</v>
      </c>
      <c r="S40" s="1464">
        <v>8.4763302116608674</v>
      </c>
      <c r="T40" s="1454">
        <v>1</v>
      </c>
      <c r="U40" s="1455">
        <v>1</v>
      </c>
      <c r="V40" s="1455">
        <v>1</v>
      </c>
      <c r="W40" s="1455">
        <v>1</v>
      </c>
      <c r="X40" s="1455">
        <v>18.102792491726138</v>
      </c>
      <c r="Y40" s="1456">
        <v>1</v>
      </c>
      <c r="Z40" s="1454">
        <v>0</v>
      </c>
      <c r="AA40" s="1455">
        <v>0</v>
      </c>
      <c r="AB40" s="1455">
        <v>0</v>
      </c>
      <c r="AC40" s="1455">
        <v>0</v>
      </c>
      <c r="AD40" s="1455">
        <v>264.64938931020362</v>
      </c>
      <c r="AE40" s="1456">
        <v>0</v>
      </c>
      <c r="AF40" s="496">
        <v>7.8149715088268348</v>
      </c>
      <c r="BP40">
        <f t="shared" si="12"/>
        <v>0.99997908793979928</v>
      </c>
      <c r="BQ40"/>
      <c r="BR40"/>
      <c r="BS40"/>
      <c r="BT40"/>
      <c r="BU40"/>
      <c r="BV40"/>
      <c r="BW40"/>
      <c r="BX40"/>
      <c r="BY40"/>
      <c r="BZ40"/>
      <c r="CA40"/>
      <c r="CB40"/>
    </row>
    <row r="41" spans="2:80" x14ac:dyDescent="0.2">
      <c r="B41" s="527">
        <v>2026</v>
      </c>
      <c r="C41" s="1430">
        <v>159487.32933471107</v>
      </c>
      <c r="D41" s="1431">
        <v>3749.1555890451127</v>
      </c>
      <c r="E41" s="1431">
        <v>4423.5303378117969</v>
      </c>
      <c r="F41" s="1431">
        <v>13199.284162683063</v>
      </c>
      <c r="G41" s="1431">
        <v>128389.76298950356</v>
      </c>
      <c r="H41" s="1432">
        <v>75720.084837218164</v>
      </c>
      <c r="I41" s="1360">
        <f t="shared" si="10"/>
        <v>0</v>
      </c>
      <c r="J41" s="528">
        <f t="shared" si="11"/>
        <v>0</v>
      </c>
      <c r="K41" s="528">
        <f t="shared" si="13"/>
        <v>0</v>
      </c>
      <c r="L41" s="528">
        <f t="shared" si="14"/>
        <v>0</v>
      </c>
      <c r="M41" s="1365">
        <f t="shared" si="15"/>
        <v>0</v>
      </c>
      <c r="N41" s="1457">
        <v>8.0157148896769055</v>
      </c>
      <c r="O41" s="1458">
        <v>8.8344957585977433</v>
      </c>
      <c r="P41" s="1458">
        <v>8.8828803881254963</v>
      </c>
      <c r="Q41" s="1465">
        <v>8.8340886432604862</v>
      </c>
      <c r="R41" s="1465">
        <v>7.5446727728594682</v>
      </c>
      <c r="S41" s="1466">
        <v>8.8080257987594965</v>
      </c>
      <c r="T41" s="1460">
        <v>1</v>
      </c>
      <c r="U41" s="1461">
        <v>1</v>
      </c>
      <c r="V41" s="1461">
        <v>1</v>
      </c>
      <c r="W41" s="1461">
        <v>1</v>
      </c>
      <c r="X41" s="1461">
        <v>18.812499862814995</v>
      </c>
      <c r="Y41" s="1462">
        <v>1</v>
      </c>
      <c r="Z41" s="1460">
        <v>0</v>
      </c>
      <c r="AA41" s="1461">
        <v>0</v>
      </c>
      <c r="AB41" s="1461">
        <v>0</v>
      </c>
      <c r="AC41" s="1461">
        <v>0</v>
      </c>
      <c r="AD41" s="1461">
        <v>265.4085280078678</v>
      </c>
      <c r="AE41" s="1462">
        <v>0</v>
      </c>
      <c r="AF41" s="496">
        <v>8.0156870895877077</v>
      </c>
      <c r="BP41">
        <f t="shared" si="12"/>
        <v>0.99999653180164461</v>
      </c>
      <c r="BQ41"/>
      <c r="BR41"/>
      <c r="BS41"/>
      <c r="BT41"/>
      <c r="BU41"/>
      <c r="BV41"/>
      <c r="BW41"/>
      <c r="BX41"/>
      <c r="BY41"/>
      <c r="BZ41"/>
      <c r="CA41"/>
      <c r="CB41"/>
    </row>
    <row r="42" spans="2:80" x14ac:dyDescent="0.2">
      <c r="B42" s="523">
        <v>2027</v>
      </c>
      <c r="C42" s="1424">
        <v>160218.29008433232</v>
      </c>
      <c r="D42" s="1425">
        <v>3846.4952550573216</v>
      </c>
      <c r="E42" s="1425">
        <v>4435.5291754830105</v>
      </c>
      <c r="F42" s="1425">
        <v>12815.964758752583</v>
      </c>
      <c r="G42" s="1425">
        <v>114370.00362031595</v>
      </c>
      <c r="H42" s="1426">
        <v>64352.934802178585</v>
      </c>
      <c r="I42" s="1361">
        <f t="shared" si="10"/>
        <v>0</v>
      </c>
      <c r="J42" s="524">
        <f t="shared" si="11"/>
        <v>0</v>
      </c>
      <c r="K42" s="524">
        <f t="shared" si="13"/>
        <v>0</v>
      </c>
      <c r="L42" s="524">
        <f t="shared" si="14"/>
        <v>0</v>
      </c>
      <c r="M42" s="1366">
        <f t="shared" si="15"/>
        <v>0</v>
      </c>
      <c r="N42" s="1445">
        <v>8.2057257808674269</v>
      </c>
      <c r="O42" s="1446">
        <v>9.1676018185518178</v>
      </c>
      <c r="P42" s="1446">
        <v>9.2188403080107388</v>
      </c>
      <c r="Q42" s="1470">
        <v>9.1860127308668815</v>
      </c>
      <c r="R42" s="1470">
        <v>7.9156655749801876</v>
      </c>
      <c r="S42" s="1471">
        <v>9.129843027687528</v>
      </c>
      <c r="T42" s="1448">
        <v>1</v>
      </c>
      <c r="U42" s="1449">
        <v>1</v>
      </c>
      <c r="V42" s="1449">
        <v>1</v>
      </c>
      <c r="W42" s="1449">
        <v>1</v>
      </c>
      <c r="X42" s="1449">
        <v>19.501128326523698</v>
      </c>
      <c r="Y42" s="1450">
        <v>1</v>
      </c>
      <c r="Z42" s="1448">
        <v>0</v>
      </c>
      <c r="AA42" s="1449">
        <v>0</v>
      </c>
      <c r="AB42" s="1449">
        <v>0</v>
      </c>
      <c r="AC42" s="1449">
        <v>0</v>
      </c>
      <c r="AD42" s="1449">
        <v>266.16766670553199</v>
      </c>
      <c r="AE42" s="1450">
        <v>0</v>
      </c>
      <c r="AF42" s="496">
        <v>8.2058097340255856</v>
      </c>
      <c r="BP42">
        <f t="shared" si="12"/>
        <v>1.0000102310460282</v>
      </c>
      <c r="BQ42"/>
      <c r="BR42"/>
      <c r="BS42"/>
      <c r="BT42"/>
      <c r="BU42"/>
      <c r="BV42"/>
      <c r="BW42"/>
      <c r="BX42"/>
      <c r="BY42"/>
      <c r="BZ42"/>
      <c r="CA42"/>
      <c r="CB42"/>
    </row>
    <row r="43" spans="2:80" x14ac:dyDescent="0.2">
      <c r="B43" s="523">
        <v>2028</v>
      </c>
      <c r="C43" s="1424">
        <v>160949.25083395356</v>
      </c>
      <c r="D43" s="1425">
        <v>3943.8349210695305</v>
      </c>
      <c r="E43" s="1425">
        <v>4447.528013154224</v>
      </c>
      <c r="F43" s="1425">
        <v>12432.645354822103</v>
      </c>
      <c r="G43" s="1425">
        <v>100350.24425112834</v>
      </c>
      <c r="H43" s="1426">
        <v>52985.784767139005</v>
      </c>
      <c r="I43" s="1361">
        <f t="shared" si="10"/>
        <v>0</v>
      </c>
      <c r="J43" s="524">
        <f t="shared" si="11"/>
        <v>0</v>
      </c>
      <c r="K43" s="524">
        <f t="shared" si="13"/>
        <v>0</v>
      </c>
      <c r="L43" s="524">
        <f t="shared" si="14"/>
        <v>0</v>
      </c>
      <c r="M43" s="1366">
        <f t="shared" si="15"/>
        <v>0</v>
      </c>
      <c r="N43" s="1445">
        <v>8.2873519472443142</v>
      </c>
      <c r="O43" s="1446">
        <v>9.3796877890556765</v>
      </c>
      <c r="P43" s="1446">
        <v>9.4331043178124876</v>
      </c>
      <c r="Q43" s="1470">
        <v>9.4166841298688748</v>
      </c>
      <c r="R43" s="1470">
        <v>8.18221286673454</v>
      </c>
      <c r="S43" s="1471">
        <v>9.3311329103263443</v>
      </c>
      <c r="T43" s="1448">
        <v>1</v>
      </c>
      <c r="U43" s="1449">
        <v>1</v>
      </c>
      <c r="V43" s="1449">
        <v>1</v>
      </c>
      <c r="W43" s="1449">
        <v>1</v>
      </c>
      <c r="X43" s="1449">
        <v>19.932313945254293</v>
      </c>
      <c r="Y43" s="1450">
        <v>1</v>
      </c>
      <c r="Z43" s="1448">
        <v>0</v>
      </c>
      <c r="AA43" s="1449">
        <v>0</v>
      </c>
      <c r="AB43" s="1449">
        <v>0</v>
      </c>
      <c r="AC43" s="1449">
        <v>0</v>
      </c>
      <c r="AD43" s="1449">
        <v>266.92680540319617</v>
      </c>
      <c r="AE43" s="1450">
        <v>0</v>
      </c>
      <c r="AF43" s="496">
        <v>8.3620977323245125</v>
      </c>
      <c r="BP43">
        <f t="shared" si="12"/>
        <v>1.009019260380881</v>
      </c>
      <c r="BQ43"/>
      <c r="BR43"/>
      <c r="BS43"/>
      <c r="BT43"/>
      <c r="BU43"/>
      <c r="BV43"/>
      <c r="BW43"/>
      <c r="BX43"/>
      <c r="BY43"/>
      <c r="BZ43"/>
      <c r="CA43"/>
      <c r="CB43"/>
    </row>
    <row r="44" spans="2:80" x14ac:dyDescent="0.2">
      <c r="B44" s="523">
        <v>2029</v>
      </c>
      <c r="C44" s="1424">
        <v>161680.2115835748</v>
      </c>
      <c r="D44" s="1425">
        <v>4041.1745870817394</v>
      </c>
      <c r="E44" s="1425">
        <v>4459.5268508254376</v>
      </c>
      <c r="F44" s="1425">
        <v>12049.325950891624</v>
      </c>
      <c r="G44" s="1425">
        <v>86330.484881940734</v>
      </c>
      <c r="H44" s="1426">
        <v>41618.634732099425</v>
      </c>
      <c r="I44" s="1361">
        <f t="shared" si="10"/>
        <v>0</v>
      </c>
      <c r="J44" s="524">
        <f t="shared" si="11"/>
        <v>0</v>
      </c>
      <c r="K44" s="524">
        <f t="shared" si="13"/>
        <v>0</v>
      </c>
      <c r="L44" s="524">
        <f t="shared" si="14"/>
        <v>0</v>
      </c>
      <c r="M44" s="1366">
        <f t="shared" si="15"/>
        <v>0</v>
      </c>
      <c r="N44" s="1445">
        <v>8.2980539180429691</v>
      </c>
      <c r="O44" s="1446">
        <v>9.5090096252087211</v>
      </c>
      <c r="P44" s="1446">
        <v>9.5641126630788271</v>
      </c>
      <c r="Q44" s="1470">
        <v>9.5638955015670923</v>
      </c>
      <c r="R44" s="1470">
        <v>8.3748650389780543</v>
      </c>
      <c r="S44" s="1471">
        <v>9.4816116504014047</v>
      </c>
      <c r="T44" s="1448">
        <v>1</v>
      </c>
      <c r="U44" s="1449">
        <v>1</v>
      </c>
      <c r="V44" s="1449">
        <v>1</v>
      </c>
      <c r="W44" s="1449">
        <v>1</v>
      </c>
      <c r="X44" s="1449">
        <v>20.205834091984013</v>
      </c>
      <c r="Y44" s="1450">
        <v>1</v>
      </c>
      <c r="Z44" s="1448">
        <v>0</v>
      </c>
      <c r="AA44" s="1449">
        <v>0</v>
      </c>
      <c r="AB44" s="1449">
        <v>0</v>
      </c>
      <c r="AC44" s="1449">
        <v>0</v>
      </c>
      <c r="AD44" s="1449">
        <v>267.68594410086035</v>
      </c>
      <c r="AE44" s="1450">
        <v>0</v>
      </c>
      <c r="AF44" s="496">
        <v>8.3620977323245125</v>
      </c>
      <c r="BP44">
        <f t="shared" si="12"/>
        <v>1.0077179318083591</v>
      </c>
      <c r="BQ44"/>
      <c r="BR44"/>
      <c r="BS44"/>
      <c r="BT44"/>
      <c r="BU44"/>
      <c r="BV44"/>
      <c r="BW44"/>
      <c r="BX44"/>
      <c r="BY44"/>
      <c r="BZ44"/>
      <c r="CA44"/>
      <c r="CB44"/>
    </row>
    <row r="45" spans="2:80" ht="13.5" thickBot="1" x14ac:dyDescent="0.25">
      <c r="B45" s="525">
        <v>2030</v>
      </c>
      <c r="C45" s="1427">
        <v>162352.82643157447</v>
      </c>
      <c r="D45" s="1428">
        <v>4138.5142530939775</v>
      </c>
      <c r="E45" s="1428">
        <v>4471.5256884965929</v>
      </c>
      <c r="F45" s="1428">
        <v>11666.006546961173</v>
      </c>
      <c r="G45" s="1428">
        <v>72310.725512753124</v>
      </c>
      <c r="H45" s="1429">
        <v>30251.484697059874</v>
      </c>
      <c r="I45" s="1362">
        <f t="shared" si="10"/>
        <v>0</v>
      </c>
      <c r="J45" s="526">
        <f t="shared" si="11"/>
        <v>0</v>
      </c>
      <c r="K45" s="526">
        <f t="shared" si="13"/>
        <v>0</v>
      </c>
      <c r="L45" s="526">
        <f t="shared" si="14"/>
        <v>0</v>
      </c>
      <c r="M45" s="1367">
        <f t="shared" si="15"/>
        <v>0</v>
      </c>
      <c r="N45" s="1451">
        <v>8.308755888841624</v>
      </c>
      <c r="O45" s="1452">
        <v>9.634970370241648</v>
      </c>
      <c r="P45" s="1452">
        <v>9.6917135329863573</v>
      </c>
      <c r="Q45" s="1463">
        <v>9.7072341521048049</v>
      </c>
      <c r="R45" s="1463">
        <v>8.5622957165433711</v>
      </c>
      <c r="S45" s="1464">
        <v>9.6320903904764652</v>
      </c>
      <c r="T45" s="1454">
        <v>1</v>
      </c>
      <c r="U45" s="1455">
        <v>1</v>
      </c>
      <c r="V45" s="1455">
        <v>1</v>
      </c>
      <c r="W45" s="1455">
        <v>1</v>
      </c>
      <c r="X45" s="1455">
        <v>20.479354238713732</v>
      </c>
      <c r="Y45" s="1456">
        <v>1</v>
      </c>
      <c r="Z45" s="1454">
        <v>0</v>
      </c>
      <c r="AA45" s="1455">
        <v>0</v>
      </c>
      <c r="AB45" s="1455">
        <v>0</v>
      </c>
      <c r="AC45" s="1455">
        <v>0</v>
      </c>
      <c r="AD45" s="1455">
        <v>268.44508279852465</v>
      </c>
      <c r="AE45" s="1456">
        <v>0</v>
      </c>
      <c r="AF45" s="496">
        <v>8.3620977323245125</v>
      </c>
      <c r="BP45">
        <f t="shared" si="12"/>
        <v>1.0064199555500872</v>
      </c>
      <c r="BQ45"/>
      <c r="BR45"/>
      <c r="BS45"/>
      <c r="BT45"/>
      <c r="BU45"/>
      <c r="BV45"/>
      <c r="BW45"/>
      <c r="BX45"/>
      <c r="BY45"/>
      <c r="BZ45"/>
      <c r="CA45"/>
      <c r="CB45"/>
    </row>
    <row r="46" spans="2:80" x14ac:dyDescent="0.2">
      <c r="B46" s="527">
        <v>2031</v>
      </c>
      <c r="C46" s="1430">
        <v>162352.82643157447</v>
      </c>
      <c r="D46" s="1431">
        <v>4138.5142530939775</v>
      </c>
      <c r="E46" s="1431">
        <v>4471.5256884965929</v>
      </c>
      <c r="F46" s="1431">
        <v>12448.262795188202</v>
      </c>
      <c r="G46" s="1431">
        <v>66808.676176908804</v>
      </c>
      <c r="H46" s="1432">
        <v>27282.035236115451</v>
      </c>
      <c r="I46" s="1360">
        <f t="shared" si="10"/>
        <v>0</v>
      </c>
      <c r="J46" s="528">
        <f t="shared" si="11"/>
        <v>0</v>
      </c>
      <c r="K46" s="528">
        <f t="shared" si="13"/>
        <v>0</v>
      </c>
      <c r="L46" s="528">
        <f t="shared" si="14"/>
        <v>0</v>
      </c>
      <c r="M46" s="1365">
        <f t="shared" si="15"/>
        <v>0</v>
      </c>
      <c r="N46" s="1457">
        <v>8.3194578596402788</v>
      </c>
      <c r="O46" s="1458">
        <f>$N46*O45/$N45</f>
        <v>9.6473805520941074</v>
      </c>
      <c r="P46" s="1458">
        <f t="shared" ref="P46:P65" si="16">$N46*P45/$N45</f>
        <v>9.7041968020348843</v>
      </c>
      <c r="Q46" s="1465">
        <v>9.891585992964707</v>
      </c>
      <c r="R46" s="1465">
        <v>8.7559326310725183</v>
      </c>
      <c r="S46" s="1466">
        <v>9.7825691305515274</v>
      </c>
      <c r="T46" s="1460">
        <v>1</v>
      </c>
      <c r="U46" s="1461">
        <v>1</v>
      </c>
      <c r="V46" s="1461">
        <v>1</v>
      </c>
      <c r="W46" s="1461">
        <v>1</v>
      </c>
      <c r="X46" s="1461">
        <v>20.752874385443455</v>
      </c>
      <c r="Y46" s="1462">
        <v>1</v>
      </c>
      <c r="Z46" s="1460">
        <v>0</v>
      </c>
      <c r="AA46" s="1461">
        <v>0</v>
      </c>
      <c r="AB46" s="1461">
        <v>0</v>
      </c>
      <c r="AC46" s="1461">
        <v>0</v>
      </c>
      <c r="AD46" s="1461">
        <v>269.02220881993833</v>
      </c>
      <c r="AE46" s="1462">
        <v>0</v>
      </c>
      <c r="AF46" s="496">
        <v>8.3620977323245125</v>
      </c>
      <c r="BP46">
        <f t="shared" si="12"/>
        <v>1.0051253186690312</v>
      </c>
      <c r="BQ46"/>
      <c r="BR46"/>
      <c r="BS46"/>
      <c r="BT46"/>
      <c r="BU46"/>
      <c r="BV46"/>
      <c r="BW46"/>
      <c r="BX46"/>
      <c r="BY46"/>
      <c r="BZ46"/>
      <c r="CA46"/>
      <c r="CB46"/>
    </row>
    <row r="47" spans="2:80" x14ac:dyDescent="0.2">
      <c r="B47" s="523">
        <v>2032</v>
      </c>
      <c r="C47" s="1424">
        <v>162352.82643157447</v>
      </c>
      <c r="D47" s="1431">
        <v>4138.5142530939775</v>
      </c>
      <c r="E47" s="1431">
        <v>4471.5256884965929</v>
      </c>
      <c r="F47" s="1431">
        <v>13230.519043415232</v>
      </c>
      <c r="G47" s="1431">
        <v>61306.626841064484</v>
      </c>
      <c r="H47" s="1432">
        <v>24312.585775171028</v>
      </c>
      <c r="I47" s="1361">
        <f t="shared" si="10"/>
        <v>0</v>
      </c>
      <c r="J47" s="529">
        <f t="shared" si="11"/>
        <v>0</v>
      </c>
      <c r="K47" s="524">
        <f t="shared" si="13"/>
        <v>0</v>
      </c>
      <c r="L47" s="529">
        <f t="shared" si="14"/>
        <v>0</v>
      </c>
      <c r="M47" s="1366">
        <f t="shared" si="15"/>
        <v>0</v>
      </c>
      <c r="N47" s="1457">
        <v>8.3301598304389337</v>
      </c>
      <c r="O47" s="1446">
        <f t="shared" ref="O47:O65" si="17">$N47*O46/$N46</f>
        <v>9.6597907339465685</v>
      </c>
      <c r="P47" s="1446">
        <f t="shared" si="16"/>
        <v>9.7166800710834131</v>
      </c>
      <c r="Q47" s="1470">
        <v>10.076379958425402</v>
      </c>
      <c r="R47" s="1470">
        <v>8.9500393525374058</v>
      </c>
      <c r="S47" s="1471">
        <v>9.9992891342594401</v>
      </c>
      <c r="T47" s="1460">
        <v>1</v>
      </c>
      <c r="U47" s="1461">
        <v>1</v>
      </c>
      <c r="V47" s="1461">
        <v>1</v>
      </c>
      <c r="W47" s="1461">
        <v>1</v>
      </c>
      <c r="X47" s="1461">
        <v>21.069346758455644</v>
      </c>
      <c r="Y47" s="1462">
        <v>1</v>
      </c>
      <c r="Z47" s="1460">
        <v>0</v>
      </c>
      <c r="AA47" s="1461">
        <v>0</v>
      </c>
      <c r="AB47" s="1461">
        <v>0</v>
      </c>
      <c r="AC47" s="1461">
        <v>0</v>
      </c>
      <c r="AD47" s="1461">
        <v>269.599334841352</v>
      </c>
      <c r="AE47" s="1462">
        <v>0</v>
      </c>
      <c r="AF47" s="496">
        <v>8.3620977323245125</v>
      </c>
      <c r="BP47">
        <f t="shared" si="12"/>
        <v>1.00383400829464</v>
      </c>
      <c r="BQ47"/>
      <c r="BR47"/>
      <c r="BS47"/>
      <c r="BT47"/>
      <c r="BU47"/>
      <c r="BV47"/>
      <c r="BW47"/>
      <c r="BX47"/>
      <c r="BY47"/>
      <c r="BZ47"/>
      <c r="CA47"/>
      <c r="CB47"/>
    </row>
    <row r="48" spans="2:80" x14ac:dyDescent="0.2">
      <c r="B48" s="523">
        <v>2033</v>
      </c>
      <c r="C48" s="1424">
        <v>162352.82643157447</v>
      </c>
      <c r="D48" s="1431">
        <v>4138.5142530939775</v>
      </c>
      <c r="E48" s="1431">
        <v>4471.5256884965929</v>
      </c>
      <c r="F48" s="1431">
        <v>14012.775291642261</v>
      </c>
      <c r="G48" s="1431">
        <v>55804.577505220164</v>
      </c>
      <c r="H48" s="1432">
        <v>21343.136314226605</v>
      </c>
      <c r="I48" s="1361">
        <f t="shared" si="10"/>
        <v>0</v>
      </c>
      <c r="J48" s="524">
        <f t="shared" si="11"/>
        <v>0</v>
      </c>
      <c r="K48" s="524">
        <f t="shared" si="13"/>
        <v>0</v>
      </c>
      <c r="L48" s="524">
        <f t="shared" si="14"/>
        <v>0</v>
      </c>
      <c r="M48" s="1366">
        <f t="shared" si="15"/>
        <v>0</v>
      </c>
      <c r="N48" s="1457">
        <v>8.3408618012375904</v>
      </c>
      <c r="O48" s="1446">
        <f t="shared" si="17"/>
        <v>9.6722009157990314</v>
      </c>
      <c r="P48" s="1446">
        <f t="shared" si="16"/>
        <v>9.729163340131942</v>
      </c>
      <c r="Q48" s="1470">
        <v>10.261616048486893</v>
      </c>
      <c r="R48" s="1470">
        <v>9.1446158809380371</v>
      </c>
      <c r="S48" s="1471">
        <v>10.216533655306732</v>
      </c>
      <c r="T48" s="1460">
        <v>1</v>
      </c>
      <c r="U48" s="1461">
        <v>1</v>
      </c>
      <c r="V48" s="1461">
        <v>1</v>
      </c>
      <c r="W48" s="1461">
        <v>1</v>
      </c>
      <c r="X48" s="1461">
        <v>21.386563697675346</v>
      </c>
      <c r="Y48" s="1462">
        <v>1</v>
      </c>
      <c r="Z48" s="1460">
        <v>0</v>
      </c>
      <c r="AA48" s="1461">
        <v>0</v>
      </c>
      <c r="AB48" s="1461">
        <v>0</v>
      </c>
      <c r="AC48" s="1461">
        <v>0</v>
      </c>
      <c r="AD48" s="1461">
        <v>270.17646086276568</v>
      </c>
      <c r="AE48" s="1462">
        <v>0</v>
      </c>
      <c r="AF48" s="496">
        <v>8.3620977323245125</v>
      </c>
      <c r="BP48">
        <f t="shared" si="12"/>
        <v>1.0025460116224167</v>
      </c>
      <c r="BQ48"/>
      <c r="BR48"/>
      <c r="BS48"/>
      <c r="BT48"/>
      <c r="BU48"/>
      <c r="BV48"/>
      <c r="BW48"/>
      <c r="BX48"/>
      <c r="BY48"/>
      <c r="BZ48"/>
      <c r="CA48"/>
      <c r="CB48"/>
    </row>
    <row r="49" spans="2:80" x14ac:dyDescent="0.2">
      <c r="B49" s="523">
        <v>2034</v>
      </c>
      <c r="C49" s="1424">
        <v>162352.82643157447</v>
      </c>
      <c r="D49" s="1431">
        <v>4138.5142530939775</v>
      </c>
      <c r="E49" s="1431">
        <v>4471.5256884965929</v>
      </c>
      <c r="F49" s="1431">
        <v>14795.031539869291</v>
      </c>
      <c r="G49" s="1431">
        <v>50302.528169375844</v>
      </c>
      <c r="H49" s="1432">
        <v>18373.686853282183</v>
      </c>
      <c r="I49" s="1361">
        <f t="shared" si="10"/>
        <v>0</v>
      </c>
      <c r="J49" s="524">
        <f t="shared" si="11"/>
        <v>0</v>
      </c>
      <c r="K49" s="524">
        <f t="shared" si="13"/>
        <v>0</v>
      </c>
      <c r="L49" s="524">
        <f t="shared" si="14"/>
        <v>0</v>
      </c>
      <c r="M49" s="1366">
        <f t="shared" si="15"/>
        <v>0</v>
      </c>
      <c r="N49" s="1457">
        <v>8.351563772036247</v>
      </c>
      <c r="O49" s="1446">
        <f t="shared" si="17"/>
        <v>9.6846110976514943</v>
      </c>
      <c r="P49" s="1446">
        <f t="shared" si="16"/>
        <v>9.7416466091804708</v>
      </c>
      <c r="Q49" s="1470">
        <v>10.447294263149178</v>
      </c>
      <c r="R49" s="1470">
        <v>9.339662216274407</v>
      </c>
      <c r="S49" s="1471">
        <v>10.4343026936934</v>
      </c>
      <c r="T49" s="1460">
        <v>1</v>
      </c>
      <c r="U49" s="1461">
        <v>1</v>
      </c>
      <c r="V49" s="1461">
        <v>1</v>
      </c>
      <c r="W49" s="1461">
        <v>1</v>
      </c>
      <c r="X49" s="1461">
        <v>21.704525203102563</v>
      </c>
      <c r="Y49" s="1462">
        <v>1</v>
      </c>
      <c r="Z49" s="1460">
        <v>0</v>
      </c>
      <c r="AA49" s="1461">
        <v>0</v>
      </c>
      <c r="AB49" s="1461">
        <v>0</v>
      </c>
      <c r="AC49" s="1461">
        <v>0</v>
      </c>
      <c r="AD49" s="1461">
        <v>270.75358688417936</v>
      </c>
      <c r="AE49" s="1462">
        <v>0</v>
      </c>
      <c r="AF49" s="496">
        <v>8.3620977323245125</v>
      </c>
      <c r="BP49">
        <f t="shared" si="12"/>
        <v>1.0012613159134984</v>
      </c>
      <c r="BQ49"/>
      <c r="BR49"/>
      <c r="BS49"/>
      <c r="BT49"/>
      <c r="BU49"/>
      <c r="BV49"/>
      <c r="BW49"/>
      <c r="BX49"/>
      <c r="BY49"/>
      <c r="BZ49"/>
      <c r="CA49"/>
      <c r="CB49"/>
    </row>
    <row r="50" spans="2:80" ht="13.5" thickBot="1" x14ac:dyDescent="0.25">
      <c r="B50" s="530">
        <v>2035</v>
      </c>
      <c r="C50" s="1433">
        <v>162352.82643157447</v>
      </c>
      <c r="D50" s="1434">
        <v>4138.5142530939775</v>
      </c>
      <c r="E50" s="1434">
        <v>4471.5256884965929</v>
      </c>
      <c r="F50" s="1434">
        <v>15577.28778809635</v>
      </c>
      <c r="G50" s="1434">
        <v>44800.478833531524</v>
      </c>
      <c r="H50" s="1435">
        <v>15404.237392337789</v>
      </c>
      <c r="I50" s="1363">
        <f t="shared" si="10"/>
        <v>0</v>
      </c>
      <c r="J50" s="531">
        <f t="shared" si="11"/>
        <v>0</v>
      </c>
      <c r="K50" s="531">
        <f t="shared" si="13"/>
        <v>0</v>
      </c>
      <c r="L50" s="531">
        <f t="shared" si="14"/>
        <v>0</v>
      </c>
      <c r="M50" s="1368">
        <f t="shared" si="15"/>
        <v>0</v>
      </c>
      <c r="N50" s="1472">
        <v>8.3622657428349019</v>
      </c>
      <c r="O50" s="1452">
        <f t="shared" si="17"/>
        <v>9.6970212795039554</v>
      </c>
      <c r="P50" s="1452">
        <f t="shared" si="16"/>
        <v>9.7541298782289978</v>
      </c>
      <c r="Q50" s="1463">
        <v>10.633414602412259</v>
      </c>
      <c r="R50" s="1463">
        <v>9.5351783585465171</v>
      </c>
      <c r="S50" s="1464">
        <v>10.652596249419444</v>
      </c>
      <c r="T50" s="1473">
        <v>1</v>
      </c>
      <c r="U50" s="1474">
        <v>1</v>
      </c>
      <c r="V50" s="1474">
        <v>1</v>
      </c>
      <c r="W50" s="1474">
        <v>1</v>
      </c>
      <c r="X50" s="1474">
        <v>22.023231274737277</v>
      </c>
      <c r="Y50" s="1475">
        <v>1</v>
      </c>
      <c r="Z50" s="1473">
        <v>0</v>
      </c>
      <c r="AA50" s="1474">
        <v>0</v>
      </c>
      <c r="AB50" s="1474">
        <v>0</v>
      </c>
      <c r="AC50" s="1474">
        <v>0</v>
      </c>
      <c r="AD50" s="1474">
        <v>271.33071290559297</v>
      </c>
      <c r="AE50" s="1475">
        <v>0</v>
      </c>
      <c r="AF50" s="496">
        <v>8.3620977323245125</v>
      </c>
      <c r="BP50">
        <f t="shared" si="12"/>
        <v>0.9999799084942339</v>
      </c>
      <c r="BQ50"/>
      <c r="BR50"/>
      <c r="BS50"/>
      <c r="BT50"/>
      <c r="BU50"/>
      <c r="BV50"/>
      <c r="BW50"/>
      <c r="BX50"/>
      <c r="BY50"/>
      <c r="BZ50"/>
      <c r="CA50"/>
      <c r="CB50"/>
    </row>
    <row r="51" spans="2:80" x14ac:dyDescent="0.2">
      <c r="B51" s="532">
        <v>2036</v>
      </c>
      <c r="C51" s="1421">
        <v>162352.82643157447</v>
      </c>
      <c r="D51" s="1422">
        <v>4138.5142530939775</v>
      </c>
      <c r="E51" s="1422">
        <v>4471.5256884965929</v>
      </c>
      <c r="F51" s="1422">
        <v>15895.029506688967</v>
      </c>
      <c r="G51" s="1422">
        <v>44263.406737444486</v>
      </c>
      <c r="H51" s="1423">
        <v>14926.396499291848</v>
      </c>
      <c r="I51" s="1364">
        <f t="shared" si="10"/>
        <v>0</v>
      </c>
      <c r="J51" s="533">
        <f t="shared" si="11"/>
        <v>0</v>
      </c>
      <c r="K51" s="533">
        <f t="shared" si="13"/>
        <v>0</v>
      </c>
      <c r="L51" s="533">
        <f t="shared" si="14"/>
        <v>0</v>
      </c>
      <c r="M51" s="1369">
        <f t="shared" si="15"/>
        <v>0</v>
      </c>
      <c r="N51" s="1439">
        <v>8.3624317796139316</v>
      </c>
      <c r="O51" s="1440">
        <f t="shared" si="17"/>
        <v>9.697213818491468</v>
      </c>
      <c r="P51" s="1440">
        <f t="shared" si="16"/>
        <v>9.7543235511350037</v>
      </c>
      <c r="Q51" s="1476">
        <v>10.694134017256152</v>
      </c>
      <c r="R51" s="1476">
        <v>9.5986970637276805</v>
      </c>
      <c r="S51" s="1477">
        <v>10.752209631300701</v>
      </c>
      <c r="T51" s="1442">
        <v>1</v>
      </c>
      <c r="U51" s="1443">
        <v>1</v>
      </c>
      <c r="V51" s="1443">
        <v>1</v>
      </c>
      <c r="W51" s="1443">
        <v>1</v>
      </c>
      <c r="X51" s="1443">
        <v>22.120662887296707</v>
      </c>
      <c r="Y51" s="1444">
        <v>1</v>
      </c>
      <c r="Z51" s="1442">
        <v>0</v>
      </c>
      <c r="AA51" s="1443">
        <v>0</v>
      </c>
      <c r="AB51" s="1443">
        <v>0</v>
      </c>
      <c r="AC51" s="1443">
        <v>0</v>
      </c>
      <c r="AD51" s="1443">
        <v>271.50374756358025</v>
      </c>
      <c r="AE51" s="1444">
        <v>0</v>
      </c>
      <c r="AF51" s="496">
        <v>8.3650405987967709</v>
      </c>
      <c r="BP51">
        <f t="shared" si="12"/>
        <v>1.0003119689644822</v>
      </c>
    </row>
    <row r="52" spans="2:80" x14ac:dyDescent="0.2">
      <c r="B52" s="523">
        <v>2037</v>
      </c>
      <c r="C52" s="1424">
        <v>162352.82643157447</v>
      </c>
      <c r="D52" s="1425">
        <v>4138.5142530939775</v>
      </c>
      <c r="E52" s="1425">
        <v>4471.5256884965929</v>
      </c>
      <c r="F52" s="1425">
        <v>16212.771225281584</v>
      </c>
      <c r="G52" s="1425">
        <v>43726.334641357447</v>
      </c>
      <c r="H52" s="1426">
        <v>14448.555606245907</v>
      </c>
      <c r="I52" s="1361">
        <f t="shared" si="10"/>
        <v>0</v>
      </c>
      <c r="J52" s="524">
        <f t="shared" si="11"/>
        <v>0</v>
      </c>
      <c r="K52" s="524">
        <f t="shared" si="13"/>
        <v>0</v>
      </c>
      <c r="L52" s="524">
        <f t="shared" si="14"/>
        <v>0</v>
      </c>
      <c r="M52" s="1366">
        <f t="shared" si="15"/>
        <v>0</v>
      </c>
      <c r="N52" s="1445">
        <v>8.3625978163929613</v>
      </c>
      <c r="O52" s="1446">
        <f t="shared" si="17"/>
        <v>9.6974063574789806</v>
      </c>
      <c r="P52" s="1446">
        <f t="shared" si="16"/>
        <v>9.7545172240410114</v>
      </c>
      <c r="Q52" s="1470">
        <v>10.754855834894046</v>
      </c>
      <c r="R52" s="1470">
        <v>9.662218283729052</v>
      </c>
      <c r="S52" s="1471">
        <v>10.851826960446745</v>
      </c>
      <c r="T52" s="1448">
        <v>1</v>
      </c>
      <c r="U52" s="1449">
        <v>1</v>
      </c>
      <c r="V52" s="1449">
        <v>1</v>
      </c>
      <c r="W52" s="1449">
        <v>1</v>
      </c>
      <c r="X52" s="1449">
        <v>22.21809835151716</v>
      </c>
      <c r="Y52" s="1450">
        <v>1</v>
      </c>
      <c r="Z52" s="1448">
        <v>0</v>
      </c>
      <c r="AA52" s="1449">
        <v>0</v>
      </c>
      <c r="AB52" s="1449">
        <v>0</v>
      </c>
      <c r="AC52" s="1449">
        <v>0</v>
      </c>
      <c r="AD52" s="1449">
        <v>271.67678222156752</v>
      </c>
      <c r="AE52" s="1450">
        <v>0</v>
      </c>
      <c r="AF52" s="496">
        <v>8.3663329725739288</v>
      </c>
      <c r="BP52">
        <f t="shared" si="12"/>
        <v>1.0004466502231693</v>
      </c>
    </row>
    <row r="53" spans="2:80" x14ac:dyDescent="0.2">
      <c r="B53" s="523">
        <v>2038</v>
      </c>
      <c r="C53" s="1424">
        <v>162352.82643157447</v>
      </c>
      <c r="D53" s="1425">
        <v>4138.5142530939775</v>
      </c>
      <c r="E53" s="1425">
        <v>4471.5256884965929</v>
      </c>
      <c r="F53" s="1425">
        <v>16530.512943874201</v>
      </c>
      <c r="G53" s="1425">
        <v>43189.262545270409</v>
      </c>
      <c r="H53" s="1426">
        <v>13970.714713199966</v>
      </c>
      <c r="I53" s="1361">
        <f t="shared" si="10"/>
        <v>0</v>
      </c>
      <c r="J53" s="524">
        <f t="shared" si="11"/>
        <v>0</v>
      </c>
      <c r="K53" s="524">
        <f t="shared" si="13"/>
        <v>0</v>
      </c>
      <c r="L53" s="524">
        <f t="shared" si="14"/>
        <v>0</v>
      </c>
      <c r="M53" s="1366">
        <f t="shared" si="15"/>
        <v>0</v>
      </c>
      <c r="N53" s="1445">
        <v>8.362763853171991</v>
      </c>
      <c r="O53" s="1446">
        <f t="shared" si="17"/>
        <v>9.6975988964664914</v>
      </c>
      <c r="P53" s="1446">
        <f t="shared" si="16"/>
        <v>9.7547108969470191</v>
      </c>
      <c r="Q53" s="1470">
        <v>10.815580055325947</v>
      </c>
      <c r="R53" s="1470">
        <v>9.7257420185506298</v>
      </c>
      <c r="S53" s="1471">
        <v>10.951448236857571</v>
      </c>
      <c r="T53" s="1448">
        <v>1</v>
      </c>
      <c r="U53" s="1449">
        <v>1</v>
      </c>
      <c r="V53" s="1449">
        <v>1</v>
      </c>
      <c r="W53" s="1449">
        <v>1</v>
      </c>
      <c r="X53" s="1449">
        <v>22.315537667398637</v>
      </c>
      <c r="Y53" s="1450">
        <v>1</v>
      </c>
      <c r="Z53" s="1448">
        <v>0</v>
      </c>
      <c r="AA53" s="1449">
        <v>0</v>
      </c>
      <c r="AB53" s="1449">
        <v>0</v>
      </c>
      <c r="AC53" s="1449">
        <v>0</v>
      </c>
      <c r="AD53" s="1449">
        <v>271.84981687955479</v>
      </c>
      <c r="AE53" s="1450">
        <v>0</v>
      </c>
      <c r="AF53" s="496">
        <v>8.3656573093164184</v>
      </c>
      <c r="BP53">
        <f t="shared" si="12"/>
        <v>1.0003459928075489</v>
      </c>
    </row>
    <row r="54" spans="2:80" x14ac:dyDescent="0.2">
      <c r="B54" s="523">
        <v>2039</v>
      </c>
      <c r="C54" s="1424">
        <v>162352.82643157447</v>
      </c>
      <c r="D54" s="1425">
        <v>4138.5142530939775</v>
      </c>
      <c r="E54" s="1425">
        <v>4471.5256884965929</v>
      </c>
      <c r="F54" s="1425">
        <v>16848.254662466818</v>
      </c>
      <c r="G54" s="1425">
        <v>42652.19044918337</v>
      </c>
      <c r="H54" s="1426">
        <v>13492.873820154025</v>
      </c>
      <c r="I54" s="1361">
        <f t="shared" si="10"/>
        <v>0</v>
      </c>
      <c r="J54" s="524">
        <f t="shared" si="11"/>
        <v>0</v>
      </c>
      <c r="K54" s="524">
        <f t="shared" si="13"/>
        <v>0</v>
      </c>
      <c r="L54" s="524">
        <f t="shared" si="14"/>
        <v>0</v>
      </c>
      <c r="M54" s="1366">
        <f t="shared" si="15"/>
        <v>0</v>
      </c>
      <c r="N54" s="1445">
        <v>8.3629298899510207</v>
      </c>
      <c r="O54" s="1446">
        <f t="shared" si="17"/>
        <v>9.6977914354540022</v>
      </c>
      <c r="P54" s="1446">
        <f t="shared" si="16"/>
        <v>9.7549045698530268</v>
      </c>
      <c r="Q54" s="1470">
        <v>10.876306678551851</v>
      </c>
      <c r="R54" s="1470">
        <v>9.7892682681924192</v>
      </c>
      <c r="S54" s="1471">
        <v>11.051073460533186</v>
      </c>
      <c r="T54" s="1448">
        <v>1</v>
      </c>
      <c r="U54" s="1449">
        <v>1</v>
      </c>
      <c r="V54" s="1449">
        <v>1</v>
      </c>
      <c r="W54" s="1449">
        <v>1</v>
      </c>
      <c r="X54" s="1449">
        <v>22.412980834941131</v>
      </c>
      <c r="Y54" s="1450">
        <v>1</v>
      </c>
      <c r="Z54" s="1448">
        <v>0</v>
      </c>
      <c r="AA54" s="1449">
        <v>0</v>
      </c>
      <c r="AB54" s="1449">
        <v>0</v>
      </c>
      <c r="AC54" s="1449">
        <v>0</v>
      </c>
      <c r="AD54" s="1449">
        <v>272.02285153754207</v>
      </c>
      <c r="AE54" s="1450">
        <v>0</v>
      </c>
      <c r="AF54" s="496">
        <v>8.3655254318154437</v>
      </c>
      <c r="BP54">
        <f t="shared" si="12"/>
        <v>1.0003103627435095</v>
      </c>
    </row>
    <row r="55" spans="2:80" ht="13.5" thickBot="1" x14ac:dyDescent="0.25">
      <c r="B55" s="525">
        <v>2040</v>
      </c>
      <c r="C55" s="1427">
        <v>162352.82643157447</v>
      </c>
      <c r="D55" s="1428">
        <v>4138.5142530939775</v>
      </c>
      <c r="E55" s="1428">
        <v>4471.5256884965929</v>
      </c>
      <c r="F55" s="1428">
        <v>17165.996381059434</v>
      </c>
      <c r="G55" s="1428">
        <v>42115.118353096332</v>
      </c>
      <c r="H55" s="1429">
        <v>13015.032927108085</v>
      </c>
      <c r="I55" s="1362">
        <f t="shared" si="10"/>
        <v>0</v>
      </c>
      <c r="J55" s="526">
        <f t="shared" si="11"/>
        <v>0</v>
      </c>
      <c r="K55" s="526">
        <f t="shared" si="13"/>
        <v>0</v>
      </c>
      <c r="L55" s="526">
        <f t="shared" si="14"/>
        <v>0</v>
      </c>
      <c r="M55" s="1367">
        <f t="shared" si="15"/>
        <v>0</v>
      </c>
      <c r="N55" s="1451">
        <v>8.3630959267300504</v>
      </c>
      <c r="O55" s="1452">
        <f t="shared" si="17"/>
        <v>9.6979839744415131</v>
      </c>
      <c r="P55" s="1452">
        <f t="shared" si="16"/>
        <v>9.7550982427590345</v>
      </c>
      <c r="Q55" s="1463">
        <v>10.937035704571755</v>
      </c>
      <c r="R55" s="1463">
        <v>9.8527970326544168</v>
      </c>
      <c r="S55" s="1464">
        <v>11.150702631473582</v>
      </c>
      <c r="T55" s="1454">
        <v>1</v>
      </c>
      <c r="U55" s="1455">
        <v>1</v>
      </c>
      <c r="V55" s="1455">
        <v>1</v>
      </c>
      <c r="W55" s="1455">
        <v>1</v>
      </c>
      <c r="X55" s="1455">
        <v>22.510427854144648</v>
      </c>
      <c r="Y55" s="1456">
        <v>1</v>
      </c>
      <c r="Z55" s="1454">
        <v>0</v>
      </c>
      <c r="AA55" s="1455">
        <v>0</v>
      </c>
      <c r="AB55" s="1455">
        <v>0</v>
      </c>
      <c r="AC55" s="1455">
        <v>0</v>
      </c>
      <c r="AD55" s="1455">
        <v>272.19588619552934</v>
      </c>
      <c r="AE55" s="1456">
        <v>0</v>
      </c>
      <c r="AF55" s="496">
        <v>8.3656160126612118</v>
      </c>
      <c r="BP55">
        <f t="shared" si="12"/>
        <v>1.0003013340936466</v>
      </c>
    </row>
    <row r="56" spans="2:80" x14ac:dyDescent="0.2">
      <c r="B56" s="532">
        <v>2041</v>
      </c>
      <c r="C56" s="1421">
        <v>162352.82643157447</v>
      </c>
      <c r="D56" s="1422">
        <v>4138.5142530939775</v>
      </c>
      <c r="E56" s="1422">
        <v>4471.5256884965929</v>
      </c>
      <c r="F56" s="1422">
        <f>F55</f>
        <v>17165.996381059434</v>
      </c>
      <c r="G56" s="1422">
        <v>41578.046257009293</v>
      </c>
      <c r="H56" s="1423">
        <v>12537.192034062144</v>
      </c>
      <c r="I56" s="1364">
        <f t="shared" si="10"/>
        <v>0</v>
      </c>
      <c r="J56" s="533">
        <f t="shared" si="11"/>
        <v>0</v>
      </c>
      <c r="K56" s="533">
        <f t="shared" si="13"/>
        <v>0</v>
      </c>
      <c r="L56" s="533">
        <f t="shared" si="14"/>
        <v>0</v>
      </c>
      <c r="M56" s="1369">
        <f t="shared" si="15"/>
        <v>0</v>
      </c>
      <c r="N56" s="1439">
        <v>8.3632619635090801</v>
      </c>
      <c r="O56" s="1458">
        <f t="shared" si="17"/>
        <v>9.6981765134290239</v>
      </c>
      <c r="P56" s="1458">
        <f t="shared" si="16"/>
        <v>9.7552919156650404</v>
      </c>
      <c r="Q56" s="1458">
        <v>10.997767133385665</v>
      </c>
      <c r="R56" s="1458">
        <v>9.9163283119366241</v>
      </c>
      <c r="S56" s="1459">
        <v>11.250335749678765</v>
      </c>
      <c r="T56" s="1442">
        <v>1</v>
      </c>
      <c r="U56" s="1443">
        <v>1</v>
      </c>
      <c r="V56" s="1443">
        <v>1</v>
      </c>
      <c r="W56" s="1443">
        <v>1</v>
      </c>
      <c r="X56" s="1443">
        <v>22.60787872500919</v>
      </c>
      <c r="Y56" s="1444">
        <v>1</v>
      </c>
      <c r="Z56" s="1442">
        <v>0</v>
      </c>
      <c r="AA56" s="1443">
        <v>0</v>
      </c>
      <c r="AB56" s="1443">
        <v>0</v>
      </c>
      <c r="AC56" s="1443">
        <v>0</v>
      </c>
      <c r="AD56" s="1443">
        <v>272.36892085351661</v>
      </c>
      <c r="AE56" s="1444">
        <v>0</v>
      </c>
      <c r="AF56" s="496">
        <v>8.3659200351098004</v>
      </c>
      <c r="BP56">
        <f t="shared" si="12"/>
        <v>1.0003178271363875</v>
      </c>
    </row>
    <row r="57" spans="2:80" x14ac:dyDescent="0.2">
      <c r="B57" s="523">
        <v>2042</v>
      </c>
      <c r="C57" s="1424">
        <v>162352.82643157447</v>
      </c>
      <c r="D57" s="1425">
        <v>4138.5142530939775</v>
      </c>
      <c r="E57" s="1425">
        <v>4471.5256884965929</v>
      </c>
      <c r="F57" s="1425">
        <v>17801.479818244668</v>
      </c>
      <c r="G57" s="1425">
        <v>41040.974160922255</v>
      </c>
      <c r="H57" s="1426">
        <v>12059.351141016203</v>
      </c>
      <c r="I57" s="1361">
        <f t="shared" si="10"/>
        <v>0</v>
      </c>
      <c r="J57" s="524">
        <f t="shared" si="11"/>
        <v>0</v>
      </c>
      <c r="K57" s="524">
        <f t="shared" si="13"/>
        <v>0</v>
      </c>
      <c r="L57" s="524">
        <f t="shared" si="14"/>
        <v>0</v>
      </c>
      <c r="M57" s="1366">
        <f t="shared" si="15"/>
        <v>0</v>
      </c>
      <c r="N57" s="1445">
        <v>8.3634280002881098</v>
      </c>
      <c r="O57" s="1446">
        <f t="shared" si="17"/>
        <v>9.6983690524165365</v>
      </c>
      <c r="P57" s="1446">
        <f t="shared" si="16"/>
        <v>9.7554855885710481</v>
      </c>
      <c r="Q57" s="1446">
        <v>11.058500964993579</v>
      </c>
      <c r="R57" s="1446">
        <v>9.9798621060390396</v>
      </c>
      <c r="S57" s="1447">
        <v>11.349972815148734</v>
      </c>
      <c r="T57" s="1448">
        <v>1</v>
      </c>
      <c r="U57" s="1449">
        <v>1</v>
      </c>
      <c r="V57" s="1449">
        <v>1</v>
      </c>
      <c r="W57" s="1449">
        <v>1</v>
      </c>
      <c r="X57" s="1449">
        <v>22.705333447534755</v>
      </c>
      <c r="Y57" s="1450">
        <v>1</v>
      </c>
      <c r="Z57" s="1448">
        <v>0</v>
      </c>
      <c r="AA57" s="1449">
        <v>0</v>
      </c>
      <c r="AB57" s="1449">
        <v>0</v>
      </c>
      <c r="AC57" s="1449">
        <v>0</v>
      </c>
      <c r="AD57" s="1449">
        <v>272.54195551150389</v>
      </c>
      <c r="AE57" s="1450">
        <v>0</v>
      </c>
      <c r="AF57" s="496">
        <v>8.3664082609692709</v>
      </c>
      <c r="BP57">
        <f t="shared" si="12"/>
        <v>1.0003563443938368</v>
      </c>
    </row>
    <row r="58" spans="2:80" x14ac:dyDescent="0.2">
      <c r="B58" s="523">
        <v>2043</v>
      </c>
      <c r="C58" s="1424">
        <v>162352.82643157447</v>
      </c>
      <c r="D58" s="1425">
        <v>4138.5142530939775</v>
      </c>
      <c r="E58" s="1425">
        <v>4471.5256884965929</v>
      </c>
      <c r="F58" s="1425">
        <v>18119.221536837285</v>
      </c>
      <c r="G58" s="1425">
        <v>40503.902064835216</v>
      </c>
      <c r="H58" s="1426">
        <v>11581.510247970262</v>
      </c>
      <c r="I58" s="1361">
        <f t="shared" si="10"/>
        <v>0</v>
      </c>
      <c r="J58" s="524">
        <f t="shared" si="11"/>
        <v>0</v>
      </c>
      <c r="K58" s="524">
        <f t="shared" si="13"/>
        <v>0</v>
      </c>
      <c r="L58" s="524">
        <f t="shared" si="14"/>
        <v>0</v>
      </c>
      <c r="M58" s="1366">
        <f t="shared" si="15"/>
        <v>0</v>
      </c>
      <c r="N58" s="1445">
        <v>8.3635940370671378</v>
      </c>
      <c r="O58" s="1446">
        <f t="shared" si="17"/>
        <v>9.6985615914040473</v>
      </c>
      <c r="P58" s="1446">
        <f t="shared" si="16"/>
        <v>9.7556792614770522</v>
      </c>
      <c r="Q58" s="1446">
        <v>11.11923719939549</v>
      </c>
      <c r="R58" s="1446">
        <v>10.04339841496166</v>
      </c>
      <c r="S58" s="1447">
        <v>11.449613827883484</v>
      </c>
      <c r="T58" s="1448">
        <v>1</v>
      </c>
      <c r="U58" s="1449">
        <v>1</v>
      </c>
      <c r="V58" s="1449">
        <v>1</v>
      </c>
      <c r="W58" s="1449">
        <v>1</v>
      </c>
      <c r="X58" s="1449">
        <v>22.802792021721334</v>
      </c>
      <c r="Y58" s="1450">
        <v>1</v>
      </c>
      <c r="Z58" s="1448">
        <v>0</v>
      </c>
      <c r="AA58" s="1449">
        <v>0</v>
      </c>
      <c r="AB58" s="1449">
        <v>0</v>
      </c>
      <c r="AC58" s="1449">
        <v>0</v>
      </c>
      <c r="AD58" s="1449">
        <v>272.71499016949116</v>
      </c>
      <c r="AE58" s="1450">
        <v>0</v>
      </c>
      <c r="AF58" s="496">
        <v>8.3661803732050721</v>
      </c>
      <c r="BP58">
        <f t="shared" si="12"/>
        <v>1.0003092374075633</v>
      </c>
    </row>
    <row r="59" spans="2:80" x14ac:dyDescent="0.2">
      <c r="B59" s="523">
        <v>2044</v>
      </c>
      <c r="C59" s="1424">
        <v>162352.82643157447</v>
      </c>
      <c r="D59" s="1425">
        <v>4138.5142530939775</v>
      </c>
      <c r="E59" s="1425">
        <v>4471.5256884965929</v>
      </c>
      <c r="F59" s="1425">
        <v>18436.963255429902</v>
      </c>
      <c r="G59" s="1425">
        <v>39966.829968748178</v>
      </c>
      <c r="H59" s="1426">
        <v>11103.669354924321</v>
      </c>
      <c r="I59" s="1361">
        <f t="shared" si="10"/>
        <v>0</v>
      </c>
      <c r="J59" s="524">
        <f t="shared" si="11"/>
        <v>0</v>
      </c>
      <c r="K59" s="524">
        <f t="shared" si="13"/>
        <v>0</v>
      </c>
      <c r="L59" s="524">
        <f t="shared" si="14"/>
        <v>0</v>
      </c>
      <c r="M59" s="1366">
        <f t="shared" si="15"/>
        <v>0</v>
      </c>
      <c r="N59" s="1445">
        <v>8.3637600738461675</v>
      </c>
      <c r="O59" s="1446">
        <f t="shared" si="17"/>
        <v>9.6987541303915581</v>
      </c>
      <c r="P59" s="1446">
        <f t="shared" si="16"/>
        <v>9.7558729343830581</v>
      </c>
      <c r="Q59" s="1446">
        <v>11.179975836591412</v>
      </c>
      <c r="R59" s="1446">
        <v>10.106937238704493</v>
      </c>
      <c r="S59" s="1447">
        <v>11.549258787883023</v>
      </c>
      <c r="T59" s="1448">
        <v>1</v>
      </c>
      <c r="U59" s="1449">
        <v>1</v>
      </c>
      <c r="V59" s="1449">
        <v>1</v>
      </c>
      <c r="W59" s="1449">
        <v>1</v>
      </c>
      <c r="X59" s="1449">
        <v>22.90025444756894</v>
      </c>
      <c r="Y59" s="1450">
        <v>1</v>
      </c>
      <c r="Z59" s="1448">
        <v>0</v>
      </c>
      <c r="AA59" s="1449">
        <v>0</v>
      </c>
      <c r="AB59" s="1449">
        <v>0</v>
      </c>
      <c r="AC59" s="1449">
        <v>0</v>
      </c>
      <c r="AD59" s="1449">
        <v>272.88802482747843</v>
      </c>
      <c r="AE59" s="1450">
        <v>0</v>
      </c>
      <c r="AF59" s="496">
        <v>8.3657548368233083</v>
      </c>
      <c r="BP59">
        <f t="shared" si="12"/>
        <v>1.0002385007412371</v>
      </c>
    </row>
    <row r="60" spans="2:80" ht="13.5" thickBot="1" x14ac:dyDescent="0.25">
      <c r="B60" s="525">
        <v>2045</v>
      </c>
      <c r="C60" s="1427">
        <v>162352.82643157447</v>
      </c>
      <c r="D60" s="1428">
        <v>4138.5142530939775</v>
      </c>
      <c r="E60" s="1428">
        <v>4471.5256884965929</v>
      </c>
      <c r="F60" s="1428">
        <v>18754.704974022519</v>
      </c>
      <c r="G60" s="1428">
        <v>39429.757872661139</v>
      </c>
      <c r="H60" s="1429">
        <v>10625.82846187838</v>
      </c>
      <c r="I60" s="1362">
        <f t="shared" si="10"/>
        <v>0</v>
      </c>
      <c r="J60" s="526">
        <f t="shared" si="11"/>
        <v>0</v>
      </c>
      <c r="K60" s="526">
        <f t="shared" si="13"/>
        <v>0</v>
      </c>
      <c r="L60" s="526">
        <f t="shared" si="14"/>
        <v>0</v>
      </c>
      <c r="M60" s="1367">
        <f t="shared" si="15"/>
        <v>0</v>
      </c>
      <c r="N60" s="1451">
        <v>8.3639261106251972</v>
      </c>
      <c r="O60" s="1452">
        <f t="shared" si="17"/>
        <v>9.6989466693790707</v>
      </c>
      <c r="P60" s="1452">
        <f t="shared" si="16"/>
        <v>9.7560666072890641</v>
      </c>
      <c r="Q60" s="1452">
        <v>11.240716876581335</v>
      </c>
      <c r="R60" s="1452">
        <v>10.170478577267534</v>
      </c>
      <c r="S60" s="1453">
        <v>11.648907695147345</v>
      </c>
      <c r="T60" s="1454">
        <v>1</v>
      </c>
      <c r="U60" s="1455">
        <v>1</v>
      </c>
      <c r="V60" s="1455">
        <v>1</v>
      </c>
      <c r="W60" s="1455">
        <v>1</v>
      </c>
      <c r="X60" s="1455">
        <v>22.997720725077567</v>
      </c>
      <c r="Y60" s="1456">
        <v>1</v>
      </c>
      <c r="Z60" s="1454">
        <v>0</v>
      </c>
      <c r="AA60" s="1455">
        <v>0</v>
      </c>
      <c r="AB60" s="1455">
        <v>0</v>
      </c>
      <c r="AC60" s="1455">
        <v>0</v>
      </c>
      <c r="AD60" s="1455">
        <v>273.06105948546571</v>
      </c>
      <c r="AE60" s="1456">
        <v>0</v>
      </c>
      <c r="AF60" s="496">
        <v>8.3652909009785148</v>
      </c>
      <c r="BP60">
        <f t="shared" si="12"/>
        <v>1.0001631758022806</v>
      </c>
    </row>
    <row r="61" spans="2:80" x14ac:dyDescent="0.2">
      <c r="B61" s="532">
        <v>2046</v>
      </c>
      <c r="C61" s="1421">
        <v>162352.82643157447</v>
      </c>
      <c r="D61" s="1422">
        <v>4138.5142530939775</v>
      </c>
      <c r="E61" s="1422">
        <v>4471.5256884965929</v>
      </c>
      <c r="F61" s="1422">
        <v>19072.446692615136</v>
      </c>
      <c r="G61" s="1422">
        <v>38892.685776574101</v>
      </c>
      <c r="H61" s="1423">
        <v>10147.987568832439</v>
      </c>
      <c r="I61" s="1364">
        <f t="shared" si="10"/>
        <v>0</v>
      </c>
      <c r="J61" s="533">
        <f t="shared" si="11"/>
        <v>0</v>
      </c>
      <c r="K61" s="533">
        <f t="shared" si="13"/>
        <v>0</v>
      </c>
      <c r="L61" s="533">
        <f t="shared" si="14"/>
        <v>0</v>
      </c>
      <c r="M61" s="1369">
        <f t="shared" si="15"/>
        <v>0</v>
      </c>
      <c r="N61" s="1439">
        <v>8.3640921474042251</v>
      </c>
      <c r="O61" s="1440">
        <f t="shared" si="17"/>
        <v>9.6991392083665797</v>
      </c>
      <c r="P61" s="1440">
        <f t="shared" si="16"/>
        <v>9.7562602801950682</v>
      </c>
      <c r="Q61" s="1440">
        <v>11.301460319365258</v>
      </c>
      <c r="R61" s="1440">
        <v>10.234022430650782</v>
      </c>
      <c r="S61" s="1441">
        <v>11.748560549676451</v>
      </c>
      <c r="T61" s="1442">
        <v>1</v>
      </c>
      <c r="U61" s="1443">
        <v>1</v>
      </c>
      <c r="V61" s="1443">
        <v>1</v>
      </c>
      <c r="W61" s="1443">
        <v>1</v>
      </c>
      <c r="X61" s="1443">
        <v>23.095190854247218</v>
      </c>
      <c r="Y61" s="1444">
        <v>1</v>
      </c>
      <c r="Z61" s="1442">
        <v>0</v>
      </c>
      <c r="AA61" s="1443">
        <v>0</v>
      </c>
      <c r="AB61" s="1443">
        <v>0</v>
      </c>
      <c r="AC61" s="1443">
        <v>0</v>
      </c>
      <c r="AD61" s="1443">
        <v>273.23409414345298</v>
      </c>
      <c r="AE61" s="1444">
        <v>0</v>
      </c>
      <c r="AF61" s="496">
        <v>8.3647838880815932</v>
      </c>
      <c r="BP61">
        <f t="shared" si="12"/>
        <v>1.0000827036174611</v>
      </c>
    </row>
    <row r="62" spans="2:80" x14ac:dyDescent="0.2">
      <c r="B62" s="523">
        <v>2047</v>
      </c>
      <c r="C62" s="1424">
        <v>162352.82643157447</v>
      </c>
      <c r="D62" s="1425">
        <v>4138.5142530939775</v>
      </c>
      <c r="E62" s="1425">
        <v>4471.5256884965929</v>
      </c>
      <c r="F62" s="1425">
        <v>19390.188411207753</v>
      </c>
      <c r="G62" s="1425">
        <v>38355.613680487062</v>
      </c>
      <c r="H62" s="1426">
        <v>9670.1466757864982</v>
      </c>
      <c r="I62" s="1361">
        <f t="shared" si="10"/>
        <v>0</v>
      </c>
      <c r="J62" s="524">
        <f t="shared" si="11"/>
        <v>0</v>
      </c>
      <c r="K62" s="524">
        <f t="shared" si="13"/>
        <v>0</v>
      </c>
      <c r="L62" s="524">
        <f t="shared" si="14"/>
        <v>0</v>
      </c>
      <c r="M62" s="1366">
        <f t="shared" si="15"/>
        <v>0</v>
      </c>
      <c r="N62" s="1445">
        <v>8.3642581841832531</v>
      </c>
      <c r="O62" s="1446">
        <f t="shared" si="17"/>
        <v>9.6993317473540888</v>
      </c>
      <c r="P62" s="1446">
        <f t="shared" si="16"/>
        <v>9.7564539531010741</v>
      </c>
      <c r="Q62" s="1446">
        <v>11.362206164943187</v>
      </c>
      <c r="R62" s="1446">
        <v>10.29756879885424</v>
      </c>
      <c r="S62" s="1447">
        <v>11.848217351470343</v>
      </c>
      <c r="T62" s="1448">
        <v>1</v>
      </c>
      <c r="U62" s="1449">
        <v>1</v>
      </c>
      <c r="V62" s="1449">
        <v>1</v>
      </c>
      <c r="W62" s="1449">
        <v>1</v>
      </c>
      <c r="X62" s="1449">
        <v>23.192664835077885</v>
      </c>
      <c r="Y62" s="1450">
        <v>1</v>
      </c>
      <c r="Z62" s="1448">
        <v>0</v>
      </c>
      <c r="AA62" s="1449">
        <v>0</v>
      </c>
      <c r="AB62" s="1449">
        <v>0</v>
      </c>
      <c r="AC62" s="1449">
        <v>0</v>
      </c>
      <c r="AD62" s="1449">
        <v>273.40712880144025</v>
      </c>
      <c r="AE62" s="1450">
        <v>0</v>
      </c>
      <c r="AF62" s="496">
        <v>8.3642395706199331</v>
      </c>
      <c r="BP62">
        <f t="shared" si="12"/>
        <v>0.99999777463070727</v>
      </c>
    </row>
    <row r="63" spans="2:80" x14ac:dyDescent="0.2">
      <c r="B63" s="523">
        <v>2048</v>
      </c>
      <c r="C63" s="1424">
        <v>162352.82643157447</v>
      </c>
      <c r="D63" s="1425">
        <v>4138.5142530939775</v>
      </c>
      <c r="E63" s="1425">
        <v>4471.5256884965929</v>
      </c>
      <c r="F63" s="1425">
        <v>19707.93012980037</v>
      </c>
      <c r="G63" s="1425">
        <v>37818.541584400024</v>
      </c>
      <c r="H63" s="1426">
        <v>9192.3057827405573</v>
      </c>
      <c r="I63" s="1361">
        <f t="shared" si="10"/>
        <v>0</v>
      </c>
      <c r="J63" s="524">
        <f t="shared" si="11"/>
        <v>0</v>
      </c>
      <c r="K63" s="524">
        <f t="shared" si="13"/>
        <v>0</v>
      </c>
      <c r="L63" s="524">
        <f t="shared" si="14"/>
        <v>0</v>
      </c>
      <c r="M63" s="1366">
        <f t="shared" si="15"/>
        <v>0</v>
      </c>
      <c r="N63" s="1445">
        <v>8.3644242209622828</v>
      </c>
      <c r="O63" s="1446">
        <f t="shared" si="17"/>
        <v>9.6995242863415996</v>
      </c>
      <c r="P63" s="1446">
        <f t="shared" si="16"/>
        <v>9.75664762600708</v>
      </c>
      <c r="Q63" s="1446">
        <v>11.42295441331512</v>
      </c>
      <c r="R63" s="1446">
        <v>10.361117681877909</v>
      </c>
      <c r="S63" s="1447">
        <v>11.947878100529021</v>
      </c>
      <c r="T63" s="1448">
        <v>1</v>
      </c>
      <c r="U63" s="1449">
        <v>1</v>
      </c>
      <c r="V63" s="1449">
        <v>1</v>
      </c>
      <c r="W63" s="1449">
        <v>1</v>
      </c>
      <c r="X63" s="1449">
        <v>23.29014266756958</v>
      </c>
      <c r="Y63" s="1450">
        <v>1</v>
      </c>
      <c r="Z63" s="1448">
        <v>0</v>
      </c>
      <c r="AA63" s="1449">
        <v>0</v>
      </c>
      <c r="AB63" s="1449">
        <v>0</v>
      </c>
      <c r="AC63" s="1449">
        <v>0</v>
      </c>
      <c r="AD63" s="1449">
        <v>273.58016345942752</v>
      </c>
      <c r="AE63" s="1450">
        <v>0</v>
      </c>
      <c r="AF63" s="496">
        <v>8.3636577473296541</v>
      </c>
      <c r="BP63">
        <f t="shared" si="12"/>
        <v>0.99990836504553327</v>
      </c>
    </row>
    <row r="64" spans="2:80" x14ac:dyDescent="0.2">
      <c r="B64" s="523">
        <v>2049</v>
      </c>
      <c r="C64" s="1424">
        <v>162352.82643157447</v>
      </c>
      <c r="D64" s="1425">
        <v>4138.5142530939775</v>
      </c>
      <c r="E64" s="1425">
        <v>4471.5256884965929</v>
      </c>
      <c r="F64" s="1425">
        <v>20025.671848392987</v>
      </c>
      <c r="G64" s="1425">
        <v>37281.469488312985</v>
      </c>
      <c r="H64" s="1426">
        <v>8714.4648896946164</v>
      </c>
      <c r="I64" s="1361">
        <f t="shared" si="10"/>
        <v>0</v>
      </c>
      <c r="J64" s="524">
        <f t="shared" si="11"/>
        <v>0</v>
      </c>
      <c r="K64" s="524">
        <f t="shared" si="13"/>
        <v>0</v>
      </c>
      <c r="L64" s="524">
        <f t="shared" si="14"/>
        <v>0</v>
      </c>
      <c r="M64" s="1366">
        <f t="shared" si="15"/>
        <v>0</v>
      </c>
      <c r="N64" s="1445">
        <v>8.3646097808412847</v>
      </c>
      <c r="O64" s="1446">
        <f t="shared" si="17"/>
        <v>9.6997394646378456</v>
      </c>
      <c r="P64" s="1446">
        <f t="shared" si="16"/>
        <v>9.7568640715513428</v>
      </c>
      <c r="Q64" s="1446">
        <v>11.483731867649546</v>
      </c>
      <c r="R64" s="1446">
        <v>10.42469341108176</v>
      </c>
      <c r="S64" s="1447">
        <v>12.047570916028105</v>
      </c>
      <c r="T64" s="1448">
        <v>1</v>
      </c>
      <c r="U64" s="1449">
        <v>1</v>
      </c>
      <c r="V64" s="1449">
        <v>1</v>
      </c>
      <c r="W64" s="1449">
        <v>1</v>
      </c>
      <c r="X64" s="1449">
        <v>23.387678938846623</v>
      </c>
      <c r="Y64" s="1450">
        <v>1</v>
      </c>
      <c r="Z64" s="1448">
        <v>0</v>
      </c>
      <c r="AA64" s="1449">
        <v>0</v>
      </c>
      <c r="AB64" s="1449">
        <v>0</v>
      </c>
      <c r="AC64" s="1449">
        <v>0</v>
      </c>
      <c r="AD64" s="1449">
        <v>273.7531981174148</v>
      </c>
      <c r="AE64" s="1450">
        <v>0</v>
      </c>
      <c r="AF64" s="496">
        <v>8.3630552503225122</v>
      </c>
      <c r="BP64">
        <f t="shared" si="12"/>
        <v>0.99981415385062755</v>
      </c>
    </row>
    <row r="65" spans="2:69" ht="13.5" thickBot="1" x14ac:dyDescent="0.25">
      <c r="B65" s="525">
        <v>2050</v>
      </c>
      <c r="C65" s="1427">
        <v>162352.82643157447</v>
      </c>
      <c r="D65" s="1428">
        <v>4138.5142530939775</v>
      </c>
      <c r="E65" s="1428">
        <v>4471.5256884965929</v>
      </c>
      <c r="F65" s="1428">
        <v>20343.41356698575</v>
      </c>
      <c r="G65" s="1428">
        <v>36744.397392226005</v>
      </c>
      <c r="H65" s="1429">
        <v>8236.6239966488502</v>
      </c>
      <c r="I65" s="1362">
        <f t="shared" si="10"/>
        <v>0</v>
      </c>
      <c r="J65" s="526">
        <f t="shared" si="11"/>
        <v>0</v>
      </c>
      <c r="K65" s="526">
        <f t="shared" si="13"/>
        <v>0</v>
      </c>
      <c r="L65" s="526">
        <f t="shared" si="14"/>
        <v>0</v>
      </c>
      <c r="M65" s="1367">
        <f t="shared" si="15"/>
        <v>0</v>
      </c>
      <c r="N65" s="1451">
        <v>8.3647562945203404</v>
      </c>
      <c r="O65" s="1452">
        <f t="shared" si="17"/>
        <v>9.6999093643166212</v>
      </c>
      <c r="P65" s="1452">
        <f t="shared" si="16"/>
        <v>9.7570349718190919</v>
      </c>
      <c r="Q65" s="1463">
        <v>11.544458118440996</v>
      </c>
      <c r="R65" s="1463">
        <v>10.488222992385856</v>
      </c>
      <c r="S65" s="1464">
        <v>12.147211440440723</v>
      </c>
      <c r="T65" s="1454">
        <v>1</v>
      </c>
      <c r="U65" s="1455">
        <v>1</v>
      </c>
      <c r="V65" s="1455">
        <v>1</v>
      </c>
      <c r="W65" s="1455">
        <v>1</v>
      </c>
      <c r="X65" s="1455">
        <v>23.485109887536048</v>
      </c>
      <c r="Y65" s="1456">
        <v>1</v>
      </c>
      <c r="Z65" s="1454">
        <v>0</v>
      </c>
      <c r="AA65" s="1455">
        <v>0</v>
      </c>
      <c r="AB65" s="1455">
        <v>0</v>
      </c>
      <c r="AC65" s="1455">
        <v>0</v>
      </c>
      <c r="AD65" s="1455">
        <v>273.92623277540213</v>
      </c>
      <c r="AE65" s="1456">
        <v>0</v>
      </c>
      <c r="AF65" s="496">
        <v>8.3627706611109911</v>
      </c>
      <c r="BP65">
        <f t="shared" si="12"/>
        <v>0.99976261909618935</v>
      </c>
      <c r="BQ65" s="496">
        <f>O65/N65</f>
        <v>1.1596164936294588</v>
      </c>
    </row>
    <row r="66" spans="2:69" ht="13.5" thickBot="1" x14ac:dyDescent="0.25">
      <c r="C66" s="497"/>
      <c r="D66" s="497"/>
      <c r="F66" s="497"/>
    </row>
    <row r="67" spans="2:69" ht="13.5" thickBot="1" x14ac:dyDescent="0.25">
      <c r="B67" s="1478"/>
      <c r="C67" s="537" t="s">
        <v>203</v>
      </c>
      <c r="D67" s="497"/>
      <c r="F67" s="497"/>
    </row>
    <row r="68" spans="2:69" x14ac:dyDescent="0.2">
      <c r="F68" s="534"/>
      <c r="G68" s="535"/>
      <c r="H68" s="534"/>
      <c r="I68" s="534"/>
      <c r="J68" s="534"/>
      <c r="K68" s="534"/>
      <c r="L68" s="534"/>
      <c r="M68" s="534"/>
      <c r="N68" s="534"/>
      <c r="O68" s="1289"/>
      <c r="P68" s="1289"/>
      <c r="Q68" s="1289"/>
      <c r="R68" s="1289"/>
      <c r="S68" s="1289"/>
    </row>
    <row r="69" spans="2:69" x14ac:dyDescent="0.2">
      <c r="D69" s="537"/>
      <c r="F69" s="534"/>
      <c r="G69" s="535"/>
      <c r="H69" s="534"/>
      <c r="I69" s="534"/>
      <c r="J69" s="534"/>
      <c r="K69" s="534"/>
      <c r="L69" s="534"/>
      <c r="M69" s="534"/>
      <c r="N69" s="534"/>
      <c r="O69" s="1289"/>
      <c r="P69" s="1289"/>
      <c r="Q69" s="1289"/>
      <c r="R69" s="1289"/>
      <c r="S69" s="1289"/>
    </row>
    <row r="70" spans="2:69" x14ac:dyDescent="0.2">
      <c r="B70" s="538"/>
      <c r="F70" s="534"/>
      <c r="G70" s="535"/>
      <c r="H70" s="534"/>
      <c r="I70" s="534"/>
      <c r="J70" s="534"/>
      <c r="K70" s="534"/>
      <c r="L70" s="534"/>
      <c r="M70" s="534"/>
      <c r="N70" s="534"/>
      <c r="O70" s="1289"/>
      <c r="P70" s="1289"/>
      <c r="Q70" s="1289"/>
      <c r="R70" s="1289"/>
      <c r="S70" s="1289"/>
    </row>
    <row r="71" spans="2:69" x14ac:dyDescent="0.2">
      <c r="B71" s="538"/>
      <c r="C71" s="538"/>
      <c r="D71" s="538"/>
      <c r="F71" s="534"/>
      <c r="G71" s="535"/>
      <c r="H71" s="534"/>
      <c r="I71" s="534"/>
      <c r="J71" s="534"/>
      <c r="K71" s="534"/>
      <c r="L71" s="534"/>
      <c r="M71" s="534"/>
      <c r="N71" s="534"/>
      <c r="O71" s="1289"/>
      <c r="P71" s="1289"/>
      <c r="Q71" s="1289"/>
      <c r="R71" s="1289"/>
      <c r="S71" s="1289"/>
    </row>
    <row r="72" spans="2:69" x14ac:dyDescent="0.2">
      <c r="F72" s="534"/>
      <c r="G72" s="535"/>
      <c r="H72" s="534"/>
      <c r="I72" s="534"/>
      <c r="J72" s="534"/>
      <c r="K72" s="534"/>
      <c r="L72" s="534"/>
      <c r="M72" s="534"/>
      <c r="N72" s="534"/>
      <c r="O72" s="1289"/>
      <c r="P72" s="1289"/>
      <c r="Q72" s="1289"/>
      <c r="R72" s="1289"/>
      <c r="S72" s="1289"/>
    </row>
    <row r="73" spans="2:69" x14ac:dyDescent="0.2">
      <c r="F73" s="534"/>
      <c r="G73" s="535"/>
      <c r="H73" s="534"/>
      <c r="I73" s="534"/>
      <c r="J73" s="534"/>
      <c r="K73" s="534"/>
      <c r="L73" s="534"/>
      <c r="M73" s="534"/>
      <c r="N73" s="534"/>
      <c r="O73" s="1289"/>
      <c r="P73" s="1289"/>
      <c r="Q73" s="1289"/>
      <c r="R73" s="1289"/>
      <c r="S73" s="1289"/>
    </row>
    <row r="74" spans="2:69" x14ac:dyDescent="0.2">
      <c r="F74" s="534"/>
      <c r="G74" s="535"/>
      <c r="H74" s="534"/>
      <c r="I74" s="534"/>
      <c r="J74" s="534"/>
      <c r="K74" s="534"/>
      <c r="L74" s="534"/>
      <c r="M74" s="534"/>
      <c r="N74" s="534"/>
      <c r="O74" s="1289"/>
      <c r="P74" s="1289"/>
      <c r="Q74" s="1289"/>
      <c r="R74" s="1289"/>
      <c r="S74" s="1289"/>
    </row>
    <row r="75" spans="2:69" x14ac:dyDescent="0.2">
      <c r="F75" s="534"/>
      <c r="G75" s="535"/>
      <c r="H75" s="534"/>
      <c r="I75" s="534"/>
      <c r="J75" s="534"/>
      <c r="K75" s="534"/>
      <c r="L75" s="534"/>
      <c r="M75" s="534"/>
      <c r="N75" s="534"/>
      <c r="O75" s="1289"/>
      <c r="P75" s="1289"/>
      <c r="Q75" s="1289"/>
      <c r="R75" s="1289"/>
      <c r="S75" s="1289"/>
    </row>
    <row r="76" spans="2:69" x14ac:dyDescent="0.2">
      <c r="F76" s="534"/>
      <c r="G76" s="535"/>
      <c r="H76" s="534"/>
      <c r="I76" s="534"/>
      <c r="J76" s="534"/>
      <c r="K76" s="534"/>
      <c r="L76" s="534"/>
      <c r="M76" s="534"/>
      <c r="N76" s="534"/>
      <c r="O76" s="1289"/>
      <c r="P76" s="1289"/>
      <c r="Q76" s="1289"/>
      <c r="R76" s="1289"/>
      <c r="S76" s="1289"/>
    </row>
    <row r="77" spans="2:69" x14ac:dyDescent="0.2">
      <c r="F77" s="534"/>
      <c r="G77" s="535"/>
      <c r="H77" s="534"/>
      <c r="I77" s="534"/>
      <c r="J77" s="534"/>
      <c r="K77" s="534"/>
      <c r="L77" s="534"/>
      <c r="M77" s="534"/>
      <c r="N77" s="534"/>
      <c r="O77" s="1289"/>
      <c r="P77" s="1289"/>
      <c r="Q77" s="1289"/>
      <c r="R77" s="1289"/>
      <c r="S77" s="1289"/>
    </row>
    <row r="78" spans="2:69" x14ac:dyDescent="0.2">
      <c r="F78" s="534"/>
      <c r="G78" s="535"/>
      <c r="H78" s="534"/>
      <c r="I78" s="534"/>
      <c r="J78" s="534"/>
      <c r="K78" s="534"/>
      <c r="L78" s="534"/>
      <c r="M78" s="534"/>
      <c r="N78" s="534"/>
      <c r="O78" s="1289"/>
      <c r="P78" s="1289"/>
      <c r="Q78" s="1289"/>
      <c r="R78" s="1289"/>
      <c r="S78" s="1289"/>
    </row>
    <row r="79" spans="2:69" x14ac:dyDescent="0.2">
      <c r="F79" s="534"/>
      <c r="G79" s="535"/>
      <c r="H79" s="534"/>
      <c r="I79" s="534"/>
      <c r="J79" s="534"/>
      <c r="K79" s="534"/>
      <c r="L79" s="534"/>
      <c r="M79" s="534"/>
      <c r="N79" s="534"/>
      <c r="O79" s="1289"/>
      <c r="P79" s="1289"/>
      <c r="Q79" s="1289"/>
      <c r="R79" s="1289"/>
      <c r="S79" s="1289"/>
    </row>
    <row r="80" spans="2:69" x14ac:dyDescent="0.2">
      <c r="F80" s="534"/>
      <c r="G80" s="535"/>
      <c r="H80" s="534"/>
      <c r="I80" s="534"/>
      <c r="J80" s="534"/>
      <c r="K80" s="534"/>
      <c r="L80" s="534"/>
      <c r="M80" s="534"/>
      <c r="N80" s="534"/>
      <c r="O80" s="1289"/>
      <c r="P80" s="1289"/>
      <c r="Q80" s="1289"/>
      <c r="R80" s="1289"/>
      <c r="S80" s="1289"/>
    </row>
    <row r="81" spans="6:19" x14ac:dyDescent="0.2">
      <c r="F81" s="534"/>
      <c r="G81" s="535"/>
      <c r="H81" s="534"/>
      <c r="I81" s="534"/>
      <c r="J81" s="534"/>
      <c r="K81" s="534"/>
      <c r="L81" s="534"/>
      <c r="M81" s="534"/>
      <c r="N81" s="534"/>
      <c r="O81" s="1289"/>
      <c r="P81" s="1289"/>
      <c r="Q81" s="1289"/>
      <c r="R81" s="1289"/>
      <c r="S81" s="1289"/>
    </row>
    <row r="82" spans="6:19" x14ac:dyDescent="0.2">
      <c r="F82" s="534"/>
      <c r="G82" s="535"/>
      <c r="H82" s="534"/>
      <c r="I82" s="534"/>
      <c r="J82" s="534"/>
      <c r="K82" s="534"/>
      <c r="L82" s="534"/>
      <c r="M82" s="534"/>
      <c r="N82" s="534"/>
      <c r="O82" s="1289"/>
      <c r="P82" s="1289"/>
      <c r="Q82" s="1289"/>
      <c r="R82" s="1289"/>
      <c r="S82" s="1289"/>
    </row>
    <row r="83" spans="6:19" x14ac:dyDescent="0.2">
      <c r="F83" s="534"/>
      <c r="G83" s="535"/>
      <c r="H83" s="534"/>
      <c r="I83" s="534"/>
      <c r="J83" s="534"/>
      <c r="K83" s="534"/>
      <c r="L83" s="534"/>
      <c r="M83" s="534"/>
      <c r="N83" s="534"/>
      <c r="O83" s="1289"/>
      <c r="P83" s="1289"/>
      <c r="Q83" s="1289"/>
      <c r="R83" s="1289"/>
      <c r="S83" s="1289"/>
    </row>
    <row r="84" spans="6:19" x14ac:dyDescent="0.2">
      <c r="F84" s="534"/>
      <c r="G84" s="535"/>
      <c r="H84" s="534"/>
      <c r="I84" s="534"/>
      <c r="J84" s="534"/>
      <c r="K84" s="534"/>
      <c r="L84" s="534"/>
      <c r="M84" s="534"/>
      <c r="N84" s="534"/>
      <c r="O84" s="1289"/>
      <c r="P84" s="1289"/>
      <c r="Q84" s="1289"/>
      <c r="R84" s="1289"/>
      <c r="S84" s="1289"/>
    </row>
    <row r="85" spans="6:19" x14ac:dyDescent="0.2">
      <c r="F85" s="534"/>
      <c r="G85" s="535"/>
      <c r="H85" s="534"/>
      <c r="I85" s="534"/>
      <c r="J85" s="534"/>
      <c r="K85" s="534"/>
      <c r="L85" s="534"/>
      <c r="M85" s="534"/>
      <c r="N85" s="534"/>
      <c r="O85" s="1289"/>
      <c r="P85" s="1289"/>
      <c r="Q85" s="1289"/>
      <c r="R85" s="1289"/>
      <c r="S85" s="1289"/>
    </row>
    <row r="86" spans="6:19" x14ac:dyDescent="0.2">
      <c r="F86" s="534"/>
      <c r="G86" s="535"/>
      <c r="H86" s="534"/>
      <c r="I86" s="534"/>
      <c r="J86" s="534"/>
      <c r="K86" s="534"/>
      <c r="L86" s="534"/>
      <c r="M86" s="534"/>
      <c r="N86" s="534"/>
      <c r="O86" s="1289"/>
      <c r="P86" s="1289"/>
      <c r="Q86" s="1289"/>
      <c r="R86" s="1289"/>
      <c r="S86" s="1289"/>
    </row>
    <row r="87" spans="6:19" x14ac:dyDescent="0.2">
      <c r="F87" s="534"/>
      <c r="G87" s="535"/>
      <c r="H87" s="534"/>
      <c r="I87" s="534"/>
      <c r="J87" s="534"/>
      <c r="K87" s="534"/>
      <c r="L87" s="534"/>
      <c r="M87" s="534"/>
      <c r="N87" s="534"/>
      <c r="O87" s="1289"/>
      <c r="P87" s="1289"/>
      <c r="Q87" s="1289"/>
      <c r="R87" s="1289"/>
      <c r="S87" s="1289"/>
    </row>
    <row r="88" spans="6:19" x14ac:dyDescent="0.2">
      <c r="F88" s="534"/>
      <c r="G88" s="535"/>
      <c r="H88" s="534"/>
      <c r="I88" s="534"/>
      <c r="J88" s="534"/>
      <c r="K88" s="534"/>
      <c r="L88" s="534"/>
      <c r="M88" s="534"/>
      <c r="N88" s="534"/>
      <c r="O88" s="1289"/>
      <c r="P88" s="1289"/>
      <c r="Q88" s="1289"/>
      <c r="R88" s="1289"/>
      <c r="S88" s="1289"/>
    </row>
    <row r="89" spans="6:19" x14ac:dyDescent="0.2">
      <c r="F89" s="534"/>
      <c r="G89" s="535"/>
      <c r="H89" s="534"/>
      <c r="I89" s="534"/>
      <c r="J89" s="534"/>
      <c r="K89" s="534"/>
      <c r="L89" s="534"/>
      <c r="M89" s="534"/>
      <c r="N89" s="534"/>
      <c r="O89" s="1289"/>
      <c r="P89" s="1289"/>
      <c r="Q89" s="1289"/>
      <c r="R89" s="1289"/>
      <c r="S89" s="1289"/>
    </row>
    <row r="90" spans="6:19" x14ac:dyDescent="0.2">
      <c r="F90" s="534"/>
      <c r="G90" s="535"/>
      <c r="H90" s="534"/>
      <c r="I90" s="534"/>
      <c r="J90" s="534"/>
      <c r="K90" s="534"/>
      <c r="L90" s="534"/>
      <c r="M90" s="534"/>
      <c r="N90" s="534"/>
      <c r="O90" s="1289"/>
      <c r="P90" s="1289"/>
      <c r="Q90" s="1289"/>
      <c r="R90" s="1289"/>
      <c r="S90" s="1289"/>
    </row>
    <row r="91" spans="6:19" x14ac:dyDescent="0.2">
      <c r="F91" s="534"/>
      <c r="G91" s="535"/>
      <c r="H91" s="534"/>
      <c r="I91" s="534"/>
      <c r="J91" s="534"/>
      <c r="K91" s="534"/>
      <c r="L91" s="534"/>
      <c r="M91" s="534"/>
      <c r="N91" s="534"/>
      <c r="O91" s="1289"/>
      <c r="P91" s="1289"/>
      <c r="Q91" s="1289"/>
      <c r="R91" s="1289"/>
      <c r="S91" s="1289"/>
    </row>
    <row r="92" spans="6:19" x14ac:dyDescent="0.2">
      <c r="F92" s="534"/>
      <c r="G92" s="535"/>
      <c r="H92" s="534"/>
      <c r="I92" s="534"/>
      <c r="J92" s="534"/>
      <c r="K92" s="534"/>
      <c r="L92" s="534"/>
      <c r="M92" s="534"/>
      <c r="N92" s="534"/>
      <c r="O92" s="1289"/>
      <c r="P92" s="1289"/>
      <c r="Q92" s="1289"/>
      <c r="R92" s="1289"/>
      <c r="S92" s="1289"/>
    </row>
    <row r="93" spans="6:19" x14ac:dyDescent="0.2">
      <c r="F93" s="534"/>
      <c r="G93" s="535"/>
      <c r="H93" s="534"/>
      <c r="I93" s="534"/>
      <c r="J93" s="534"/>
      <c r="K93" s="534"/>
      <c r="L93" s="534"/>
      <c r="M93" s="534"/>
      <c r="N93" s="534"/>
      <c r="O93" s="1289"/>
      <c r="P93" s="1289"/>
      <c r="Q93" s="1289"/>
      <c r="R93" s="1289"/>
      <c r="S93" s="1289"/>
    </row>
    <row r="94" spans="6:19" x14ac:dyDescent="0.2">
      <c r="F94" s="534"/>
      <c r="G94" s="535"/>
      <c r="H94" s="534"/>
      <c r="I94" s="534"/>
      <c r="J94" s="534"/>
      <c r="K94" s="534"/>
      <c r="L94" s="534"/>
      <c r="M94" s="534"/>
      <c r="N94" s="534"/>
      <c r="O94" s="1289"/>
      <c r="P94" s="1289"/>
      <c r="Q94" s="1289"/>
      <c r="R94" s="1289"/>
      <c r="S94" s="1289"/>
    </row>
    <row r="95" spans="6:19" x14ac:dyDescent="0.2">
      <c r="F95" s="534"/>
      <c r="G95" s="535"/>
      <c r="H95" s="534"/>
      <c r="I95" s="534"/>
      <c r="J95" s="534"/>
      <c r="K95" s="534"/>
      <c r="L95" s="534"/>
      <c r="M95" s="534"/>
      <c r="N95" s="534"/>
      <c r="O95" s="1289"/>
      <c r="P95" s="1289"/>
      <c r="Q95" s="1289"/>
      <c r="R95" s="1289"/>
      <c r="S95" s="1289"/>
    </row>
    <row r="96" spans="6:19" x14ac:dyDescent="0.2">
      <c r="F96" s="534"/>
      <c r="G96" s="535"/>
      <c r="H96" s="534"/>
      <c r="I96" s="534"/>
      <c r="J96" s="534"/>
      <c r="K96" s="534"/>
      <c r="L96" s="534"/>
      <c r="M96" s="534"/>
      <c r="N96" s="534"/>
      <c r="O96" s="1289"/>
      <c r="P96" s="1289"/>
      <c r="Q96" s="1289"/>
      <c r="R96" s="1289"/>
      <c r="S96" s="1289"/>
    </row>
    <row r="97" spans="6:19" x14ac:dyDescent="0.2">
      <c r="F97" s="534"/>
      <c r="G97" s="535"/>
      <c r="H97" s="534"/>
      <c r="I97" s="534"/>
      <c r="J97" s="534"/>
      <c r="K97" s="534"/>
      <c r="L97" s="534"/>
      <c r="M97" s="534"/>
      <c r="N97" s="534"/>
      <c r="O97" s="1289"/>
      <c r="P97" s="1289"/>
      <c r="Q97" s="1289"/>
      <c r="R97" s="1289"/>
      <c r="S97" s="1289"/>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85725</xdr:colOff>
                    <xdr:row>8</xdr:row>
                    <xdr:rowOff>0</xdr:rowOff>
                  </from>
                  <to>
                    <xdr:col>18</xdr:col>
                    <xdr:colOff>438150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AA21" sqref="AA21:AE21"/>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4" t="s">
        <v>243</v>
      </c>
      <c r="C1" s="1"/>
      <c r="D1" s="1"/>
      <c r="F1" s="1"/>
    </row>
    <row r="2" spans="1:27" ht="5.25" customHeight="1" x14ac:dyDescent="0.25">
      <c r="B2" s="54"/>
      <c r="C2" s="1"/>
      <c r="D2" s="497"/>
      <c r="F2" s="1"/>
    </row>
    <row r="3" spans="1:27" x14ac:dyDescent="0.2">
      <c r="B3" s="1" t="s">
        <v>228</v>
      </c>
      <c r="D3" s="766" t="s">
        <v>229</v>
      </c>
      <c r="E3" s="1384">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834"/>
      <c r="I6" s="715"/>
      <c r="J6" s="1541" t="s">
        <v>76</v>
      </c>
      <c r="K6" s="1542"/>
      <c r="L6" s="1543" t="s">
        <v>83</v>
      </c>
      <c r="M6" s="1544"/>
      <c r="N6" s="1543" t="s">
        <v>109</v>
      </c>
      <c r="O6" s="1544"/>
      <c r="P6"/>
      <c r="R6" s="3"/>
    </row>
    <row r="7" spans="1:27" ht="27" customHeight="1" thickBot="1" x14ac:dyDescent="0.3">
      <c r="B7" s="41"/>
      <c r="C7" s="719" t="s">
        <v>75</v>
      </c>
      <c r="D7" s="717"/>
      <c r="E7" s="718"/>
      <c r="F7" s="42" t="s">
        <v>212</v>
      </c>
      <c r="G7" s="42" t="s">
        <v>211</v>
      </c>
      <c r="H7" s="835" t="s">
        <v>265</v>
      </c>
      <c r="I7" s="716" t="s">
        <v>81</v>
      </c>
      <c r="J7" s="606" t="s">
        <v>284</v>
      </c>
      <c r="K7" s="607" t="s">
        <v>285</v>
      </c>
      <c r="L7" s="43" t="s">
        <v>113</v>
      </c>
      <c r="M7" s="44" t="s">
        <v>84</v>
      </c>
      <c r="N7" s="45" t="s">
        <v>95</v>
      </c>
      <c r="O7" s="46" t="s">
        <v>112</v>
      </c>
      <c r="P7"/>
    </row>
    <row r="8" spans="1:27" ht="13.5" thickTop="1" x14ac:dyDescent="0.2">
      <c r="B8" s="217" t="s">
        <v>69</v>
      </c>
      <c r="C8" s="1479" t="s">
        <v>184</v>
      </c>
      <c r="D8" s="1480"/>
      <c r="E8" s="1481"/>
      <c r="F8" s="1482" t="s">
        <v>5</v>
      </c>
      <c r="G8" s="1482" t="s">
        <v>230</v>
      </c>
      <c r="H8" s="894" t="b">
        <f>IF(AND(F8="Electricity",G8="N/A"),TRUE,FALSE)</f>
        <v>0</v>
      </c>
      <c r="I8" s="220"/>
      <c r="J8" s="221"/>
      <c r="K8" s="222"/>
      <c r="L8" s="223"/>
      <c r="M8" s="224"/>
      <c r="N8" s="1511">
        <v>0</v>
      </c>
      <c r="O8" s="1512">
        <v>350</v>
      </c>
    </row>
    <row r="9" spans="1:27" x14ac:dyDescent="0.2">
      <c r="B9" s="218" t="s">
        <v>65</v>
      </c>
      <c r="C9" s="1483" t="s">
        <v>330</v>
      </c>
      <c r="D9" s="1484"/>
      <c r="E9" s="1485"/>
      <c r="F9" s="1486" t="s">
        <v>5</v>
      </c>
      <c r="G9" s="1486" t="s">
        <v>230</v>
      </c>
      <c r="H9" s="895" t="b">
        <f t="shared" ref="H9:H13" si="0">IF(AND(F9="Electricity",G9="N/A"),TRUE,FALSE)</f>
        <v>0</v>
      </c>
      <c r="I9" s="1400">
        <v>2020</v>
      </c>
      <c r="J9" s="1495">
        <v>0</v>
      </c>
      <c r="K9" s="1496">
        <v>0.5</v>
      </c>
      <c r="L9" s="1497">
        <v>5000</v>
      </c>
      <c r="M9" s="1498">
        <v>100</v>
      </c>
      <c r="N9" s="1499">
        <v>0</v>
      </c>
      <c r="O9" s="1500">
        <v>350</v>
      </c>
    </row>
    <row r="10" spans="1:27" x14ac:dyDescent="0.2">
      <c r="B10" s="218" t="s">
        <v>66</v>
      </c>
      <c r="C10" s="1483" t="s">
        <v>322</v>
      </c>
      <c r="D10" s="1484"/>
      <c r="E10" s="1485"/>
      <c r="F10" s="1486" t="s">
        <v>5</v>
      </c>
      <c r="G10" s="1486" t="s">
        <v>230</v>
      </c>
      <c r="H10" s="895" t="b">
        <f t="shared" si="0"/>
        <v>0</v>
      </c>
      <c r="I10" s="1400">
        <v>2020</v>
      </c>
      <c r="J10" s="1495">
        <v>0</v>
      </c>
      <c r="K10" s="1496">
        <v>0.5</v>
      </c>
      <c r="L10" s="1497">
        <v>5000</v>
      </c>
      <c r="M10" s="1498">
        <v>100</v>
      </c>
      <c r="N10" s="1499">
        <v>0</v>
      </c>
      <c r="O10" s="1500">
        <v>350</v>
      </c>
    </row>
    <row r="11" spans="1:27" x14ac:dyDescent="0.2">
      <c r="B11" s="543" t="s">
        <v>67</v>
      </c>
      <c r="C11" s="1487" t="s">
        <v>324</v>
      </c>
      <c r="D11" s="1488"/>
      <c r="E11" s="1489"/>
      <c r="F11" s="1490" t="s">
        <v>5</v>
      </c>
      <c r="G11" s="1490" t="s">
        <v>6</v>
      </c>
      <c r="H11" s="896" t="b">
        <f t="shared" si="0"/>
        <v>0</v>
      </c>
      <c r="I11" s="1400">
        <v>2020</v>
      </c>
      <c r="J11" s="1501">
        <v>0</v>
      </c>
      <c r="K11" s="1496">
        <v>0.5</v>
      </c>
      <c r="L11" s="1502">
        <v>5000</v>
      </c>
      <c r="M11" s="1503">
        <v>100</v>
      </c>
      <c r="N11" s="1504">
        <v>0</v>
      </c>
      <c r="O11" s="1505">
        <v>350</v>
      </c>
    </row>
    <row r="12" spans="1:27" x14ac:dyDescent="0.2">
      <c r="B12" s="543" t="s">
        <v>206</v>
      </c>
      <c r="C12" s="1487" t="s">
        <v>325</v>
      </c>
      <c r="D12" s="1488"/>
      <c r="E12" s="1489"/>
      <c r="F12" s="1490" t="s">
        <v>6</v>
      </c>
      <c r="G12" s="1490" t="s">
        <v>230</v>
      </c>
      <c r="H12" s="896" t="b">
        <f t="shared" si="0"/>
        <v>1</v>
      </c>
      <c r="I12" s="1400">
        <v>2020</v>
      </c>
      <c r="J12" s="1501">
        <v>0</v>
      </c>
      <c r="K12" s="1496">
        <v>0.5</v>
      </c>
      <c r="L12" s="1502">
        <v>5000</v>
      </c>
      <c r="M12" s="1503">
        <v>100</v>
      </c>
      <c r="N12" s="1504">
        <v>0</v>
      </c>
      <c r="O12" s="1505">
        <v>350</v>
      </c>
    </row>
    <row r="13" spans="1:27" ht="13.5" thickBot="1" x14ac:dyDescent="0.25">
      <c r="B13" s="219" t="s">
        <v>207</v>
      </c>
      <c r="C13" s="1491" t="s">
        <v>327</v>
      </c>
      <c r="D13" s="1492"/>
      <c r="E13" s="1493"/>
      <c r="F13" s="1494" t="s">
        <v>208</v>
      </c>
      <c r="G13" s="1494" t="s">
        <v>230</v>
      </c>
      <c r="H13" s="897" t="b">
        <f t="shared" si="0"/>
        <v>0</v>
      </c>
      <c r="I13" s="1412">
        <v>2020</v>
      </c>
      <c r="J13" s="1506">
        <v>0</v>
      </c>
      <c r="K13" s="1496">
        <v>0.5</v>
      </c>
      <c r="L13" s="1507">
        <v>5000</v>
      </c>
      <c r="M13" s="1508">
        <v>100</v>
      </c>
      <c r="N13" s="1509">
        <v>0</v>
      </c>
      <c r="O13" s="1510">
        <v>350</v>
      </c>
    </row>
    <row r="14" spans="1:27" ht="15.75" x14ac:dyDescent="0.25">
      <c r="B14" s="12"/>
      <c r="C14" s="496" t="s">
        <v>266</v>
      </c>
      <c r="D14" s="1"/>
      <c r="F14" s="1"/>
    </row>
    <row r="15" spans="1:27" ht="15.75" thickBot="1" x14ac:dyDescent="0.25">
      <c r="B15" s="47" t="s">
        <v>119</v>
      </c>
      <c r="C15" s="4"/>
      <c r="D15" s="4"/>
      <c r="G15" s="5"/>
      <c r="H15" s="6"/>
      <c r="I15" s="1545"/>
      <c r="J15" s="1545"/>
      <c r="K15" s="6"/>
      <c r="L15" s="6"/>
      <c r="M15" s="6"/>
      <c r="N15" s="6"/>
      <c r="O15" s="6"/>
      <c r="P15" s="6"/>
    </row>
    <row r="16" spans="1:27" s="232" customFormat="1" ht="13.5" thickBot="1" x14ac:dyDescent="0.25">
      <c r="A16" s="3"/>
      <c r="B16" s="231"/>
      <c r="C16" s="4"/>
      <c r="E16" s="2"/>
      <c r="F16" s="3"/>
      <c r="G16" s="5"/>
      <c r="H16" s="6"/>
      <c r="I16" s="11"/>
      <c r="J16" s="11"/>
      <c r="K16" s="6"/>
      <c r="L16" s="6"/>
      <c r="M16" s="6"/>
      <c r="N16" s="6"/>
      <c r="O16" s="6"/>
      <c r="P16" s="6"/>
      <c r="T16" s="769" t="s">
        <v>231</v>
      </c>
      <c r="U16" s="496" t="s">
        <v>232</v>
      </c>
      <c r="Z16" s="902"/>
      <c r="AA16" s="496" t="s">
        <v>263</v>
      </c>
    </row>
    <row r="17" spans="1:31" s="232" customFormat="1" x14ac:dyDescent="0.2">
      <c r="A17" s="3"/>
      <c r="B17" s="231"/>
      <c r="C17" s="233"/>
      <c r="E17" s="2"/>
      <c r="F17" s="3"/>
      <c r="G17" s="5"/>
      <c r="H17" s="6"/>
      <c r="I17" s="11"/>
      <c r="J17" s="11"/>
      <c r="K17" s="6"/>
      <c r="L17" s="6"/>
      <c r="M17" s="6"/>
      <c r="N17" s="6"/>
      <c r="O17" s="6"/>
      <c r="P17" s="6"/>
      <c r="U17" s="496" t="s">
        <v>233</v>
      </c>
      <c r="AA17" s="496" t="s">
        <v>264</v>
      </c>
    </row>
    <row r="18" spans="1:31" s="232" customFormat="1" ht="13.5" thickBot="1" x14ac:dyDescent="0.25">
      <c r="A18" s="3"/>
      <c r="B18" s="230"/>
      <c r="C18" s="229"/>
      <c r="E18" s="2"/>
      <c r="F18" s="229"/>
      <c r="G18" s="5"/>
      <c r="H18" s="6"/>
      <c r="I18" s="11"/>
      <c r="J18" s="11"/>
      <c r="K18" s="6"/>
      <c r="L18" s="6"/>
      <c r="M18" s="6"/>
      <c r="N18" s="6"/>
      <c r="O18" s="6"/>
      <c r="P18" s="6"/>
    </row>
    <row r="19" spans="1:31" s="232" customFormat="1" ht="16.5" thickBot="1" x14ac:dyDescent="0.3">
      <c r="A19" s="3"/>
      <c r="B19" s="748"/>
      <c r="C19" s="1534" t="s">
        <v>222</v>
      </c>
      <c r="D19" s="1535"/>
      <c r="E19" s="1535"/>
      <c r="F19" s="1535"/>
      <c r="G19" s="1535"/>
      <c r="H19" s="1535"/>
      <c r="I19" s="1535" t="s">
        <v>223</v>
      </c>
      <c r="J19" s="1535"/>
      <c r="K19" s="1535"/>
      <c r="L19" s="1535"/>
      <c r="M19" s="1536"/>
      <c r="N19" s="1537" t="s">
        <v>224</v>
      </c>
      <c r="O19" s="1538"/>
      <c r="P19" s="1538"/>
      <c r="Q19" s="1538"/>
      <c r="R19" s="1538"/>
      <c r="S19" s="1539"/>
      <c r="T19" s="1537" t="s">
        <v>225</v>
      </c>
      <c r="U19" s="1538"/>
      <c r="V19" s="1538"/>
      <c r="W19" s="1538"/>
      <c r="X19" s="1538"/>
      <c r="Y19" s="1539"/>
      <c r="Z19" s="1537" t="s">
        <v>227</v>
      </c>
      <c r="AA19" s="1538"/>
      <c r="AB19" s="1538"/>
      <c r="AC19" s="1538"/>
      <c r="AD19" s="1538"/>
      <c r="AE19" s="1539"/>
    </row>
    <row r="20" spans="1:31" s="232" customFormat="1" ht="13.5" thickBot="1" x14ac:dyDescent="0.25">
      <c r="A20" s="3"/>
      <c r="B20" s="760" t="s">
        <v>226</v>
      </c>
      <c r="C20" s="763" t="s">
        <v>69</v>
      </c>
      <c r="D20" s="749" t="s">
        <v>65</v>
      </c>
      <c r="E20" s="750" t="s">
        <v>66</v>
      </c>
      <c r="F20" s="749" t="s">
        <v>67</v>
      </c>
      <c r="G20" s="750" t="s">
        <v>206</v>
      </c>
      <c r="H20" s="749" t="s">
        <v>207</v>
      </c>
      <c r="I20" s="749" t="s">
        <v>65</v>
      </c>
      <c r="J20" s="750" t="s">
        <v>66</v>
      </c>
      <c r="K20" s="749" t="s">
        <v>67</v>
      </c>
      <c r="L20" s="750" t="s">
        <v>206</v>
      </c>
      <c r="M20" s="764" t="s">
        <v>207</v>
      </c>
      <c r="N20" s="765" t="s">
        <v>69</v>
      </c>
      <c r="O20" s="751" t="s">
        <v>65</v>
      </c>
      <c r="P20" s="752" t="s">
        <v>66</v>
      </c>
      <c r="Q20" s="751" t="s">
        <v>67</v>
      </c>
      <c r="R20" s="752" t="s">
        <v>206</v>
      </c>
      <c r="S20" s="751" t="s">
        <v>207</v>
      </c>
      <c r="T20" s="751" t="s">
        <v>69</v>
      </c>
      <c r="U20" s="751" t="s">
        <v>65</v>
      </c>
      <c r="V20" s="752" t="s">
        <v>66</v>
      </c>
      <c r="W20" s="751" t="s">
        <v>67</v>
      </c>
      <c r="X20" s="752" t="s">
        <v>206</v>
      </c>
      <c r="Y20" s="753" t="s">
        <v>207</v>
      </c>
      <c r="Z20" s="751" t="s">
        <v>69</v>
      </c>
      <c r="AA20" s="751" t="s">
        <v>65</v>
      </c>
      <c r="AB20" s="752" t="s">
        <v>66</v>
      </c>
      <c r="AC20" s="751" t="s">
        <v>67</v>
      </c>
      <c r="AD20" s="752" t="s">
        <v>206</v>
      </c>
      <c r="AE20" s="753" t="s">
        <v>207</v>
      </c>
    </row>
    <row r="21" spans="1:31" s="232" customFormat="1" ht="13.5" thickBot="1" x14ac:dyDescent="0.25">
      <c r="A21" s="3"/>
      <c r="B21" s="761" t="s">
        <v>3</v>
      </c>
      <c r="C21" s="762"/>
      <c r="D21" s="1523" t="str">
        <f>INDEX($C$9:$C$13,MATCH(D20,$B$9:$B$13,0))</f>
        <v>Adv Conv</v>
      </c>
      <c r="E21" s="1523" t="str">
        <f t="shared" ref="E21:H21" si="1">INDEX($C$9:$C$13,MATCH(E20,$B$9:$B$13,0))</f>
        <v>ISG</v>
      </c>
      <c r="F21" s="1523" t="str">
        <f t="shared" si="1"/>
        <v>PHEV</v>
      </c>
      <c r="G21" s="1523" t="str">
        <f t="shared" si="1"/>
        <v>BEV</v>
      </c>
      <c r="H21" s="1524" t="str">
        <f t="shared" si="1"/>
        <v>FCHEV</v>
      </c>
      <c r="I21" s="1436">
        <v>0</v>
      </c>
      <c r="J21" s="1437">
        <v>0</v>
      </c>
      <c r="K21" s="1437">
        <v>0</v>
      </c>
      <c r="L21" s="1437">
        <v>0</v>
      </c>
      <c r="M21" s="1438">
        <v>0</v>
      </c>
      <c r="N21" s="754"/>
      <c r="O21" s="1523" t="str">
        <f>INDEX($C$9:$C$13,MATCH(O20,$B$9:$B$13,0))</f>
        <v>Adv Conv</v>
      </c>
      <c r="P21" s="1523" t="str">
        <f t="shared" ref="P21:S21" si="2">INDEX($C$9:$C$13,MATCH(P20,$B$9:$B$13,0))</f>
        <v>ISG</v>
      </c>
      <c r="Q21" s="1523" t="str">
        <f t="shared" si="2"/>
        <v>PHEV</v>
      </c>
      <c r="R21" s="1523" t="str">
        <f t="shared" si="2"/>
        <v>BEV</v>
      </c>
      <c r="S21" s="1524" t="str">
        <f t="shared" si="2"/>
        <v>FCHEV</v>
      </c>
      <c r="T21" s="755"/>
      <c r="U21" s="1523" t="str">
        <f>INDEX($C$9:$C$13,MATCH(U20,$B$9:$B$13,0))</f>
        <v>Adv Conv</v>
      </c>
      <c r="V21" s="1523" t="str">
        <f t="shared" ref="V21:Y21" si="3">INDEX($C$9:$C$13,MATCH(V20,$B$9:$B$13,0))</f>
        <v>ISG</v>
      </c>
      <c r="W21" s="1523" t="str">
        <f t="shared" si="3"/>
        <v>PHEV</v>
      </c>
      <c r="X21" s="1523" t="str">
        <f t="shared" si="3"/>
        <v>BEV</v>
      </c>
      <c r="Y21" s="1524" t="str">
        <f t="shared" si="3"/>
        <v>FCHEV</v>
      </c>
      <c r="Z21" s="754"/>
      <c r="AA21" s="1523" t="str">
        <f>INDEX($C$9:$C$13,MATCH(AA20,$B$9:$B$13,0))</f>
        <v>Adv Conv</v>
      </c>
      <c r="AB21" s="1523" t="str">
        <f t="shared" ref="AB21:AE21" si="4">INDEX($C$9:$C$13,MATCH(AB20,$B$9:$B$13,0))</f>
        <v>ISG</v>
      </c>
      <c r="AC21" s="1523" t="str">
        <f t="shared" si="4"/>
        <v>PHEV</v>
      </c>
      <c r="AD21" s="1523" t="str">
        <f t="shared" si="4"/>
        <v>BEV</v>
      </c>
      <c r="AE21" s="1524" t="str">
        <f t="shared" si="4"/>
        <v>FCHEV</v>
      </c>
    </row>
    <row r="22" spans="1:31" s="232" customFormat="1" x14ac:dyDescent="0.2">
      <c r="A22" s="3"/>
      <c r="B22" s="527">
        <v>2007</v>
      </c>
      <c r="C22" s="1421">
        <v>136900</v>
      </c>
      <c r="D22" s="1422">
        <f t="shared" ref="D22:H24" si="5">D23</f>
        <v>1000000</v>
      </c>
      <c r="E22" s="1422">
        <f t="shared" si="5"/>
        <v>1000000</v>
      </c>
      <c r="F22" s="1422">
        <f t="shared" si="5"/>
        <v>1000000</v>
      </c>
      <c r="G22" s="1422">
        <f t="shared" si="5"/>
        <v>1000000</v>
      </c>
      <c r="H22" s="1423">
        <f t="shared" si="5"/>
        <v>1000000</v>
      </c>
      <c r="I22" s="1360">
        <v>0</v>
      </c>
      <c r="J22" s="528">
        <v>0</v>
      </c>
      <c r="K22" s="528">
        <v>0</v>
      </c>
      <c r="L22" s="528">
        <v>0</v>
      </c>
      <c r="M22" s="1365">
        <v>0</v>
      </c>
      <c r="N22" s="1514">
        <v>5.48300341765977</v>
      </c>
      <c r="O22" s="1440">
        <f t="shared" ref="O22:W24" si="6">O23</f>
        <v>1</v>
      </c>
      <c r="P22" s="1440">
        <f t="shared" si="6"/>
        <v>1</v>
      </c>
      <c r="Q22" s="1440">
        <f t="shared" si="6"/>
        <v>1</v>
      </c>
      <c r="R22" s="1440">
        <f t="shared" si="6"/>
        <v>1</v>
      </c>
      <c r="S22" s="1441">
        <f t="shared" si="6"/>
        <v>1</v>
      </c>
      <c r="T22" s="1442">
        <f t="shared" si="6"/>
        <v>1</v>
      </c>
      <c r="U22" s="1443">
        <f t="shared" si="6"/>
        <v>1</v>
      </c>
      <c r="V22" s="1443">
        <f t="shared" si="6"/>
        <v>1</v>
      </c>
      <c r="W22" s="1443">
        <f t="shared" si="6"/>
        <v>1</v>
      </c>
      <c r="X22" s="1443">
        <f t="shared" ref="X22:AE24" si="7">X23</f>
        <v>1</v>
      </c>
      <c r="Y22" s="1444">
        <f t="shared" si="7"/>
        <v>1</v>
      </c>
      <c r="Z22" s="1442">
        <f t="shared" si="7"/>
        <v>0</v>
      </c>
      <c r="AA22" s="1443">
        <f t="shared" si="7"/>
        <v>0</v>
      </c>
      <c r="AB22" s="1443">
        <f t="shared" si="7"/>
        <v>0</v>
      </c>
      <c r="AC22" s="1443">
        <f t="shared" si="7"/>
        <v>0</v>
      </c>
      <c r="AD22" s="1443">
        <f t="shared" si="7"/>
        <v>0</v>
      </c>
      <c r="AE22" s="1444">
        <f t="shared" si="7"/>
        <v>0</v>
      </c>
    </row>
    <row r="23" spans="1:31" s="232" customFormat="1" x14ac:dyDescent="0.2">
      <c r="A23" s="3"/>
      <c r="B23" s="523">
        <v>2008</v>
      </c>
      <c r="C23" s="1424">
        <v>136900</v>
      </c>
      <c r="D23" s="1425">
        <f t="shared" si="5"/>
        <v>1000000</v>
      </c>
      <c r="E23" s="1425">
        <f t="shared" si="5"/>
        <v>1000000</v>
      </c>
      <c r="F23" s="1425">
        <f t="shared" si="5"/>
        <v>1000000</v>
      </c>
      <c r="G23" s="1425">
        <f t="shared" si="5"/>
        <v>1000000</v>
      </c>
      <c r="H23" s="1426">
        <f t="shared" si="5"/>
        <v>1000000</v>
      </c>
      <c r="I23" s="1361">
        <v>0</v>
      </c>
      <c r="J23" s="524">
        <v>0</v>
      </c>
      <c r="K23" s="524">
        <v>0</v>
      </c>
      <c r="L23" s="524">
        <v>0</v>
      </c>
      <c r="M23" s="1366">
        <v>0</v>
      </c>
      <c r="N23" s="1515">
        <v>5.48300341765977</v>
      </c>
      <c r="O23" s="1446">
        <f t="shared" si="6"/>
        <v>1</v>
      </c>
      <c r="P23" s="1446">
        <f t="shared" si="6"/>
        <v>1</v>
      </c>
      <c r="Q23" s="1446">
        <f t="shared" si="6"/>
        <v>1</v>
      </c>
      <c r="R23" s="1446">
        <f t="shared" si="6"/>
        <v>1</v>
      </c>
      <c r="S23" s="1447">
        <f t="shared" si="6"/>
        <v>1</v>
      </c>
      <c r="T23" s="1448">
        <f t="shared" si="6"/>
        <v>1</v>
      </c>
      <c r="U23" s="1449">
        <f t="shared" si="6"/>
        <v>1</v>
      </c>
      <c r="V23" s="1449">
        <f t="shared" si="6"/>
        <v>1</v>
      </c>
      <c r="W23" s="1449">
        <f t="shared" si="6"/>
        <v>1</v>
      </c>
      <c r="X23" s="1449">
        <f t="shared" si="7"/>
        <v>1</v>
      </c>
      <c r="Y23" s="1450">
        <f t="shared" si="7"/>
        <v>1</v>
      </c>
      <c r="Z23" s="1448">
        <f t="shared" si="7"/>
        <v>0</v>
      </c>
      <c r="AA23" s="1449">
        <f t="shared" si="7"/>
        <v>0</v>
      </c>
      <c r="AB23" s="1449">
        <f t="shared" si="7"/>
        <v>0</v>
      </c>
      <c r="AC23" s="1449">
        <f t="shared" si="7"/>
        <v>0</v>
      </c>
      <c r="AD23" s="1449">
        <f t="shared" si="7"/>
        <v>0</v>
      </c>
      <c r="AE23" s="1450">
        <f t="shared" si="7"/>
        <v>0</v>
      </c>
    </row>
    <row r="24" spans="1:31" s="232" customFormat="1" x14ac:dyDescent="0.2">
      <c r="A24" s="3"/>
      <c r="B24" s="523">
        <v>2009</v>
      </c>
      <c r="C24" s="1424">
        <v>136900</v>
      </c>
      <c r="D24" s="1425">
        <f t="shared" si="5"/>
        <v>1000000</v>
      </c>
      <c r="E24" s="1425">
        <f t="shared" si="5"/>
        <v>1000000</v>
      </c>
      <c r="F24" s="1425">
        <f t="shared" si="5"/>
        <v>1000000</v>
      </c>
      <c r="G24" s="1425">
        <f t="shared" si="5"/>
        <v>1000000</v>
      </c>
      <c r="H24" s="1426">
        <f t="shared" si="5"/>
        <v>1000000</v>
      </c>
      <c r="I24" s="1361">
        <v>0</v>
      </c>
      <c r="J24" s="524">
        <v>0</v>
      </c>
      <c r="K24" s="524">
        <v>0</v>
      </c>
      <c r="L24" s="524">
        <v>0</v>
      </c>
      <c r="M24" s="1366">
        <v>0</v>
      </c>
      <c r="N24" s="1515">
        <v>5.48300341765977</v>
      </c>
      <c r="O24" s="1446">
        <f t="shared" si="6"/>
        <v>1</v>
      </c>
      <c r="P24" s="1446">
        <f t="shared" si="6"/>
        <v>1</v>
      </c>
      <c r="Q24" s="1446">
        <f t="shared" si="6"/>
        <v>1</v>
      </c>
      <c r="R24" s="1446">
        <f t="shared" si="6"/>
        <v>1</v>
      </c>
      <c r="S24" s="1447">
        <f t="shared" si="6"/>
        <v>1</v>
      </c>
      <c r="T24" s="1448">
        <f t="shared" si="6"/>
        <v>1</v>
      </c>
      <c r="U24" s="1449">
        <f t="shared" si="6"/>
        <v>1</v>
      </c>
      <c r="V24" s="1449">
        <f t="shared" si="6"/>
        <v>1</v>
      </c>
      <c r="W24" s="1449">
        <f t="shared" si="6"/>
        <v>1</v>
      </c>
      <c r="X24" s="1449">
        <f t="shared" si="7"/>
        <v>1</v>
      </c>
      <c r="Y24" s="1450">
        <f t="shared" si="7"/>
        <v>1</v>
      </c>
      <c r="Z24" s="1448">
        <f t="shared" si="7"/>
        <v>0</v>
      </c>
      <c r="AA24" s="1449">
        <f t="shared" si="7"/>
        <v>0</v>
      </c>
      <c r="AB24" s="1449">
        <f t="shared" si="7"/>
        <v>0</v>
      </c>
      <c r="AC24" s="1449">
        <f t="shared" si="7"/>
        <v>0</v>
      </c>
      <c r="AD24" s="1449">
        <f t="shared" si="7"/>
        <v>0</v>
      </c>
      <c r="AE24" s="1450">
        <f t="shared" si="7"/>
        <v>0</v>
      </c>
    </row>
    <row r="25" spans="1:31" s="232" customFormat="1" ht="13.5" thickBot="1" x14ac:dyDescent="0.25">
      <c r="A25" s="3"/>
      <c r="B25" s="525">
        <v>2010</v>
      </c>
      <c r="C25" s="1513">
        <v>136900</v>
      </c>
      <c r="D25" s="1428">
        <f t="shared" ref="D25:D33" si="8">D26</f>
        <v>1000000</v>
      </c>
      <c r="E25" s="1428">
        <f t="shared" ref="E25:E33" si="9">E26</f>
        <v>1000000</v>
      </c>
      <c r="F25" s="1428">
        <f t="shared" ref="F25:F33" si="10">F26</f>
        <v>1000000</v>
      </c>
      <c r="G25" s="1428">
        <f t="shared" ref="G25:G33" si="11">G26</f>
        <v>1000000</v>
      </c>
      <c r="H25" s="1429">
        <f t="shared" ref="H25:H33" si="12">H26</f>
        <v>1000000</v>
      </c>
      <c r="I25" s="1362">
        <v>0</v>
      </c>
      <c r="J25" s="526">
        <v>0</v>
      </c>
      <c r="K25" s="526">
        <v>0</v>
      </c>
      <c r="L25" s="526">
        <v>0</v>
      </c>
      <c r="M25" s="1367">
        <v>0</v>
      </c>
      <c r="N25" s="1516">
        <v>5.5209184022550879</v>
      </c>
      <c r="O25" s="1452">
        <v>1</v>
      </c>
      <c r="P25" s="1452">
        <v>1</v>
      </c>
      <c r="Q25" s="1452">
        <v>1</v>
      </c>
      <c r="R25" s="1452">
        <v>1</v>
      </c>
      <c r="S25" s="1453">
        <v>1</v>
      </c>
      <c r="T25" s="1454">
        <v>1</v>
      </c>
      <c r="U25" s="1455">
        <v>1</v>
      </c>
      <c r="V25" s="1455">
        <v>1</v>
      </c>
      <c r="W25" s="1455">
        <v>1</v>
      </c>
      <c r="X25" s="1455">
        <v>1</v>
      </c>
      <c r="Y25" s="1456">
        <v>1</v>
      </c>
      <c r="Z25" s="1454">
        <v>0</v>
      </c>
      <c r="AA25" s="1455">
        <v>0</v>
      </c>
      <c r="AB25" s="1455">
        <v>0</v>
      </c>
      <c r="AC25" s="1455">
        <v>0</v>
      </c>
      <c r="AD25" s="1455">
        <v>0</v>
      </c>
      <c r="AE25" s="1456">
        <v>0</v>
      </c>
    </row>
    <row r="26" spans="1:31" s="232" customFormat="1" x14ac:dyDescent="0.2">
      <c r="A26" s="3"/>
      <c r="B26" s="527">
        <v>2011</v>
      </c>
      <c r="C26" s="1430">
        <v>136900</v>
      </c>
      <c r="D26" s="1431">
        <f t="shared" si="8"/>
        <v>1000000</v>
      </c>
      <c r="E26" s="1431">
        <f t="shared" si="9"/>
        <v>1000000</v>
      </c>
      <c r="F26" s="1431">
        <f t="shared" si="10"/>
        <v>1000000</v>
      </c>
      <c r="G26" s="1431">
        <f t="shared" si="11"/>
        <v>1000000</v>
      </c>
      <c r="H26" s="1432">
        <f t="shared" si="12"/>
        <v>1000000</v>
      </c>
      <c r="I26" s="1360">
        <v>0</v>
      </c>
      <c r="J26" s="528">
        <v>0</v>
      </c>
      <c r="K26" s="528">
        <v>0</v>
      </c>
      <c r="L26" s="528">
        <v>0</v>
      </c>
      <c r="M26" s="1365">
        <v>0</v>
      </c>
      <c r="N26" s="1517">
        <v>5.6389131953913116</v>
      </c>
      <c r="O26" s="1458">
        <v>1</v>
      </c>
      <c r="P26" s="1458">
        <v>1</v>
      </c>
      <c r="Q26" s="1458">
        <v>1</v>
      </c>
      <c r="R26" s="1458">
        <v>1</v>
      </c>
      <c r="S26" s="1459">
        <v>1</v>
      </c>
      <c r="T26" s="1460">
        <v>1</v>
      </c>
      <c r="U26" s="1461">
        <v>1</v>
      </c>
      <c r="V26" s="1461">
        <v>1</v>
      </c>
      <c r="W26" s="1461">
        <v>1</v>
      </c>
      <c r="X26" s="1461">
        <v>1</v>
      </c>
      <c r="Y26" s="1462">
        <v>1</v>
      </c>
      <c r="Z26" s="1460">
        <v>0</v>
      </c>
      <c r="AA26" s="1461">
        <v>0</v>
      </c>
      <c r="AB26" s="1461">
        <v>0</v>
      </c>
      <c r="AC26" s="1461">
        <v>0</v>
      </c>
      <c r="AD26" s="1461">
        <v>0</v>
      </c>
      <c r="AE26" s="1462">
        <v>0</v>
      </c>
    </row>
    <row r="27" spans="1:31" s="232" customFormat="1" x14ac:dyDescent="0.2">
      <c r="A27" s="3"/>
      <c r="B27" s="523">
        <v>2012</v>
      </c>
      <c r="C27" s="1424">
        <v>136900</v>
      </c>
      <c r="D27" s="1425">
        <f t="shared" si="8"/>
        <v>1000000</v>
      </c>
      <c r="E27" s="1425">
        <f t="shared" si="9"/>
        <v>1000000</v>
      </c>
      <c r="F27" s="1425">
        <f t="shared" si="10"/>
        <v>1000000</v>
      </c>
      <c r="G27" s="1425">
        <f t="shared" si="11"/>
        <v>1000000</v>
      </c>
      <c r="H27" s="1426">
        <f t="shared" si="12"/>
        <v>1000000</v>
      </c>
      <c r="I27" s="1361">
        <v>0</v>
      </c>
      <c r="J27" s="524">
        <v>0</v>
      </c>
      <c r="K27" s="524">
        <v>0</v>
      </c>
      <c r="L27" s="524">
        <v>0</v>
      </c>
      <c r="M27" s="1366">
        <v>0</v>
      </c>
      <c r="N27" s="1515">
        <v>5.6839701888518306</v>
      </c>
      <c r="O27" s="1446">
        <v>1</v>
      </c>
      <c r="P27" s="1446">
        <v>1</v>
      </c>
      <c r="Q27" s="1446">
        <v>1</v>
      </c>
      <c r="R27" s="1446">
        <v>1</v>
      </c>
      <c r="S27" s="1447">
        <v>1</v>
      </c>
      <c r="T27" s="1448">
        <v>1</v>
      </c>
      <c r="U27" s="1449">
        <v>1</v>
      </c>
      <c r="V27" s="1449">
        <v>1</v>
      </c>
      <c r="W27" s="1449">
        <v>1</v>
      </c>
      <c r="X27" s="1449">
        <v>1</v>
      </c>
      <c r="Y27" s="1450">
        <v>1</v>
      </c>
      <c r="Z27" s="1448">
        <v>0</v>
      </c>
      <c r="AA27" s="1449">
        <v>0</v>
      </c>
      <c r="AB27" s="1449">
        <v>0</v>
      </c>
      <c r="AC27" s="1449">
        <v>0</v>
      </c>
      <c r="AD27" s="1449">
        <v>0</v>
      </c>
      <c r="AE27" s="1450">
        <v>0</v>
      </c>
    </row>
    <row r="28" spans="1:31" s="232" customFormat="1" x14ac:dyDescent="0.2">
      <c r="A28" s="3"/>
      <c r="B28" s="523">
        <v>2013</v>
      </c>
      <c r="C28" s="1424">
        <v>136900</v>
      </c>
      <c r="D28" s="1425">
        <f t="shared" si="8"/>
        <v>1000000</v>
      </c>
      <c r="E28" s="1425">
        <f t="shared" si="9"/>
        <v>1000000</v>
      </c>
      <c r="F28" s="1425">
        <f t="shared" si="10"/>
        <v>1000000</v>
      </c>
      <c r="G28" s="1425">
        <f t="shared" si="11"/>
        <v>1000000</v>
      </c>
      <c r="H28" s="1426">
        <f t="shared" si="12"/>
        <v>1000000</v>
      </c>
      <c r="I28" s="1361">
        <v>0</v>
      </c>
      <c r="J28" s="524">
        <v>0</v>
      </c>
      <c r="K28" s="524">
        <v>0</v>
      </c>
      <c r="L28" s="524">
        <v>0</v>
      </c>
      <c r="M28" s="1366">
        <v>0</v>
      </c>
      <c r="N28" s="1515">
        <v>5.7743160896809451</v>
      </c>
      <c r="O28" s="1446">
        <v>1</v>
      </c>
      <c r="P28" s="1446">
        <v>1</v>
      </c>
      <c r="Q28" s="1446">
        <v>1</v>
      </c>
      <c r="R28" s="1446">
        <v>1</v>
      </c>
      <c r="S28" s="1447">
        <v>1</v>
      </c>
      <c r="T28" s="1448">
        <v>1</v>
      </c>
      <c r="U28" s="1449">
        <v>1</v>
      </c>
      <c r="V28" s="1449">
        <v>1</v>
      </c>
      <c r="W28" s="1449">
        <v>1</v>
      </c>
      <c r="X28" s="1449">
        <v>1</v>
      </c>
      <c r="Y28" s="1450">
        <v>1</v>
      </c>
      <c r="Z28" s="1448">
        <v>0</v>
      </c>
      <c r="AA28" s="1449">
        <v>0</v>
      </c>
      <c r="AB28" s="1449">
        <v>0</v>
      </c>
      <c r="AC28" s="1449">
        <v>0</v>
      </c>
      <c r="AD28" s="1449">
        <v>0</v>
      </c>
      <c r="AE28" s="1450">
        <v>0</v>
      </c>
    </row>
    <row r="29" spans="1:31" s="232" customFormat="1" x14ac:dyDescent="0.2">
      <c r="A29" s="3"/>
      <c r="B29" s="523">
        <v>2014</v>
      </c>
      <c r="C29" s="1424">
        <v>136900</v>
      </c>
      <c r="D29" s="1425">
        <f t="shared" si="8"/>
        <v>1000000</v>
      </c>
      <c r="E29" s="1425">
        <f t="shared" si="9"/>
        <v>1000000</v>
      </c>
      <c r="F29" s="1425">
        <f t="shared" si="10"/>
        <v>1000000</v>
      </c>
      <c r="G29" s="1425">
        <f t="shared" si="11"/>
        <v>1000000</v>
      </c>
      <c r="H29" s="1426">
        <f t="shared" si="12"/>
        <v>1000000</v>
      </c>
      <c r="I29" s="1361">
        <v>0</v>
      </c>
      <c r="J29" s="524">
        <v>0</v>
      </c>
      <c r="K29" s="524">
        <v>0</v>
      </c>
      <c r="L29" s="524">
        <v>0</v>
      </c>
      <c r="M29" s="1366">
        <v>0</v>
      </c>
      <c r="N29" s="1515">
        <v>5.8589396926631565</v>
      </c>
      <c r="O29" s="1446">
        <v>1</v>
      </c>
      <c r="P29" s="1446">
        <v>1</v>
      </c>
      <c r="Q29" s="1446">
        <v>1</v>
      </c>
      <c r="R29" s="1446">
        <v>1</v>
      </c>
      <c r="S29" s="1447">
        <v>1</v>
      </c>
      <c r="T29" s="1448">
        <v>1</v>
      </c>
      <c r="U29" s="1449">
        <v>1</v>
      </c>
      <c r="V29" s="1449">
        <v>1</v>
      </c>
      <c r="W29" s="1449">
        <v>1</v>
      </c>
      <c r="X29" s="1449">
        <v>1</v>
      </c>
      <c r="Y29" s="1450">
        <v>1</v>
      </c>
      <c r="Z29" s="1448">
        <v>0</v>
      </c>
      <c r="AA29" s="1449">
        <v>0</v>
      </c>
      <c r="AB29" s="1449">
        <v>0</v>
      </c>
      <c r="AC29" s="1449">
        <v>0</v>
      </c>
      <c r="AD29" s="1449">
        <v>0</v>
      </c>
      <c r="AE29" s="1450">
        <v>0</v>
      </c>
    </row>
    <row r="30" spans="1:31" s="232" customFormat="1" ht="13.5" thickBot="1" x14ac:dyDescent="0.25">
      <c r="A30" s="3"/>
      <c r="B30" s="525">
        <v>2015</v>
      </c>
      <c r="C30" s="1427">
        <v>136900</v>
      </c>
      <c r="D30" s="1428">
        <f t="shared" si="8"/>
        <v>1000000</v>
      </c>
      <c r="E30" s="1428">
        <f t="shared" si="9"/>
        <v>1000000</v>
      </c>
      <c r="F30" s="1428">
        <f t="shared" si="10"/>
        <v>1000000</v>
      </c>
      <c r="G30" s="1428">
        <f t="shared" si="11"/>
        <v>1000000</v>
      </c>
      <c r="H30" s="1429">
        <f t="shared" si="12"/>
        <v>1000000</v>
      </c>
      <c r="I30" s="1362">
        <v>0</v>
      </c>
      <c r="J30" s="526">
        <v>0</v>
      </c>
      <c r="K30" s="526">
        <v>0</v>
      </c>
      <c r="L30" s="526">
        <v>0</v>
      </c>
      <c r="M30" s="1367">
        <v>0</v>
      </c>
      <c r="N30" s="1516">
        <v>6.0069416599255572</v>
      </c>
      <c r="O30" s="1452">
        <v>1</v>
      </c>
      <c r="P30" s="1452">
        <v>1</v>
      </c>
      <c r="Q30" s="1463">
        <v>1</v>
      </c>
      <c r="R30" s="1463">
        <v>1</v>
      </c>
      <c r="S30" s="1464">
        <v>1</v>
      </c>
      <c r="T30" s="1454">
        <v>1</v>
      </c>
      <c r="U30" s="1455">
        <v>1</v>
      </c>
      <c r="V30" s="1455">
        <v>1</v>
      </c>
      <c r="W30" s="1455">
        <v>1</v>
      </c>
      <c r="X30" s="1455">
        <v>1</v>
      </c>
      <c r="Y30" s="1456">
        <v>1</v>
      </c>
      <c r="Z30" s="1454">
        <v>0</v>
      </c>
      <c r="AA30" s="1455">
        <v>0</v>
      </c>
      <c r="AB30" s="1455">
        <v>0</v>
      </c>
      <c r="AC30" s="1455">
        <v>0</v>
      </c>
      <c r="AD30" s="1455">
        <v>0</v>
      </c>
      <c r="AE30" s="1456">
        <v>0</v>
      </c>
    </row>
    <row r="31" spans="1:31" s="232" customFormat="1" x14ac:dyDescent="0.2">
      <c r="A31" s="3"/>
      <c r="B31" s="527">
        <v>2016</v>
      </c>
      <c r="C31" s="1430">
        <v>136900</v>
      </c>
      <c r="D31" s="1431">
        <f t="shared" si="8"/>
        <v>1000000</v>
      </c>
      <c r="E31" s="1431">
        <f t="shared" si="9"/>
        <v>1000000</v>
      </c>
      <c r="F31" s="1431">
        <f t="shared" si="10"/>
        <v>1000000</v>
      </c>
      <c r="G31" s="1431">
        <f t="shared" si="11"/>
        <v>1000000</v>
      </c>
      <c r="H31" s="1432">
        <f t="shared" si="12"/>
        <v>1000000</v>
      </c>
      <c r="I31" s="1360">
        <v>0</v>
      </c>
      <c r="J31" s="528">
        <v>0</v>
      </c>
      <c r="K31" s="528">
        <v>0</v>
      </c>
      <c r="L31" s="528">
        <v>0</v>
      </c>
      <c r="M31" s="1365">
        <v>0</v>
      </c>
      <c r="N31" s="1517">
        <v>6.1360651716134793</v>
      </c>
      <c r="O31" s="1446">
        <v>1</v>
      </c>
      <c r="P31" s="1446">
        <v>1</v>
      </c>
      <c r="Q31" s="1465">
        <v>1</v>
      </c>
      <c r="R31" s="1465">
        <v>1</v>
      </c>
      <c r="S31" s="1466">
        <v>1</v>
      </c>
      <c r="T31" s="1460">
        <v>1</v>
      </c>
      <c r="U31" s="1461">
        <v>1</v>
      </c>
      <c r="V31" s="1461">
        <v>1</v>
      </c>
      <c r="W31" s="1461">
        <v>1</v>
      </c>
      <c r="X31" s="1461">
        <v>1</v>
      </c>
      <c r="Y31" s="1462">
        <v>1</v>
      </c>
      <c r="Z31" s="1460">
        <v>0</v>
      </c>
      <c r="AA31" s="1461">
        <v>0</v>
      </c>
      <c r="AB31" s="1461">
        <v>0</v>
      </c>
      <c r="AC31" s="1461">
        <v>0</v>
      </c>
      <c r="AD31" s="1461">
        <v>0</v>
      </c>
      <c r="AE31" s="1462">
        <v>0</v>
      </c>
    </row>
    <row r="32" spans="1:31" s="232" customFormat="1" x14ac:dyDescent="0.2">
      <c r="A32" s="3"/>
      <c r="B32" s="523">
        <v>2017</v>
      </c>
      <c r="C32" s="1424">
        <v>136900</v>
      </c>
      <c r="D32" s="1425">
        <f t="shared" si="8"/>
        <v>1000000</v>
      </c>
      <c r="E32" s="1425">
        <f t="shared" si="9"/>
        <v>1000000</v>
      </c>
      <c r="F32" s="1425">
        <f t="shared" si="10"/>
        <v>1000000</v>
      </c>
      <c r="G32" s="1425">
        <f t="shared" si="11"/>
        <v>1000000</v>
      </c>
      <c r="H32" s="1426">
        <f t="shared" si="12"/>
        <v>1000000</v>
      </c>
      <c r="I32" s="1361">
        <v>0</v>
      </c>
      <c r="J32" s="524">
        <v>0</v>
      </c>
      <c r="K32" s="524">
        <v>0</v>
      </c>
      <c r="L32" s="524">
        <v>0</v>
      </c>
      <c r="M32" s="1366">
        <v>0</v>
      </c>
      <c r="N32" s="1515">
        <v>6.3119238751035152</v>
      </c>
      <c r="O32" s="1446">
        <v>1</v>
      </c>
      <c r="P32" s="1446">
        <v>1</v>
      </c>
      <c r="Q32" s="1465">
        <v>1</v>
      </c>
      <c r="R32" s="1465">
        <v>1</v>
      </c>
      <c r="S32" s="1466">
        <v>1</v>
      </c>
      <c r="T32" s="1448">
        <v>1</v>
      </c>
      <c r="U32" s="1449">
        <v>1</v>
      </c>
      <c r="V32" s="1449">
        <v>1</v>
      </c>
      <c r="W32" s="1449">
        <v>1</v>
      </c>
      <c r="X32" s="1449">
        <v>1</v>
      </c>
      <c r="Y32" s="1450">
        <v>1</v>
      </c>
      <c r="Z32" s="1448">
        <v>0</v>
      </c>
      <c r="AA32" s="1449">
        <v>0</v>
      </c>
      <c r="AB32" s="1449">
        <v>0</v>
      </c>
      <c r="AC32" s="1449">
        <v>0</v>
      </c>
      <c r="AD32" s="1449">
        <v>0</v>
      </c>
      <c r="AE32" s="1450">
        <v>0</v>
      </c>
    </row>
    <row r="33" spans="1:31" s="232" customFormat="1" x14ac:dyDescent="0.2">
      <c r="A33" s="3"/>
      <c r="B33" s="523">
        <v>2018</v>
      </c>
      <c r="C33" s="1424">
        <v>136900</v>
      </c>
      <c r="D33" s="1425">
        <f t="shared" si="8"/>
        <v>1000000</v>
      </c>
      <c r="E33" s="1425">
        <f t="shared" si="9"/>
        <v>1000000</v>
      </c>
      <c r="F33" s="1425">
        <f t="shared" si="10"/>
        <v>1000000</v>
      </c>
      <c r="G33" s="1425">
        <f t="shared" si="11"/>
        <v>1000000</v>
      </c>
      <c r="H33" s="1426">
        <f t="shared" si="12"/>
        <v>1000000</v>
      </c>
      <c r="I33" s="1361">
        <v>0</v>
      </c>
      <c r="J33" s="524">
        <v>0</v>
      </c>
      <c r="K33" s="524">
        <v>0</v>
      </c>
      <c r="L33" s="524">
        <v>0</v>
      </c>
      <c r="M33" s="1366">
        <v>0</v>
      </c>
      <c r="N33" s="1515">
        <v>6.490547110519385</v>
      </c>
      <c r="O33" s="1446">
        <v>1</v>
      </c>
      <c r="P33" s="1446">
        <v>1</v>
      </c>
      <c r="Q33" s="1465">
        <v>1</v>
      </c>
      <c r="R33" s="1465">
        <v>1</v>
      </c>
      <c r="S33" s="1466">
        <v>1</v>
      </c>
      <c r="T33" s="1448">
        <v>1</v>
      </c>
      <c r="U33" s="1449">
        <v>1</v>
      </c>
      <c r="V33" s="1449">
        <v>1</v>
      </c>
      <c r="W33" s="1449">
        <v>1</v>
      </c>
      <c r="X33" s="1449">
        <v>1</v>
      </c>
      <c r="Y33" s="1450">
        <v>1</v>
      </c>
      <c r="Z33" s="1448">
        <v>0</v>
      </c>
      <c r="AA33" s="1449">
        <v>0</v>
      </c>
      <c r="AB33" s="1449">
        <v>0</v>
      </c>
      <c r="AC33" s="1449">
        <v>0</v>
      </c>
      <c r="AD33" s="1449">
        <v>0</v>
      </c>
      <c r="AE33" s="1450">
        <v>0</v>
      </c>
    </row>
    <row r="34" spans="1:31" s="232" customFormat="1" x14ac:dyDescent="0.2">
      <c r="A34" s="3"/>
      <c r="B34" s="523">
        <v>2019</v>
      </c>
      <c r="C34" s="1424">
        <v>136900</v>
      </c>
      <c r="D34" s="1425">
        <v>1000000</v>
      </c>
      <c r="E34" s="1425">
        <v>1000000</v>
      </c>
      <c r="F34" s="1425">
        <v>1000000</v>
      </c>
      <c r="G34" s="1425">
        <v>1000000</v>
      </c>
      <c r="H34" s="1426">
        <v>1000000</v>
      </c>
      <c r="I34" s="1361">
        <v>0</v>
      </c>
      <c r="J34" s="524">
        <v>0</v>
      </c>
      <c r="K34" s="524">
        <v>0</v>
      </c>
      <c r="L34" s="524">
        <v>0</v>
      </c>
      <c r="M34" s="1366">
        <v>0</v>
      </c>
      <c r="N34" s="1515">
        <v>6.5335250359747858</v>
      </c>
      <c r="O34" s="1446">
        <v>1</v>
      </c>
      <c r="P34" s="1446">
        <v>1</v>
      </c>
      <c r="Q34" s="1465">
        <v>1</v>
      </c>
      <c r="R34" s="1465">
        <v>1</v>
      </c>
      <c r="S34" s="1466">
        <v>1</v>
      </c>
      <c r="T34" s="1448">
        <v>1</v>
      </c>
      <c r="U34" s="1449">
        <v>1</v>
      </c>
      <c r="V34" s="1449">
        <v>1</v>
      </c>
      <c r="W34" s="1449">
        <v>1</v>
      </c>
      <c r="X34" s="1449">
        <v>1</v>
      </c>
      <c r="Y34" s="1450">
        <v>1</v>
      </c>
      <c r="Z34" s="1448">
        <v>0</v>
      </c>
      <c r="AA34" s="1449">
        <v>0</v>
      </c>
      <c r="AB34" s="1449">
        <v>0</v>
      </c>
      <c r="AC34" s="1449">
        <v>0</v>
      </c>
      <c r="AD34" s="1449">
        <v>0</v>
      </c>
      <c r="AE34" s="1450">
        <v>0</v>
      </c>
    </row>
    <row r="35" spans="1:31" s="232" customFormat="1" ht="13.5" thickBot="1" x14ac:dyDescent="0.25">
      <c r="A35" s="3"/>
      <c r="B35" s="525">
        <v>2020</v>
      </c>
      <c r="C35" s="1427">
        <v>136900</v>
      </c>
      <c r="D35" s="1428">
        <v>1000000</v>
      </c>
      <c r="E35" s="1428">
        <v>1000000</v>
      </c>
      <c r="F35" s="1428">
        <v>1000000</v>
      </c>
      <c r="G35" s="1428">
        <v>1000000</v>
      </c>
      <c r="H35" s="1429">
        <v>1000000</v>
      </c>
      <c r="I35" s="1362">
        <v>0</v>
      </c>
      <c r="J35" s="526">
        <v>0</v>
      </c>
      <c r="K35" s="526">
        <v>0</v>
      </c>
      <c r="L35" s="526">
        <v>0</v>
      </c>
      <c r="M35" s="1367">
        <v>0</v>
      </c>
      <c r="N35" s="1516">
        <v>6.5937589910582313</v>
      </c>
      <c r="O35" s="1452">
        <v>1</v>
      </c>
      <c r="P35" s="1452">
        <v>1</v>
      </c>
      <c r="Q35" s="1463">
        <v>1</v>
      </c>
      <c r="R35" s="1463">
        <v>1</v>
      </c>
      <c r="S35" s="1464">
        <v>1</v>
      </c>
      <c r="T35" s="1454">
        <v>1</v>
      </c>
      <c r="U35" s="1455">
        <v>1</v>
      </c>
      <c r="V35" s="1455">
        <v>1</v>
      </c>
      <c r="W35" s="1455">
        <v>1</v>
      </c>
      <c r="X35" s="1455">
        <v>1</v>
      </c>
      <c r="Y35" s="1456">
        <v>1</v>
      </c>
      <c r="Z35" s="1454">
        <v>0</v>
      </c>
      <c r="AA35" s="1455">
        <v>0</v>
      </c>
      <c r="AB35" s="1455">
        <v>0</v>
      </c>
      <c r="AC35" s="1455">
        <v>0</v>
      </c>
      <c r="AD35" s="1455">
        <v>0</v>
      </c>
      <c r="AE35" s="1456">
        <v>0</v>
      </c>
    </row>
    <row r="36" spans="1:31" s="232" customFormat="1" x14ac:dyDescent="0.2">
      <c r="A36" s="3"/>
      <c r="B36" s="527">
        <v>2021</v>
      </c>
      <c r="C36" s="1430">
        <v>137205.78935754453</v>
      </c>
      <c r="D36" s="1431">
        <v>1120.5908150101168</v>
      </c>
      <c r="E36" s="1431">
        <v>2646.1603036609449</v>
      </c>
      <c r="F36" s="1431">
        <v>197847.31007079969</v>
      </c>
      <c r="G36" s="1431">
        <v>355973.77067591518</v>
      </c>
      <c r="H36" s="1432">
        <v>167338.80143623243</v>
      </c>
      <c r="I36" s="1360">
        <v>0</v>
      </c>
      <c r="J36" s="528">
        <v>0</v>
      </c>
      <c r="K36" s="528">
        <v>0</v>
      </c>
      <c r="L36" s="528">
        <v>0</v>
      </c>
      <c r="M36" s="1365">
        <v>0</v>
      </c>
      <c r="N36" s="1517">
        <v>6.610100853808035</v>
      </c>
      <c r="O36" s="1458">
        <v>6.7450424840493035</v>
      </c>
      <c r="P36" s="1458">
        <v>6.7496952407848143</v>
      </c>
      <c r="Q36" s="1465">
        <v>5.5895092453549333</v>
      </c>
      <c r="R36" s="1465">
        <v>14.001581183267881</v>
      </c>
      <c r="S36" s="1466">
        <v>6.9194107475150082</v>
      </c>
      <c r="T36" s="1460">
        <v>1</v>
      </c>
      <c r="U36" s="1461">
        <v>1</v>
      </c>
      <c r="V36" s="1461">
        <v>1</v>
      </c>
      <c r="W36" s="1461">
        <v>15.201499684770457</v>
      </c>
      <c r="X36" s="1461">
        <v>1</v>
      </c>
      <c r="Y36" s="1462">
        <v>1</v>
      </c>
      <c r="Z36" s="1460">
        <v>0</v>
      </c>
      <c r="AA36" s="1461">
        <v>0</v>
      </c>
      <c r="AB36" s="1461">
        <v>0</v>
      </c>
      <c r="AC36" s="1461">
        <v>133.9395870534625</v>
      </c>
      <c r="AD36" s="1461">
        <v>237.48610419627133</v>
      </c>
      <c r="AE36" s="1462">
        <v>0</v>
      </c>
    </row>
    <row r="37" spans="1:31" s="232" customFormat="1" x14ac:dyDescent="0.2">
      <c r="A37" s="3"/>
      <c r="B37" s="523">
        <v>2022</v>
      </c>
      <c r="C37" s="1424">
        <v>137511.57871508907</v>
      </c>
      <c r="D37" s="1425">
        <v>2241.1816300202336</v>
      </c>
      <c r="E37" s="1425">
        <v>3521.0555925391091</v>
      </c>
      <c r="F37" s="1425">
        <v>166082.55308491952</v>
      </c>
      <c r="G37" s="1425">
        <v>298100.66666831466</v>
      </c>
      <c r="H37" s="1426">
        <v>144302.40769967571</v>
      </c>
      <c r="I37" s="1361">
        <v>0</v>
      </c>
      <c r="J37" s="524">
        <v>0</v>
      </c>
      <c r="K37" s="524">
        <v>0</v>
      </c>
      <c r="L37" s="524">
        <v>0</v>
      </c>
      <c r="M37" s="1366">
        <v>0</v>
      </c>
      <c r="N37" s="1515">
        <v>6.7005254493390005</v>
      </c>
      <c r="O37" s="1446">
        <v>6.9690689215323394</v>
      </c>
      <c r="P37" s="1446">
        <v>6.9787629145559551</v>
      </c>
      <c r="Q37" s="1470">
        <v>5.8694402202595768</v>
      </c>
      <c r="R37" s="1470">
        <v>14.467650147123887</v>
      </c>
      <c r="S37" s="1471">
        <v>7.1616150986151039</v>
      </c>
      <c r="T37" s="1448">
        <v>1</v>
      </c>
      <c r="U37" s="1449">
        <v>1</v>
      </c>
      <c r="V37" s="1449">
        <v>1</v>
      </c>
      <c r="W37" s="1449">
        <v>15.683164923174026</v>
      </c>
      <c r="X37" s="1449">
        <v>1</v>
      </c>
      <c r="Y37" s="1450">
        <v>1</v>
      </c>
      <c r="Z37" s="1448">
        <v>0</v>
      </c>
      <c r="AA37" s="1449">
        <v>0</v>
      </c>
      <c r="AB37" s="1449">
        <v>0</v>
      </c>
      <c r="AC37" s="1449">
        <v>134.43421485573418</v>
      </c>
      <c r="AD37" s="1449">
        <v>238.69205014543442</v>
      </c>
      <c r="AE37" s="1450">
        <v>0</v>
      </c>
    </row>
    <row r="38" spans="1:31" s="232" customFormat="1" x14ac:dyDescent="0.2">
      <c r="A38" s="3"/>
      <c r="B38" s="523">
        <v>2023</v>
      </c>
      <c r="C38" s="1424">
        <v>137817.3680726336</v>
      </c>
      <c r="D38" s="1425">
        <v>3361.7724450303504</v>
      </c>
      <c r="E38" s="1425">
        <v>4395.9508814172732</v>
      </c>
      <c r="F38" s="1425">
        <v>134317.79609903932</v>
      </c>
      <c r="G38" s="1425">
        <v>240227.56266071417</v>
      </c>
      <c r="H38" s="1426">
        <v>121266.01396311898</v>
      </c>
      <c r="I38" s="1361">
        <v>0</v>
      </c>
      <c r="J38" s="524">
        <v>0</v>
      </c>
      <c r="K38" s="524">
        <v>0</v>
      </c>
      <c r="L38" s="524">
        <v>0</v>
      </c>
      <c r="M38" s="1366">
        <v>0</v>
      </c>
      <c r="N38" s="1515">
        <v>6.783645941316772</v>
      </c>
      <c r="O38" s="1446">
        <v>7.1840928879382586</v>
      </c>
      <c r="P38" s="1446">
        <v>7.1987644467737519</v>
      </c>
      <c r="Q38" s="1470">
        <v>6.1408023494836934</v>
      </c>
      <c r="R38" s="1470">
        <v>14.915019403176776</v>
      </c>
      <c r="S38" s="1471">
        <v>7.3944386051636588</v>
      </c>
      <c r="T38" s="1448">
        <v>1</v>
      </c>
      <c r="U38" s="1449">
        <v>1</v>
      </c>
      <c r="V38" s="1449">
        <v>1</v>
      </c>
      <c r="W38" s="1449">
        <v>16.144814176631922</v>
      </c>
      <c r="X38" s="1449">
        <v>1</v>
      </c>
      <c r="Y38" s="1450">
        <v>1</v>
      </c>
      <c r="Z38" s="1448">
        <v>0</v>
      </c>
      <c r="AA38" s="1449">
        <v>0</v>
      </c>
      <c r="AB38" s="1449">
        <v>0</v>
      </c>
      <c r="AC38" s="1449">
        <v>134.92884265800586</v>
      </c>
      <c r="AD38" s="1449">
        <v>239.89799609459752</v>
      </c>
      <c r="AE38" s="1450">
        <v>0</v>
      </c>
    </row>
    <row r="39" spans="1:31" s="232" customFormat="1" x14ac:dyDescent="0.2">
      <c r="A39" s="3"/>
      <c r="B39" s="523">
        <v>2024</v>
      </c>
      <c r="C39" s="1424">
        <v>138123.15743017814</v>
      </c>
      <c r="D39" s="1425">
        <v>4482.3632600404671</v>
      </c>
      <c r="E39" s="1425">
        <v>5270.8461702954373</v>
      </c>
      <c r="F39" s="1425">
        <v>102553.03911315912</v>
      </c>
      <c r="G39" s="1425">
        <v>182354.45865311369</v>
      </c>
      <c r="H39" s="1426">
        <v>98229.620226562256</v>
      </c>
      <c r="I39" s="1361">
        <v>0</v>
      </c>
      <c r="J39" s="524">
        <v>0</v>
      </c>
      <c r="K39" s="524">
        <v>0</v>
      </c>
      <c r="L39" s="524">
        <v>0</v>
      </c>
      <c r="M39" s="1366">
        <v>0</v>
      </c>
      <c r="N39" s="1515">
        <v>6.893502857539958</v>
      </c>
      <c r="O39" s="1446">
        <v>7.4264535186122629</v>
      </c>
      <c r="P39" s="1446">
        <v>7.4461235189702206</v>
      </c>
      <c r="Q39" s="1470">
        <v>6.4348568869786869</v>
      </c>
      <c r="R39" s="1470">
        <v>15.419135431110959</v>
      </c>
      <c r="S39" s="1471">
        <v>7.6553105819533922</v>
      </c>
      <c r="T39" s="1448">
        <v>1</v>
      </c>
      <c r="U39" s="1449">
        <v>1</v>
      </c>
      <c r="V39" s="1449">
        <v>1</v>
      </c>
      <c r="W39" s="1449">
        <v>16.668063273989546</v>
      </c>
      <c r="X39" s="1449">
        <v>1</v>
      </c>
      <c r="Y39" s="1450">
        <v>1</v>
      </c>
      <c r="Z39" s="1448">
        <v>0</v>
      </c>
      <c r="AA39" s="1449">
        <v>0</v>
      </c>
      <c r="AB39" s="1449">
        <v>0</v>
      </c>
      <c r="AC39" s="1449">
        <v>135.42347046027754</v>
      </c>
      <c r="AD39" s="1449">
        <v>241.10394204376061</v>
      </c>
      <c r="AE39" s="1450">
        <v>0</v>
      </c>
    </row>
    <row r="40" spans="1:31" s="232" customFormat="1" ht="13.5" thickBot="1" x14ac:dyDescent="0.25">
      <c r="A40" s="3"/>
      <c r="B40" s="525">
        <v>2025</v>
      </c>
      <c r="C40" s="1427">
        <v>138428.94678772261</v>
      </c>
      <c r="D40" s="1428">
        <v>5602.9540750505839</v>
      </c>
      <c r="E40" s="1428">
        <v>6145.7414591736597</v>
      </c>
      <c r="F40" s="1428">
        <v>70788.282127278944</v>
      </c>
      <c r="G40" s="1428">
        <v>124481.35464551323</v>
      </c>
      <c r="H40" s="1429">
        <v>75193.226490005531</v>
      </c>
      <c r="I40" s="1362">
        <v>0</v>
      </c>
      <c r="J40" s="526">
        <v>0</v>
      </c>
      <c r="K40" s="526">
        <v>0</v>
      </c>
      <c r="L40" s="526">
        <v>0</v>
      </c>
      <c r="M40" s="1367">
        <v>0</v>
      </c>
      <c r="N40" s="1516">
        <v>7.0085428042454856</v>
      </c>
      <c r="O40" s="1452">
        <v>7.6740426808692401</v>
      </c>
      <c r="P40" s="1452">
        <v>7.6987124926565631</v>
      </c>
      <c r="Q40" s="1463">
        <v>6.7332010694396729</v>
      </c>
      <c r="R40" s="1463">
        <v>15.934104546672607</v>
      </c>
      <c r="S40" s="1464">
        <v>7.9215405851798559</v>
      </c>
      <c r="T40" s="1454">
        <v>1</v>
      </c>
      <c r="U40" s="1455">
        <v>1</v>
      </c>
      <c r="V40" s="1455">
        <v>1</v>
      </c>
      <c r="W40" s="1455">
        <v>17.20310669878624</v>
      </c>
      <c r="X40" s="1455">
        <v>1</v>
      </c>
      <c r="Y40" s="1456">
        <v>1</v>
      </c>
      <c r="Z40" s="1454">
        <v>0</v>
      </c>
      <c r="AA40" s="1455">
        <v>0</v>
      </c>
      <c r="AB40" s="1455">
        <v>0</v>
      </c>
      <c r="AC40" s="1455">
        <v>135.91809826254922</v>
      </c>
      <c r="AD40" s="1455">
        <v>242.30988799292368</v>
      </c>
      <c r="AE40" s="1456">
        <v>0</v>
      </c>
    </row>
    <row r="41" spans="1:31" s="232" customFormat="1" x14ac:dyDescent="0.2">
      <c r="A41" s="3"/>
      <c r="B41" s="527">
        <v>2026</v>
      </c>
      <c r="C41" s="1430">
        <v>139088.32283276951</v>
      </c>
      <c r="D41" s="1431">
        <v>5829.5183760771179</v>
      </c>
      <c r="E41" s="1431">
        <v>6311.0325946978555</v>
      </c>
      <c r="F41" s="1431">
        <v>63439.25086035025</v>
      </c>
      <c r="G41" s="1431">
        <v>111055.27571971853</v>
      </c>
      <c r="H41" s="1432">
        <v>64934.805702934522</v>
      </c>
      <c r="I41" s="1360">
        <v>0</v>
      </c>
      <c r="J41" s="528">
        <v>0</v>
      </c>
      <c r="K41" s="528">
        <v>0</v>
      </c>
      <c r="L41" s="528">
        <v>0</v>
      </c>
      <c r="M41" s="1365">
        <v>0</v>
      </c>
      <c r="N41" s="1517">
        <v>7.1518705692126208</v>
      </c>
      <c r="O41" s="1458">
        <v>7.9528406682628203</v>
      </c>
      <c r="P41" s="1458">
        <v>7.9826187386488376</v>
      </c>
      <c r="Q41" s="1465">
        <v>7.0590845236856596</v>
      </c>
      <c r="R41" s="1465">
        <v>16.513876244838215</v>
      </c>
      <c r="S41" s="1466">
        <v>8.2200065207638815</v>
      </c>
      <c r="T41" s="1460">
        <v>1</v>
      </c>
      <c r="U41" s="1461">
        <v>1</v>
      </c>
      <c r="V41" s="1461">
        <v>1</v>
      </c>
      <c r="W41" s="1461">
        <v>17.808073182331189</v>
      </c>
      <c r="X41" s="1461">
        <v>1</v>
      </c>
      <c r="Y41" s="1462">
        <v>1</v>
      </c>
      <c r="Z41" s="1460">
        <v>0</v>
      </c>
      <c r="AA41" s="1461">
        <v>0</v>
      </c>
      <c r="AB41" s="1461">
        <v>0</v>
      </c>
      <c r="AC41" s="1461">
        <v>136.23891827351258</v>
      </c>
      <c r="AD41" s="1461">
        <v>243.05658945648446</v>
      </c>
      <c r="AE41" s="1462">
        <v>0</v>
      </c>
    </row>
    <row r="42" spans="1:31" s="232" customFormat="1" x14ac:dyDescent="0.2">
      <c r="A42" s="3"/>
      <c r="B42" s="523">
        <v>2027</v>
      </c>
      <c r="C42" s="1424">
        <v>139747.69887781641</v>
      </c>
      <c r="D42" s="1425">
        <v>6056.0826771036518</v>
      </c>
      <c r="E42" s="1425">
        <v>6476.3237302220368</v>
      </c>
      <c r="F42" s="1425">
        <v>56090.219593421556</v>
      </c>
      <c r="G42" s="1425">
        <v>97629.196793923824</v>
      </c>
      <c r="H42" s="1426">
        <v>54676.384915863513</v>
      </c>
      <c r="I42" s="1361">
        <v>0</v>
      </c>
      <c r="J42" s="524">
        <v>0</v>
      </c>
      <c r="K42" s="524">
        <v>0</v>
      </c>
      <c r="L42" s="524">
        <v>0</v>
      </c>
      <c r="M42" s="1366">
        <v>0</v>
      </c>
      <c r="N42" s="1515">
        <v>7.2857373464052682</v>
      </c>
      <c r="O42" s="1446">
        <v>8.2216592425265489</v>
      </c>
      <c r="P42" s="1446">
        <v>8.2565266231786616</v>
      </c>
      <c r="Q42" s="1470">
        <v>7.376465425383727</v>
      </c>
      <c r="R42" s="1470">
        <v>17.072929812019524</v>
      </c>
      <c r="S42" s="1471">
        <v>8.5082044818046612</v>
      </c>
      <c r="T42" s="1448">
        <v>1</v>
      </c>
      <c r="U42" s="1449">
        <v>1</v>
      </c>
      <c r="V42" s="1449">
        <v>1</v>
      </c>
      <c r="W42" s="1449">
        <v>18.390606120850386</v>
      </c>
      <c r="X42" s="1449">
        <v>1</v>
      </c>
      <c r="Y42" s="1450">
        <v>1</v>
      </c>
      <c r="Z42" s="1448">
        <v>0</v>
      </c>
      <c r="AA42" s="1449">
        <v>0</v>
      </c>
      <c r="AB42" s="1449">
        <v>0</v>
      </c>
      <c r="AC42" s="1449">
        <v>136.55973828447594</v>
      </c>
      <c r="AD42" s="1449">
        <v>243.80329092004524</v>
      </c>
      <c r="AE42" s="1450">
        <v>0</v>
      </c>
    </row>
    <row r="43" spans="1:31" s="232" customFormat="1" x14ac:dyDescent="0.2">
      <c r="A43" s="3"/>
      <c r="B43" s="523">
        <v>2028</v>
      </c>
      <c r="C43" s="1424">
        <v>140407.07492286331</v>
      </c>
      <c r="D43" s="1425">
        <v>6282.6469781302003</v>
      </c>
      <c r="E43" s="1425">
        <v>6641.6148657462181</v>
      </c>
      <c r="F43" s="1425">
        <v>48741.188326492862</v>
      </c>
      <c r="G43" s="1425">
        <v>84203.11786812912</v>
      </c>
      <c r="H43" s="1426">
        <v>44417.964128792504</v>
      </c>
      <c r="I43" s="1361">
        <v>0</v>
      </c>
      <c r="J43" s="524">
        <v>0</v>
      </c>
      <c r="K43" s="524">
        <v>0</v>
      </c>
      <c r="L43" s="524">
        <v>0</v>
      </c>
      <c r="M43" s="1366">
        <v>0</v>
      </c>
      <c r="N43" s="1515">
        <v>7.3498347364013634</v>
      </c>
      <c r="O43" s="1446">
        <v>8.4109962645064513</v>
      </c>
      <c r="P43" s="1446">
        <v>8.4505907397396012</v>
      </c>
      <c r="Q43" s="1470">
        <v>7.622050479762966</v>
      </c>
      <c r="R43" s="1470">
        <v>17.466928323315564</v>
      </c>
      <c r="S43" s="1471">
        <v>8.7140870352370801</v>
      </c>
      <c r="T43" s="1448">
        <v>1</v>
      </c>
      <c r="U43" s="1449">
        <v>1</v>
      </c>
      <c r="V43" s="1449">
        <v>1</v>
      </c>
      <c r="W43" s="1449">
        <v>18.795470380067211</v>
      </c>
      <c r="X43" s="1449">
        <v>1</v>
      </c>
      <c r="Y43" s="1450">
        <v>1</v>
      </c>
      <c r="Z43" s="1448">
        <v>0</v>
      </c>
      <c r="AA43" s="1449">
        <v>0</v>
      </c>
      <c r="AB43" s="1449">
        <v>0</v>
      </c>
      <c r="AC43" s="1449">
        <v>136.8805582954393</v>
      </c>
      <c r="AD43" s="1449">
        <v>244.54999238360602</v>
      </c>
      <c r="AE43" s="1450">
        <v>0</v>
      </c>
    </row>
    <row r="44" spans="1:31" s="232" customFormat="1" x14ac:dyDescent="0.2">
      <c r="A44" s="3"/>
      <c r="B44" s="523">
        <v>2029</v>
      </c>
      <c r="C44" s="1424">
        <v>141066.45096791023</v>
      </c>
      <c r="D44" s="1425">
        <v>6509.2112791567342</v>
      </c>
      <c r="E44" s="1425">
        <v>6806.9060012703994</v>
      </c>
      <c r="F44" s="1425">
        <v>41392.157059564168</v>
      </c>
      <c r="G44" s="1425">
        <v>70777.038942334417</v>
      </c>
      <c r="H44" s="1426">
        <v>34159.543341721495</v>
      </c>
      <c r="I44" s="1361">
        <v>0</v>
      </c>
      <c r="J44" s="524">
        <v>0</v>
      </c>
      <c r="K44" s="524">
        <v>0</v>
      </c>
      <c r="L44" s="524">
        <v>0</v>
      </c>
      <c r="M44" s="1366">
        <v>0</v>
      </c>
      <c r="N44" s="1515">
        <v>7.4265021351464542</v>
      </c>
      <c r="O44" s="1446">
        <v>8.6131061487827569</v>
      </c>
      <c r="P44" s="1446">
        <v>8.657434535593751</v>
      </c>
      <c r="Q44" s="1470">
        <v>7.8781817338412647</v>
      </c>
      <c r="R44" s="1470">
        <v>17.887440743326167</v>
      </c>
      <c r="S44" s="1471">
        <v>8.9330675926347691</v>
      </c>
      <c r="T44" s="1448">
        <v>1</v>
      </c>
      <c r="U44" s="1449">
        <v>1</v>
      </c>
      <c r="V44" s="1449">
        <v>1</v>
      </c>
      <c r="W44" s="1449">
        <v>19.229130690638677</v>
      </c>
      <c r="X44" s="1449">
        <v>1</v>
      </c>
      <c r="Y44" s="1450">
        <v>1</v>
      </c>
      <c r="Z44" s="1448">
        <v>0</v>
      </c>
      <c r="AA44" s="1449">
        <v>0</v>
      </c>
      <c r="AB44" s="1449">
        <v>0</v>
      </c>
      <c r="AC44" s="1449">
        <v>137.20137830640266</v>
      </c>
      <c r="AD44" s="1449">
        <v>245.29669384716681</v>
      </c>
      <c r="AE44" s="1450">
        <v>0</v>
      </c>
    </row>
    <row r="45" spans="1:31" s="232" customFormat="1" ht="13.5" thickBot="1" x14ac:dyDescent="0.25">
      <c r="A45" s="3"/>
      <c r="B45" s="525">
        <v>2030</v>
      </c>
      <c r="C45" s="1427">
        <v>141725.82701295713</v>
      </c>
      <c r="D45" s="1428">
        <v>6735.7755801832827</v>
      </c>
      <c r="E45" s="1428">
        <v>6972.1971367946244</v>
      </c>
      <c r="F45" s="1428">
        <v>34043.12579263543</v>
      </c>
      <c r="G45" s="1428">
        <v>57350.960016539786</v>
      </c>
      <c r="H45" s="1429">
        <v>23901.12255465053</v>
      </c>
      <c r="I45" s="1362">
        <v>0</v>
      </c>
      <c r="J45" s="526">
        <v>0</v>
      </c>
      <c r="K45" s="526">
        <v>0</v>
      </c>
      <c r="L45" s="526">
        <v>0</v>
      </c>
      <c r="M45" s="1367">
        <v>0</v>
      </c>
      <c r="N45" s="1516">
        <v>7.430690167571318</v>
      </c>
      <c r="O45" s="1452">
        <v>8.7287315275043209</v>
      </c>
      <c r="P45" s="1452">
        <v>8.7772696090206512</v>
      </c>
      <c r="Q45" s="1463">
        <v>8.0536814629207125</v>
      </c>
      <c r="R45" s="1463">
        <v>18.128328098808915</v>
      </c>
      <c r="S45" s="1464">
        <v>9.0621503666569456</v>
      </c>
      <c r="T45" s="1454">
        <v>1</v>
      </c>
      <c r="U45" s="1455">
        <v>1</v>
      </c>
      <c r="V45" s="1455">
        <v>1</v>
      </c>
      <c r="W45" s="1455">
        <v>19.470086695771229</v>
      </c>
      <c r="X45" s="1455">
        <v>1</v>
      </c>
      <c r="Y45" s="1456">
        <v>1</v>
      </c>
      <c r="Z45" s="1454">
        <v>0</v>
      </c>
      <c r="AA45" s="1455">
        <v>0</v>
      </c>
      <c r="AB45" s="1455">
        <v>0</v>
      </c>
      <c r="AC45" s="1455">
        <v>137.52219831736599</v>
      </c>
      <c r="AD45" s="1455">
        <v>246.04339531072753</v>
      </c>
      <c r="AE45" s="1456">
        <v>0</v>
      </c>
    </row>
    <row r="46" spans="1:31" s="232" customFormat="1" x14ac:dyDescent="0.2">
      <c r="A46" s="3"/>
      <c r="B46" s="527">
        <v>2031</v>
      </c>
      <c r="C46" s="1430">
        <v>141725.82701295713</v>
      </c>
      <c r="D46" s="1431">
        <v>6735.7755801832827</v>
      </c>
      <c r="E46" s="1431">
        <v>6972.1971367946244</v>
      </c>
      <c r="F46" s="1431">
        <v>31513.336840420408</v>
      </c>
      <c r="G46" s="1431">
        <v>52004.511706898396</v>
      </c>
      <c r="H46" s="1432">
        <v>21656.225335991505</v>
      </c>
      <c r="I46" s="1360">
        <v>0</v>
      </c>
      <c r="J46" s="528">
        <v>0</v>
      </c>
      <c r="K46" s="528">
        <v>0</v>
      </c>
      <c r="L46" s="528">
        <v>0</v>
      </c>
      <c r="M46" s="1365">
        <v>0</v>
      </c>
      <c r="N46" s="1517">
        <v>7.4348781999961817</v>
      </c>
      <c r="O46" s="1458">
        <f>$N46*O45/$N45</f>
        <v>8.7336511527128469</v>
      </c>
      <c r="P46" s="1458">
        <f t="shared" ref="P46:P65" si="13">$N46*P45/$N45</f>
        <v>8.782216590915386</v>
      </c>
      <c r="Q46" s="1465">
        <v>8.2298702354726156</v>
      </c>
      <c r="R46" s="1465">
        <v>18.375232189908324</v>
      </c>
      <c r="S46" s="1466">
        <v>9.2500498171888506</v>
      </c>
      <c r="T46" s="1460">
        <v>1</v>
      </c>
      <c r="U46" s="1461">
        <v>1</v>
      </c>
      <c r="V46" s="1461">
        <v>1</v>
      </c>
      <c r="W46" s="1461">
        <v>19.744531560524774</v>
      </c>
      <c r="X46" s="1461">
        <v>1</v>
      </c>
      <c r="Y46" s="1462">
        <v>1</v>
      </c>
      <c r="Z46" s="1460">
        <v>0</v>
      </c>
      <c r="AA46" s="1461">
        <v>0</v>
      </c>
      <c r="AB46" s="1461">
        <v>0</v>
      </c>
      <c r="AC46" s="1461">
        <v>137.74771152428704</v>
      </c>
      <c r="AD46" s="1461">
        <v>246.54370008861537</v>
      </c>
      <c r="AE46" s="1462">
        <v>0</v>
      </c>
    </row>
    <row r="47" spans="1:31" s="232" customFormat="1" x14ac:dyDescent="0.2">
      <c r="A47" s="3"/>
      <c r="B47" s="523">
        <v>2032</v>
      </c>
      <c r="C47" s="1424">
        <v>141725.82701295713</v>
      </c>
      <c r="D47" s="1431">
        <v>6735.7755801832827</v>
      </c>
      <c r="E47" s="1431">
        <v>6972.1971367946244</v>
      </c>
      <c r="F47" s="1431">
        <v>28983.547888205387</v>
      </c>
      <c r="G47" s="1431">
        <v>46658.063397257007</v>
      </c>
      <c r="H47" s="1432">
        <v>19411.328117332479</v>
      </c>
      <c r="I47" s="1361">
        <v>0</v>
      </c>
      <c r="J47" s="529">
        <v>0</v>
      </c>
      <c r="K47" s="524">
        <v>0</v>
      </c>
      <c r="L47" s="529">
        <v>0</v>
      </c>
      <c r="M47" s="1366">
        <v>0</v>
      </c>
      <c r="N47" s="1517">
        <v>7.4390662324210455</v>
      </c>
      <c r="O47" s="1446">
        <f t="shared" ref="O47:O65" si="14">$N47*O46/$N46</f>
        <v>8.738570777921371</v>
      </c>
      <c r="P47" s="1446">
        <f t="shared" si="13"/>
        <v>8.7871635728101189</v>
      </c>
      <c r="Q47" s="1470">
        <v>8.4062523868885073</v>
      </c>
      <c r="R47" s="1470">
        <v>18.622402930086231</v>
      </c>
      <c r="S47" s="1471">
        <v>9.438155199387559</v>
      </c>
      <c r="T47" s="1460">
        <v>1</v>
      </c>
      <c r="U47" s="1461">
        <v>1</v>
      </c>
      <c r="V47" s="1461">
        <v>1</v>
      </c>
      <c r="W47" s="1461">
        <v>20.019273249572688</v>
      </c>
      <c r="X47" s="1461">
        <v>1</v>
      </c>
      <c r="Y47" s="1462">
        <v>1</v>
      </c>
      <c r="Z47" s="1460">
        <v>0</v>
      </c>
      <c r="AA47" s="1461">
        <v>0</v>
      </c>
      <c r="AB47" s="1461">
        <v>0</v>
      </c>
      <c r="AC47" s="1461">
        <v>137.97322473120809</v>
      </c>
      <c r="AD47" s="1461">
        <v>247.0440048665032</v>
      </c>
      <c r="AE47" s="1462">
        <v>0</v>
      </c>
    </row>
    <row r="48" spans="1:31" s="232" customFormat="1" x14ac:dyDescent="0.2">
      <c r="A48" s="3"/>
      <c r="B48" s="523">
        <v>2033</v>
      </c>
      <c r="C48" s="1424">
        <v>141725.82701295713</v>
      </c>
      <c r="D48" s="1431">
        <v>6735.7755801832827</v>
      </c>
      <c r="E48" s="1431">
        <v>6972.1971367946244</v>
      </c>
      <c r="F48" s="1431">
        <v>26453.758935990365</v>
      </c>
      <c r="G48" s="1431">
        <v>41311.615087615617</v>
      </c>
      <c r="H48" s="1432">
        <v>17166.430898673454</v>
      </c>
      <c r="I48" s="1361">
        <v>0</v>
      </c>
      <c r="J48" s="524">
        <v>0</v>
      </c>
      <c r="K48" s="524">
        <v>0</v>
      </c>
      <c r="L48" s="524">
        <v>0</v>
      </c>
      <c r="M48" s="1366">
        <v>0</v>
      </c>
      <c r="N48" s="1517">
        <v>7.4432542648459092</v>
      </c>
      <c r="O48" s="1446">
        <f t="shared" si="14"/>
        <v>8.7434904031298952</v>
      </c>
      <c r="P48" s="1446">
        <f t="shared" si="13"/>
        <v>8.7921105547048519</v>
      </c>
      <c r="Q48" s="1470">
        <v>8.582827917168391</v>
      </c>
      <c r="R48" s="1470">
        <v>18.869840319342622</v>
      </c>
      <c r="S48" s="1471">
        <v>9.6264665132530691</v>
      </c>
      <c r="T48" s="1460">
        <v>1</v>
      </c>
      <c r="U48" s="1461">
        <v>1</v>
      </c>
      <c r="V48" s="1461">
        <v>1</v>
      </c>
      <c r="W48" s="1461">
        <v>20.294311762914962</v>
      </c>
      <c r="X48" s="1461">
        <v>1</v>
      </c>
      <c r="Y48" s="1462">
        <v>1</v>
      </c>
      <c r="Z48" s="1460">
        <v>0</v>
      </c>
      <c r="AA48" s="1461">
        <v>0</v>
      </c>
      <c r="AB48" s="1461">
        <v>0</v>
      </c>
      <c r="AC48" s="1461">
        <v>138.19873793812914</v>
      </c>
      <c r="AD48" s="1461">
        <v>247.54430964439103</v>
      </c>
      <c r="AE48" s="1462">
        <v>0</v>
      </c>
    </row>
    <row r="49" spans="1:31" s="232" customFormat="1" x14ac:dyDescent="0.2">
      <c r="A49" s="3"/>
      <c r="B49" s="523">
        <v>2034</v>
      </c>
      <c r="C49" s="1424">
        <v>141725.82701295713</v>
      </c>
      <c r="D49" s="1431">
        <v>6735.7755801832827</v>
      </c>
      <c r="E49" s="1431">
        <v>6972.1971367946244</v>
      </c>
      <c r="F49" s="1431">
        <v>23923.969983775343</v>
      </c>
      <c r="G49" s="1431">
        <v>35965.166777974227</v>
      </c>
      <c r="H49" s="1432">
        <v>14921.533680014429</v>
      </c>
      <c r="I49" s="1361">
        <v>0</v>
      </c>
      <c r="J49" s="524">
        <v>0</v>
      </c>
      <c r="K49" s="524">
        <v>0</v>
      </c>
      <c r="L49" s="524">
        <v>0</v>
      </c>
      <c r="M49" s="1366">
        <v>0</v>
      </c>
      <c r="N49" s="1517">
        <v>7.4474422972707739</v>
      </c>
      <c r="O49" s="1446">
        <f t="shared" si="14"/>
        <v>8.7484100283384194</v>
      </c>
      <c r="P49" s="1446">
        <f t="shared" si="13"/>
        <v>8.7970575365995849</v>
      </c>
      <c r="Q49" s="1470">
        <v>8.7595968263122685</v>
      </c>
      <c r="R49" s="1470">
        <v>19.117544357677506</v>
      </c>
      <c r="S49" s="1471">
        <v>9.8149837587853828</v>
      </c>
      <c r="T49" s="1460">
        <v>1</v>
      </c>
      <c r="U49" s="1461">
        <v>1</v>
      </c>
      <c r="V49" s="1461">
        <v>1</v>
      </c>
      <c r="W49" s="1461">
        <v>20.569647100551599</v>
      </c>
      <c r="X49" s="1461">
        <v>1</v>
      </c>
      <c r="Y49" s="1462">
        <v>1</v>
      </c>
      <c r="Z49" s="1460">
        <v>0</v>
      </c>
      <c r="AA49" s="1461">
        <v>0</v>
      </c>
      <c r="AB49" s="1461">
        <v>0</v>
      </c>
      <c r="AC49" s="1461">
        <v>138.42425114505019</v>
      </c>
      <c r="AD49" s="1461">
        <v>248.04461442227887</v>
      </c>
      <c r="AE49" s="1462">
        <v>0</v>
      </c>
    </row>
    <row r="50" spans="1:31" s="232" customFormat="1" ht="13.5" thickBot="1" x14ac:dyDescent="0.25">
      <c r="A50" s="3"/>
      <c r="B50" s="530">
        <v>2035</v>
      </c>
      <c r="C50" s="1433">
        <v>141725.82701295713</v>
      </c>
      <c r="D50" s="1434">
        <v>6735.7755801832827</v>
      </c>
      <c r="E50" s="1434">
        <v>6972.1971367946244</v>
      </c>
      <c r="F50" s="1434">
        <v>21394.181031560263</v>
      </c>
      <c r="G50" s="1434">
        <v>30618.718468332838</v>
      </c>
      <c r="H50" s="1435">
        <v>12676.636461355432</v>
      </c>
      <c r="I50" s="1363">
        <v>0</v>
      </c>
      <c r="J50" s="531">
        <v>0</v>
      </c>
      <c r="K50" s="531">
        <v>0</v>
      </c>
      <c r="L50" s="531">
        <v>0</v>
      </c>
      <c r="M50" s="1368">
        <v>0</v>
      </c>
      <c r="N50" s="1518">
        <v>7.4516303296956377</v>
      </c>
      <c r="O50" s="1452">
        <f t="shared" si="14"/>
        <v>8.7533296535469436</v>
      </c>
      <c r="P50" s="1452">
        <f t="shared" si="13"/>
        <v>8.8020045184943179</v>
      </c>
      <c r="Q50" s="1463">
        <v>8.9365591143201346</v>
      </c>
      <c r="R50" s="1463">
        <v>19.365515045090888</v>
      </c>
      <c r="S50" s="1464">
        <v>10.003706935984496</v>
      </c>
      <c r="T50" s="1473">
        <v>1</v>
      </c>
      <c r="U50" s="1474">
        <v>1</v>
      </c>
      <c r="V50" s="1474">
        <v>1</v>
      </c>
      <c r="W50" s="1474">
        <v>20.845279262482606</v>
      </c>
      <c r="X50" s="1474">
        <v>1</v>
      </c>
      <c r="Y50" s="1475">
        <v>1</v>
      </c>
      <c r="Z50" s="1473">
        <v>0</v>
      </c>
      <c r="AA50" s="1474">
        <v>0</v>
      </c>
      <c r="AB50" s="1474">
        <v>0</v>
      </c>
      <c r="AC50" s="1474">
        <v>138.64976435197124</v>
      </c>
      <c r="AD50" s="1474">
        <v>248.54491920016673</v>
      </c>
      <c r="AE50" s="1475">
        <v>0</v>
      </c>
    </row>
    <row r="51" spans="1:31" s="232" customFormat="1" x14ac:dyDescent="0.2">
      <c r="A51" s="3"/>
      <c r="B51" s="532">
        <v>2036</v>
      </c>
      <c r="C51" s="1421">
        <v>141725.82701295713</v>
      </c>
      <c r="D51" s="1422">
        <v>6735.7755801832827</v>
      </c>
      <c r="E51" s="1422">
        <v>6972.1971367946244</v>
      </c>
      <c r="F51" s="1422">
        <v>21247.826875298837</v>
      </c>
      <c r="G51" s="1422">
        <v>30039.7510299719</v>
      </c>
      <c r="H51" s="1423">
        <v>12143.892554346501</v>
      </c>
      <c r="I51" s="1364">
        <v>0</v>
      </c>
      <c r="J51" s="533">
        <v>0</v>
      </c>
      <c r="K51" s="533">
        <v>0</v>
      </c>
      <c r="L51" s="533">
        <v>0</v>
      </c>
      <c r="M51" s="1369">
        <v>0</v>
      </c>
      <c r="N51" s="1514">
        <v>7.4551478614568492</v>
      </c>
      <c r="O51" s="1440">
        <f t="shared" si="14"/>
        <v>8.757461650668434</v>
      </c>
      <c r="P51" s="1440">
        <f t="shared" si="13"/>
        <v>8.8061594925182902</v>
      </c>
      <c r="Q51" s="1476">
        <v>9.0017835278140073</v>
      </c>
      <c r="R51" s="1476">
        <v>19.454753386500709</v>
      </c>
      <c r="S51" s="1477">
        <v>10.111692570575936</v>
      </c>
      <c r="T51" s="1442">
        <v>1</v>
      </c>
      <c r="U51" s="1443">
        <v>1</v>
      </c>
      <c r="V51" s="1443">
        <v>1</v>
      </c>
      <c r="W51" s="1443">
        <v>20.945940243621127</v>
      </c>
      <c r="X51" s="1443">
        <v>1</v>
      </c>
      <c r="Y51" s="1444">
        <v>1</v>
      </c>
      <c r="Z51" s="1442">
        <v>0</v>
      </c>
      <c r="AA51" s="1443">
        <v>0</v>
      </c>
      <c r="AB51" s="1443">
        <v>0</v>
      </c>
      <c r="AC51" s="1443">
        <v>138.740279572574</v>
      </c>
      <c r="AD51" s="1443">
        <v>248.58845165774892</v>
      </c>
      <c r="AE51" s="1444">
        <v>0</v>
      </c>
    </row>
    <row r="52" spans="1:31" s="232" customFormat="1" x14ac:dyDescent="0.2">
      <c r="A52" s="3"/>
      <c r="B52" s="523">
        <v>2037</v>
      </c>
      <c r="C52" s="1424">
        <v>141725.82701295713</v>
      </c>
      <c r="D52" s="1425">
        <v>6735.7755801832827</v>
      </c>
      <c r="E52" s="1425">
        <v>6972.1971367946244</v>
      </c>
      <c r="F52" s="1425">
        <v>21101.472719037411</v>
      </c>
      <c r="G52" s="1425">
        <v>29460.783591610962</v>
      </c>
      <c r="H52" s="1426">
        <v>11611.14864733757</v>
      </c>
      <c r="I52" s="1361">
        <v>0</v>
      </c>
      <c r="J52" s="524">
        <v>0</v>
      </c>
      <c r="K52" s="524">
        <v>0</v>
      </c>
      <c r="L52" s="524">
        <v>0</v>
      </c>
      <c r="M52" s="1366">
        <v>0</v>
      </c>
      <c r="N52" s="1515">
        <v>7.4551644145974132</v>
      </c>
      <c r="O52" s="1446">
        <f t="shared" si="14"/>
        <v>8.7574810954194149</v>
      </c>
      <c r="P52" s="1446">
        <f t="shared" si="13"/>
        <v>8.8061790453961972</v>
      </c>
      <c r="Q52" s="1470">
        <v>9.0628095736633636</v>
      </c>
      <c r="R52" s="1470">
        <v>19.534893637869498</v>
      </c>
      <c r="S52" s="1471">
        <v>10.214978650102701</v>
      </c>
      <c r="T52" s="1448">
        <v>1</v>
      </c>
      <c r="U52" s="1449">
        <v>1</v>
      </c>
      <c r="V52" s="1449">
        <v>1</v>
      </c>
      <c r="W52" s="1449">
        <v>21.036807948861114</v>
      </c>
      <c r="X52" s="1449">
        <v>1</v>
      </c>
      <c r="Y52" s="1450">
        <v>1</v>
      </c>
      <c r="Z52" s="1448">
        <v>0</v>
      </c>
      <c r="AA52" s="1449">
        <v>0</v>
      </c>
      <c r="AB52" s="1449">
        <v>0</v>
      </c>
      <c r="AC52" s="1449">
        <v>138.83079479317675</v>
      </c>
      <c r="AD52" s="1449">
        <v>248.63198411533111</v>
      </c>
      <c r="AE52" s="1450">
        <v>0</v>
      </c>
    </row>
    <row r="53" spans="1:31" s="232" customFormat="1" x14ac:dyDescent="0.2">
      <c r="A53" s="3"/>
      <c r="B53" s="523">
        <v>2038</v>
      </c>
      <c r="C53" s="1424">
        <v>141725.82701295713</v>
      </c>
      <c r="D53" s="1425">
        <v>6735.7755801832827</v>
      </c>
      <c r="E53" s="1425">
        <v>6972.1971367946244</v>
      </c>
      <c r="F53" s="1425">
        <v>20955.118562775984</v>
      </c>
      <c r="G53" s="1425">
        <v>28881.816153250023</v>
      </c>
      <c r="H53" s="1426">
        <v>11078.404740328639</v>
      </c>
      <c r="I53" s="1361">
        <v>0</v>
      </c>
      <c r="J53" s="524">
        <v>0</v>
      </c>
      <c r="K53" s="524">
        <v>0</v>
      </c>
      <c r="L53" s="524">
        <v>0</v>
      </c>
      <c r="M53" s="1366">
        <v>0</v>
      </c>
      <c r="N53" s="1515">
        <v>7.4551809677379772</v>
      </c>
      <c r="O53" s="1446">
        <f t="shared" si="14"/>
        <v>8.7575005401703958</v>
      </c>
      <c r="P53" s="1446">
        <f t="shared" si="13"/>
        <v>8.8061985982741025</v>
      </c>
      <c r="Q53" s="1470">
        <v>9.1238358904234076</v>
      </c>
      <c r="R53" s="1470">
        <v>19.615034244926701</v>
      </c>
      <c r="S53" s="1471">
        <v>10.318265188194093</v>
      </c>
      <c r="T53" s="1448">
        <v>1</v>
      </c>
      <c r="U53" s="1449">
        <v>1</v>
      </c>
      <c r="V53" s="1449">
        <v>1</v>
      </c>
      <c r="W53" s="1449">
        <v>21.127676057412408</v>
      </c>
      <c r="X53" s="1449">
        <v>1</v>
      </c>
      <c r="Y53" s="1450">
        <v>1</v>
      </c>
      <c r="Z53" s="1448">
        <v>0</v>
      </c>
      <c r="AA53" s="1449">
        <v>0</v>
      </c>
      <c r="AB53" s="1449">
        <v>0</v>
      </c>
      <c r="AC53" s="1449">
        <v>138.9213100137795</v>
      </c>
      <c r="AD53" s="1449">
        <v>248.6755165729133</v>
      </c>
      <c r="AE53" s="1450">
        <v>0</v>
      </c>
    </row>
    <row r="54" spans="1:31" s="232" customFormat="1" x14ac:dyDescent="0.2">
      <c r="A54" s="3"/>
      <c r="B54" s="523">
        <v>2039</v>
      </c>
      <c r="C54" s="1424">
        <v>141725.82701295713</v>
      </c>
      <c r="D54" s="1425">
        <v>6735.7755801832827</v>
      </c>
      <c r="E54" s="1425">
        <v>6972.1971367946244</v>
      </c>
      <c r="F54" s="1425">
        <v>20808.764406514558</v>
      </c>
      <c r="G54" s="1425">
        <v>28302.848714889085</v>
      </c>
      <c r="H54" s="1426">
        <v>10545.660833319707</v>
      </c>
      <c r="I54" s="1361">
        <v>0</v>
      </c>
      <c r="J54" s="524">
        <v>0</v>
      </c>
      <c r="K54" s="524">
        <v>0</v>
      </c>
      <c r="L54" s="524">
        <v>0</v>
      </c>
      <c r="M54" s="1366">
        <v>0</v>
      </c>
      <c r="N54" s="1515">
        <v>7.4551975208785422</v>
      </c>
      <c r="O54" s="1446">
        <f t="shared" si="14"/>
        <v>8.7575199849213785</v>
      </c>
      <c r="P54" s="1446">
        <f t="shared" si="13"/>
        <v>8.8062181511520112</v>
      </c>
      <c r="Q54" s="1470">
        <v>9.1848624780941428</v>
      </c>
      <c r="R54" s="1470">
        <v>19.695175207672317</v>
      </c>
      <c r="S54" s="1471">
        <v>10.421552184850116</v>
      </c>
      <c r="T54" s="1448">
        <v>1</v>
      </c>
      <c r="U54" s="1449">
        <v>1</v>
      </c>
      <c r="V54" s="1449">
        <v>1</v>
      </c>
      <c r="W54" s="1449">
        <v>21.218544569275011</v>
      </c>
      <c r="X54" s="1449">
        <v>1</v>
      </c>
      <c r="Y54" s="1450">
        <v>1</v>
      </c>
      <c r="Z54" s="1448">
        <v>0</v>
      </c>
      <c r="AA54" s="1449">
        <v>0</v>
      </c>
      <c r="AB54" s="1449">
        <v>0</v>
      </c>
      <c r="AC54" s="1449">
        <v>139.01182523438226</v>
      </c>
      <c r="AD54" s="1449">
        <v>248.71904903049548</v>
      </c>
      <c r="AE54" s="1450">
        <v>0</v>
      </c>
    </row>
    <row r="55" spans="1:31" s="232" customFormat="1" ht="13.5" thickBot="1" x14ac:dyDescent="0.25">
      <c r="A55" s="3"/>
      <c r="B55" s="525">
        <v>2040</v>
      </c>
      <c r="C55" s="1427">
        <v>141725.82701295713</v>
      </c>
      <c r="D55" s="1428">
        <v>6735.7755801832827</v>
      </c>
      <c r="E55" s="1428">
        <v>6972.1971367946244</v>
      </c>
      <c r="F55" s="1428">
        <v>20662.410250253131</v>
      </c>
      <c r="G55" s="1428">
        <v>27723.881276528147</v>
      </c>
      <c r="H55" s="1429">
        <v>10012.916926310776</v>
      </c>
      <c r="I55" s="1362">
        <v>0</v>
      </c>
      <c r="J55" s="526">
        <v>0</v>
      </c>
      <c r="K55" s="526">
        <v>0</v>
      </c>
      <c r="L55" s="526">
        <v>0</v>
      </c>
      <c r="M55" s="1367">
        <v>0</v>
      </c>
      <c r="N55" s="1516">
        <v>7.4552140740191062</v>
      </c>
      <c r="O55" s="1452">
        <f t="shared" si="14"/>
        <v>8.7575394296723594</v>
      </c>
      <c r="P55" s="1452">
        <f t="shared" si="13"/>
        <v>8.8062377040299182</v>
      </c>
      <c r="Q55" s="1463">
        <v>9.2458893366755657</v>
      </c>
      <c r="R55" s="1463">
        <v>19.775316526106348</v>
      </c>
      <c r="S55" s="1464">
        <v>10.524839640070761</v>
      </c>
      <c r="T55" s="1454">
        <v>1</v>
      </c>
      <c r="U55" s="1455">
        <v>1</v>
      </c>
      <c r="V55" s="1455">
        <v>1</v>
      </c>
      <c r="W55" s="1455">
        <v>21.309413484448918</v>
      </c>
      <c r="X55" s="1455">
        <v>1</v>
      </c>
      <c r="Y55" s="1456">
        <v>1</v>
      </c>
      <c r="Z55" s="1454">
        <v>0</v>
      </c>
      <c r="AA55" s="1455">
        <v>0</v>
      </c>
      <c r="AB55" s="1455">
        <v>0</v>
      </c>
      <c r="AC55" s="1455">
        <v>139.10234045498501</v>
      </c>
      <c r="AD55" s="1455">
        <v>248.76258148807767</v>
      </c>
      <c r="AE55" s="1456">
        <v>0</v>
      </c>
    </row>
    <row r="56" spans="1:31" s="232" customFormat="1" x14ac:dyDescent="0.2">
      <c r="A56" s="3"/>
      <c r="B56" s="532">
        <v>2041</v>
      </c>
      <c r="C56" s="1421">
        <v>141725.82701295713</v>
      </c>
      <c r="D56" s="1422">
        <v>6735.7755801832827</v>
      </c>
      <c r="E56" s="1422">
        <v>6972.1971367946244</v>
      </c>
      <c r="F56" s="1422">
        <v>20516.056093991705</v>
      </c>
      <c r="G56" s="1422">
        <v>27144.913838167209</v>
      </c>
      <c r="H56" s="1423">
        <v>9480.1730193018448</v>
      </c>
      <c r="I56" s="1364">
        <v>0</v>
      </c>
      <c r="J56" s="533">
        <v>0</v>
      </c>
      <c r="K56" s="533">
        <v>0</v>
      </c>
      <c r="L56" s="533">
        <v>0</v>
      </c>
      <c r="M56" s="1369">
        <v>0</v>
      </c>
      <c r="N56" s="1514">
        <v>7.4552306271596702</v>
      </c>
      <c r="O56" s="1458">
        <f t="shared" si="14"/>
        <v>8.7575588744233404</v>
      </c>
      <c r="P56" s="1458">
        <f t="shared" si="13"/>
        <v>8.8062572569078252</v>
      </c>
      <c r="Q56" s="1458">
        <v>9.306916466167678</v>
      </c>
      <c r="R56" s="1458">
        <v>19.855458200228789</v>
      </c>
      <c r="S56" s="1459">
        <v>10.628127553856038</v>
      </c>
      <c r="T56" s="1442">
        <v>1</v>
      </c>
      <c r="U56" s="1443">
        <v>1</v>
      </c>
      <c r="V56" s="1443">
        <v>1</v>
      </c>
      <c r="W56" s="1443">
        <v>21.400282802934132</v>
      </c>
      <c r="X56" s="1443">
        <v>1</v>
      </c>
      <c r="Y56" s="1444">
        <v>1</v>
      </c>
      <c r="Z56" s="1442">
        <v>0</v>
      </c>
      <c r="AA56" s="1443">
        <v>0</v>
      </c>
      <c r="AB56" s="1443">
        <v>0</v>
      </c>
      <c r="AC56" s="1443">
        <v>139.19285567558777</v>
      </c>
      <c r="AD56" s="1443">
        <v>248.80611394565986</v>
      </c>
      <c r="AE56" s="1444">
        <v>0</v>
      </c>
    </row>
    <row r="57" spans="1:31" s="232" customFormat="1" x14ac:dyDescent="0.2">
      <c r="A57" s="3"/>
      <c r="B57" s="523">
        <v>2042</v>
      </c>
      <c r="C57" s="1424">
        <v>141725.82701295713</v>
      </c>
      <c r="D57" s="1425">
        <v>6735.7755801832827</v>
      </c>
      <c r="E57" s="1425">
        <v>6972.1971367946244</v>
      </c>
      <c r="F57" s="1425">
        <v>20369.701937730279</v>
      </c>
      <c r="G57" s="1425">
        <v>26565.946399806271</v>
      </c>
      <c r="H57" s="1426">
        <v>8947.4291122929135</v>
      </c>
      <c r="I57" s="1361">
        <v>0</v>
      </c>
      <c r="J57" s="524">
        <v>0</v>
      </c>
      <c r="K57" s="524">
        <v>0</v>
      </c>
      <c r="L57" s="524">
        <v>0</v>
      </c>
      <c r="M57" s="1366">
        <v>0</v>
      </c>
      <c r="N57" s="1515">
        <v>7.4552471803002351</v>
      </c>
      <c r="O57" s="1446">
        <f t="shared" si="14"/>
        <v>8.7575783191743213</v>
      </c>
      <c r="P57" s="1446">
        <f t="shared" si="13"/>
        <v>8.8062768097857322</v>
      </c>
      <c r="Q57" s="1446">
        <v>9.3679438665704797</v>
      </c>
      <c r="R57" s="1446">
        <v>19.935600230039654</v>
      </c>
      <c r="S57" s="1447">
        <v>10.731415926205942</v>
      </c>
      <c r="T57" s="1448">
        <v>1</v>
      </c>
      <c r="U57" s="1449">
        <v>1</v>
      </c>
      <c r="V57" s="1449">
        <v>1</v>
      </c>
      <c r="W57" s="1449">
        <v>21.491152524730651</v>
      </c>
      <c r="X57" s="1449">
        <v>1</v>
      </c>
      <c r="Y57" s="1450">
        <v>1</v>
      </c>
      <c r="Z57" s="1448">
        <v>0</v>
      </c>
      <c r="AA57" s="1449">
        <v>0</v>
      </c>
      <c r="AB57" s="1449">
        <v>0</v>
      </c>
      <c r="AC57" s="1449">
        <v>139.28337089619052</v>
      </c>
      <c r="AD57" s="1449">
        <v>248.84964640324205</v>
      </c>
      <c r="AE57" s="1450">
        <v>0</v>
      </c>
    </row>
    <row r="58" spans="1:31" s="232" customFormat="1" x14ac:dyDescent="0.2">
      <c r="A58" s="3"/>
      <c r="B58" s="523">
        <v>2043</v>
      </c>
      <c r="C58" s="1424">
        <v>141725.82701295713</v>
      </c>
      <c r="D58" s="1425">
        <v>6735.7755801832827</v>
      </c>
      <c r="E58" s="1425">
        <v>6972.1971367946244</v>
      </c>
      <c r="F58" s="1425">
        <v>20223.347781468852</v>
      </c>
      <c r="G58" s="1425">
        <v>25986.978961445333</v>
      </c>
      <c r="H58" s="1426">
        <v>8414.6852052839822</v>
      </c>
      <c r="I58" s="1361">
        <v>0</v>
      </c>
      <c r="J58" s="524">
        <v>0</v>
      </c>
      <c r="K58" s="524">
        <v>0</v>
      </c>
      <c r="L58" s="524">
        <v>0</v>
      </c>
      <c r="M58" s="1366">
        <v>0</v>
      </c>
      <c r="N58" s="1515">
        <v>7.4552637334408001</v>
      </c>
      <c r="O58" s="1446">
        <f t="shared" si="14"/>
        <v>8.757597763925304</v>
      </c>
      <c r="P58" s="1446">
        <f t="shared" si="13"/>
        <v>8.8062963626636392</v>
      </c>
      <c r="Q58" s="1446">
        <v>9.4289715378839691</v>
      </c>
      <c r="R58" s="1446">
        <v>20.01574261553893</v>
      </c>
      <c r="S58" s="1447">
        <v>10.834704757120475</v>
      </c>
      <c r="T58" s="1448">
        <v>1</v>
      </c>
      <c r="U58" s="1449">
        <v>1</v>
      </c>
      <c r="V58" s="1449">
        <v>1</v>
      </c>
      <c r="W58" s="1449">
        <v>21.582022649838482</v>
      </c>
      <c r="X58" s="1449">
        <v>1</v>
      </c>
      <c r="Y58" s="1450">
        <v>1</v>
      </c>
      <c r="Z58" s="1448">
        <v>0</v>
      </c>
      <c r="AA58" s="1449">
        <v>0</v>
      </c>
      <c r="AB58" s="1449">
        <v>0</v>
      </c>
      <c r="AC58" s="1449">
        <v>139.37388611679327</v>
      </c>
      <c r="AD58" s="1449">
        <v>248.89317886082424</v>
      </c>
      <c r="AE58" s="1450">
        <v>0</v>
      </c>
    </row>
    <row r="59" spans="1:31" s="232" customFormat="1" x14ac:dyDescent="0.2">
      <c r="A59" s="3"/>
      <c r="B59" s="523">
        <v>2044</v>
      </c>
      <c r="C59" s="1424">
        <v>141725.82701295713</v>
      </c>
      <c r="D59" s="1425">
        <v>6735.7755801832827</v>
      </c>
      <c r="E59" s="1425">
        <v>6972.1971367946244</v>
      </c>
      <c r="F59" s="1425">
        <v>20076.993625207426</v>
      </c>
      <c r="G59" s="1425">
        <v>25408.011523084395</v>
      </c>
      <c r="H59" s="1426">
        <v>7881.9412982750509</v>
      </c>
      <c r="I59" s="1361">
        <v>0</v>
      </c>
      <c r="J59" s="524">
        <v>0</v>
      </c>
      <c r="K59" s="524">
        <v>0</v>
      </c>
      <c r="L59" s="524">
        <v>0</v>
      </c>
      <c r="M59" s="1366">
        <v>0</v>
      </c>
      <c r="N59" s="1515">
        <v>7.4552802865813641</v>
      </c>
      <c r="O59" s="1446">
        <f t="shared" si="14"/>
        <v>8.7576172086762831</v>
      </c>
      <c r="P59" s="1446">
        <f t="shared" si="13"/>
        <v>8.8063159155415462</v>
      </c>
      <c r="Q59" s="1446">
        <v>9.489999480108148</v>
      </c>
      <c r="R59" s="1446">
        <v>20.095885356726619</v>
      </c>
      <c r="S59" s="1447">
        <v>10.937994046599632</v>
      </c>
      <c r="T59" s="1448">
        <v>1</v>
      </c>
      <c r="U59" s="1449">
        <v>1</v>
      </c>
      <c r="V59" s="1449">
        <v>1</v>
      </c>
      <c r="W59" s="1449">
        <v>21.672893178257613</v>
      </c>
      <c r="X59" s="1449">
        <v>1</v>
      </c>
      <c r="Y59" s="1450">
        <v>1</v>
      </c>
      <c r="Z59" s="1448">
        <v>0</v>
      </c>
      <c r="AA59" s="1449">
        <v>0</v>
      </c>
      <c r="AB59" s="1449">
        <v>0</v>
      </c>
      <c r="AC59" s="1449">
        <v>139.46440133739603</v>
      </c>
      <c r="AD59" s="1449">
        <v>248.93671131840642</v>
      </c>
      <c r="AE59" s="1450">
        <v>0</v>
      </c>
    </row>
    <row r="60" spans="1:31" s="232" customFormat="1" ht="13.5" thickBot="1" x14ac:dyDescent="0.25">
      <c r="A60" s="3"/>
      <c r="B60" s="525">
        <v>2045</v>
      </c>
      <c r="C60" s="1427">
        <v>141725.82701295713</v>
      </c>
      <c r="D60" s="1428">
        <v>6735.7755801832827</v>
      </c>
      <c r="E60" s="1428">
        <v>6972.1971367946244</v>
      </c>
      <c r="F60" s="1428">
        <v>19930.639468945999</v>
      </c>
      <c r="G60" s="1428">
        <v>24829.044084723457</v>
      </c>
      <c r="H60" s="1429">
        <v>7349.1973912661197</v>
      </c>
      <c r="I60" s="1362">
        <v>0</v>
      </c>
      <c r="J60" s="526">
        <v>0</v>
      </c>
      <c r="K60" s="526">
        <v>0</v>
      </c>
      <c r="L60" s="526">
        <v>0</v>
      </c>
      <c r="M60" s="1367">
        <v>0</v>
      </c>
      <c r="N60" s="1516">
        <v>7.4552968397219281</v>
      </c>
      <c r="O60" s="1452">
        <f t="shared" si="14"/>
        <v>8.7576366534272641</v>
      </c>
      <c r="P60" s="1452">
        <f t="shared" si="13"/>
        <v>8.8063354684194532</v>
      </c>
      <c r="Q60" s="1452">
        <v>9.5510276932430145</v>
      </c>
      <c r="R60" s="1452">
        <v>20.176028453602722</v>
      </c>
      <c r="S60" s="1453">
        <v>11.041283794643421</v>
      </c>
      <c r="T60" s="1454">
        <v>1</v>
      </c>
      <c r="U60" s="1455">
        <v>1</v>
      </c>
      <c r="V60" s="1455">
        <v>1</v>
      </c>
      <c r="W60" s="1455">
        <v>21.763764109988053</v>
      </c>
      <c r="X60" s="1455">
        <v>1</v>
      </c>
      <c r="Y60" s="1456">
        <v>1</v>
      </c>
      <c r="Z60" s="1454">
        <v>0</v>
      </c>
      <c r="AA60" s="1455">
        <v>0</v>
      </c>
      <c r="AB60" s="1455">
        <v>0</v>
      </c>
      <c r="AC60" s="1455">
        <v>139.55491655799878</v>
      </c>
      <c r="AD60" s="1455">
        <v>248.98024377598861</v>
      </c>
      <c r="AE60" s="1456">
        <v>0</v>
      </c>
    </row>
    <row r="61" spans="1:31" s="232" customFormat="1" x14ac:dyDescent="0.2">
      <c r="A61" s="3"/>
      <c r="B61" s="532">
        <v>2046</v>
      </c>
      <c r="C61" s="1421">
        <v>141725.82701295713</v>
      </c>
      <c r="D61" s="1422">
        <v>6735.7755801832827</v>
      </c>
      <c r="E61" s="1422">
        <v>6972.1971367946244</v>
      </c>
      <c r="F61" s="1422">
        <v>19784.285312684573</v>
      </c>
      <c r="G61" s="1422">
        <v>24250.076646362519</v>
      </c>
      <c r="H61" s="1423">
        <v>6816.4534842571884</v>
      </c>
      <c r="I61" s="1364">
        <v>0</v>
      </c>
      <c r="J61" s="533">
        <v>0</v>
      </c>
      <c r="K61" s="533">
        <v>0</v>
      </c>
      <c r="L61" s="533">
        <v>0</v>
      </c>
      <c r="M61" s="1369">
        <v>0</v>
      </c>
      <c r="N61" s="1514">
        <v>7.4553133928624931</v>
      </c>
      <c r="O61" s="1440">
        <f t="shared" si="14"/>
        <v>8.757656098178245</v>
      </c>
      <c r="P61" s="1440">
        <f t="shared" si="13"/>
        <v>8.8063550212973603</v>
      </c>
      <c r="Q61" s="1440">
        <v>9.6120561772885704</v>
      </c>
      <c r="R61" s="1440">
        <v>20.256171906167243</v>
      </c>
      <c r="S61" s="1441">
        <v>11.144574001251836</v>
      </c>
      <c r="T61" s="1442">
        <v>1</v>
      </c>
      <c r="U61" s="1443">
        <v>1</v>
      </c>
      <c r="V61" s="1443">
        <v>1</v>
      </c>
      <c r="W61" s="1443">
        <v>21.854635445029803</v>
      </c>
      <c r="X61" s="1443">
        <v>1</v>
      </c>
      <c r="Y61" s="1444">
        <v>1</v>
      </c>
      <c r="Z61" s="1442">
        <v>0</v>
      </c>
      <c r="AA61" s="1443">
        <v>0</v>
      </c>
      <c r="AB61" s="1443">
        <v>0</v>
      </c>
      <c r="AC61" s="1443">
        <v>139.64543177860153</v>
      </c>
      <c r="AD61" s="1443">
        <v>249.0237762335708</v>
      </c>
      <c r="AE61" s="1444">
        <v>0</v>
      </c>
    </row>
    <row r="62" spans="1:31" s="232" customFormat="1" x14ac:dyDescent="0.2">
      <c r="A62" s="3"/>
      <c r="B62" s="523">
        <v>2047</v>
      </c>
      <c r="C62" s="1424">
        <v>141725.82701295713</v>
      </c>
      <c r="D62" s="1425">
        <v>6735.7755801832827</v>
      </c>
      <c r="E62" s="1425">
        <v>6972.1971367946244</v>
      </c>
      <c r="F62" s="1425">
        <v>19637.931156423147</v>
      </c>
      <c r="G62" s="1425">
        <v>23671.109208001581</v>
      </c>
      <c r="H62" s="1426">
        <v>6283.7095772482571</v>
      </c>
      <c r="I62" s="1361">
        <v>0</v>
      </c>
      <c r="J62" s="524">
        <v>0</v>
      </c>
      <c r="K62" s="524">
        <v>0</v>
      </c>
      <c r="L62" s="524">
        <v>0</v>
      </c>
      <c r="M62" s="1366">
        <v>0</v>
      </c>
      <c r="N62" s="1515">
        <v>7.455329946003058</v>
      </c>
      <c r="O62" s="1446">
        <f t="shared" si="14"/>
        <v>8.7576755429292259</v>
      </c>
      <c r="P62" s="1446">
        <f t="shared" si="13"/>
        <v>8.8063745741752673</v>
      </c>
      <c r="Q62" s="1446">
        <v>9.6730849322448158</v>
      </c>
      <c r="R62" s="1446">
        <v>20.336315714420177</v>
      </c>
      <c r="S62" s="1447">
        <v>11.24786466642488</v>
      </c>
      <c r="T62" s="1448">
        <v>1</v>
      </c>
      <c r="U62" s="1449">
        <v>1</v>
      </c>
      <c r="V62" s="1449">
        <v>1</v>
      </c>
      <c r="W62" s="1449">
        <v>21.945507183382855</v>
      </c>
      <c r="X62" s="1449">
        <v>1</v>
      </c>
      <c r="Y62" s="1450">
        <v>1</v>
      </c>
      <c r="Z62" s="1448">
        <v>0</v>
      </c>
      <c r="AA62" s="1449">
        <v>0</v>
      </c>
      <c r="AB62" s="1449">
        <v>0</v>
      </c>
      <c r="AC62" s="1449">
        <v>139.73594699920429</v>
      </c>
      <c r="AD62" s="1449">
        <v>249.06730869115299</v>
      </c>
      <c r="AE62" s="1450">
        <v>0</v>
      </c>
    </row>
    <row r="63" spans="1:31" s="232" customFormat="1" x14ac:dyDescent="0.2">
      <c r="A63" s="3"/>
      <c r="B63" s="523">
        <v>2048</v>
      </c>
      <c r="C63" s="1424">
        <v>141725.82701295713</v>
      </c>
      <c r="D63" s="1425">
        <v>6735.7755801832827</v>
      </c>
      <c r="E63" s="1425">
        <v>6972.1971367946244</v>
      </c>
      <c r="F63" s="1425">
        <v>19491.57700016172</v>
      </c>
      <c r="G63" s="1425">
        <v>23092.141769640642</v>
      </c>
      <c r="H63" s="1426">
        <v>5750.9656702393258</v>
      </c>
      <c r="I63" s="1361">
        <v>0</v>
      </c>
      <c r="J63" s="524">
        <v>0</v>
      </c>
      <c r="K63" s="524">
        <v>0</v>
      </c>
      <c r="L63" s="524">
        <v>0</v>
      </c>
      <c r="M63" s="1366">
        <v>0</v>
      </c>
      <c r="N63" s="1515">
        <v>7.455346499143622</v>
      </c>
      <c r="O63" s="1446">
        <f t="shared" si="14"/>
        <v>8.7576949876802068</v>
      </c>
      <c r="P63" s="1446">
        <f t="shared" si="13"/>
        <v>8.8063941270531743</v>
      </c>
      <c r="Q63" s="1446">
        <v>9.7341139581117506</v>
      </c>
      <c r="R63" s="1446">
        <v>20.416459878361525</v>
      </c>
      <c r="S63" s="1447">
        <v>11.351155790162549</v>
      </c>
      <c r="T63" s="1448">
        <v>1</v>
      </c>
      <c r="U63" s="1449">
        <v>1</v>
      </c>
      <c r="V63" s="1449">
        <v>1</v>
      </c>
      <c r="W63" s="1449">
        <v>22.036379325047218</v>
      </c>
      <c r="X63" s="1449">
        <v>1</v>
      </c>
      <c r="Y63" s="1450">
        <v>1</v>
      </c>
      <c r="Z63" s="1448">
        <v>0</v>
      </c>
      <c r="AA63" s="1449">
        <v>0</v>
      </c>
      <c r="AB63" s="1449">
        <v>0</v>
      </c>
      <c r="AC63" s="1449">
        <v>139.82646221980704</v>
      </c>
      <c r="AD63" s="1449">
        <v>249.11084114873518</v>
      </c>
      <c r="AE63" s="1450">
        <v>0</v>
      </c>
    </row>
    <row r="64" spans="1:31" s="232" customFormat="1" x14ac:dyDescent="0.2">
      <c r="A64" s="3"/>
      <c r="B64" s="523">
        <v>2049</v>
      </c>
      <c r="C64" s="1424">
        <v>141725.82701295713</v>
      </c>
      <c r="D64" s="1425">
        <v>6735.7755801832827</v>
      </c>
      <c r="E64" s="1425">
        <v>6972.1971367946244</v>
      </c>
      <c r="F64" s="1425">
        <v>19345.222843900294</v>
      </c>
      <c r="G64" s="1425">
        <v>22513.174331279704</v>
      </c>
      <c r="H64" s="1426">
        <v>5218.2217632303946</v>
      </c>
      <c r="I64" s="1361">
        <v>0</v>
      </c>
      <c r="J64" s="524">
        <v>0</v>
      </c>
      <c r="K64" s="524">
        <v>0</v>
      </c>
      <c r="L64" s="524">
        <v>0</v>
      </c>
      <c r="M64" s="1366">
        <v>0</v>
      </c>
      <c r="N64" s="1515">
        <v>7.4553630522841861</v>
      </c>
      <c r="O64" s="1446">
        <f t="shared" si="14"/>
        <v>8.7577144324311877</v>
      </c>
      <c r="P64" s="1446">
        <f t="shared" si="13"/>
        <v>8.8064136799310795</v>
      </c>
      <c r="Q64" s="1446">
        <v>9.7951432548893731</v>
      </c>
      <c r="R64" s="1446">
        <v>20.496604397991288</v>
      </c>
      <c r="S64" s="1447">
        <v>11.454447372464848</v>
      </c>
      <c r="T64" s="1448">
        <v>1</v>
      </c>
      <c r="U64" s="1449">
        <v>1</v>
      </c>
      <c r="V64" s="1449">
        <v>1</v>
      </c>
      <c r="W64" s="1449">
        <v>22.127251870022885</v>
      </c>
      <c r="X64" s="1449">
        <v>1</v>
      </c>
      <c r="Y64" s="1450">
        <v>1</v>
      </c>
      <c r="Z64" s="1448">
        <v>0</v>
      </c>
      <c r="AA64" s="1449">
        <v>0</v>
      </c>
      <c r="AB64" s="1449">
        <v>0</v>
      </c>
      <c r="AC64" s="1449">
        <v>139.9169774404098</v>
      </c>
      <c r="AD64" s="1449">
        <v>249.15437360631736</v>
      </c>
      <c r="AE64" s="1450">
        <v>0</v>
      </c>
    </row>
    <row r="65" spans="1:31" s="232" customFormat="1" ht="13.5" thickBot="1" x14ac:dyDescent="0.25">
      <c r="A65" s="3"/>
      <c r="B65" s="525">
        <v>2050</v>
      </c>
      <c r="C65" s="1427">
        <v>141725.82701295713</v>
      </c>
      <c r="D65" s="1428">
        <v>6735.7755801832827</v>
      </c>
      <c r="E65" s="1428">
        <v>6972.1971367946244</v>
      </c>
      <c r="F65" s="1428">
        <v>19198.868687638751</v>
      </c>
      <c r="G65" s="1428">
        <v>21934.206892918737</v>
      </c>
      <c r="H65" s="1429">
        <v>4685.4778562216088</v>
      </c>
      <c r="I65" s="1362">
        <v>0</v>
      </c>
      <c r="J65" s="526">
        <v>0</v>
      </c>
      <c r="K65" s="526">
        <v>0</v>
      </c>
      <c r="L65" s="526">
        <v>0</v>
      </c>
      <c r="M65" s="1367">
        <v>0</v>
      </c>
      <c r="N65" s="1516">
        <v>7.455379605424751</v>
      </c>
      <c r="O65" s="1452">
        <f t="shared" si="14"/>
        <v>8.7577338771821687</v>
      </c>
      <c r="P65" s="1452">
        <f t="shared" si="13"/>
        <v>8.8064332328089865</v>
      </c>
      <c r="Q65" s="1463">
        <v>9.8561728225776744</v>
      </c>
      <c r="R65" s="1463">
        <v>20.576749273309449</v>
      </c>
      <c r="S65" s="1464">
        <v>11.557739413331781</v>
      </c>
      <c r="T65" s="1454">
        <v>1</v>
      </c>
      <c r="U65" s="1455">
        <v>1</v>
      </c>
      <c r="V65" s="1455">
        <v>1</v>
      </c>
      <c r="W65" s="1455">
        <v>22.218124818309839</v>
      </c>
      <c r="X65" s="1455">
        <v>1</v>
      </c>
      <c r="Y65" s="1456">
        <v>1</v>
      </c>
      <c r="Z65" s="1454">
        <v>0</v>
      </c>
      <c r="AA65" s="1455">
        <v>0</v>
      </c>
      <c r="AB65" s="1455">
        <v>0</v>
      </c>
      <c r="AC65" s="1455">
        <v>140.00749266101252</v>
      </c>
      <c r="AD65" s="1455">
        <v>249.19790606389955</v>
      </c>
      <c r="AE65" s="1456">
        <v>0</v>
      </c>
    </row>
    <row r="66" spans="1:31" s="232" customFormat="1" x14ac:dyDescent="0.2">
      <c r="A66" s="3"/>
      <c r="B66" s="230"/>
      <c r="C66" s="229"/>
      <c r="E66" s="2"/>
      <c r="F66" s="229"/>
      <c r="G66" s="5"/>
      <c r="H66" s="6"/>
      <c r="I66" s="747"/>
      <c r="J66" s="747"/>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1519"/>
      <c r="C68" s="9" t="s">
        <v>203</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247650</xdr:colOff>
                    <xdr:row>8</xdr:row>
                    <xdr:rowOff>123825</xdr:rowOff>
                  </from>
                  <to>
                    <xdr:col>19</xdr:col>
                    <xdr:colOff>476250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D1" zoomScaleNormal="100" workbookViewId="0">
      <selection activeCell="U26" sqref="U26"/>
    </sheetView>
  </sheetViews>
  <sheetFormatPr defaultColWidth="9.140625" defaultRowHeight="12.75" x14ac:dyDescent="0.2"/>
  <cols>
    <col min="1" max="1" width="1.5703125" style="496" customWidth="1"/>
    <col min="2" max="2" width="9.140625" style="496"/>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1:27" s="538" customFormat="1" ht="15.75" x14ac:dyDescent="0.25">
      <c r="B1" s="771" t="s">
        <v>153</v>
      </c>
      <c r="C1" s="772"/>
      <c r="D1" s="772"/>
      <c r="E1" s="773"/>
      <c r="F1" s="772"/>
      <c r="G1" s="773"/>
    </row>
    <row r="2" spans="1:27" ht="5.25" customHeight="1" x14ac:dyDescent="0.25">
      <c r="B2" s="499"/>
      <c r="C2" s="497"/>
      <c r="D2" s="497"/>
      <c r="F2" s="497"/>
    </row>
    <row r="3" spans="1:27" customFormat="1" x14ac:dyDescent="0.2">
      <c r="A3" s="3"/>
      <c r="B3" s="1" t="s">
        <v>228</v>
      </c>
      <c r="C3" s="3"/>
      <c r="D3" s="766" t="s">
        <v>229</v>
      </c>
      <c r="E3" s="1384">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5.75" thickBot="1" x14ac:dyDescent="0.3">
      <c r="B5" s="500" t="s">
        <v>74</v>
      </c>
      <c r="E5" s="496"/>
      <c r="G5" s="496"/>
      <c r="N5" s="501"/>
      <c r="O5" s="501"/>
    </row>
    <row r="6" spans="1:27" ht="24" customHeight="1" x14ac:dyDescent="0.2">
      <c r="B6" s="502"/>
      <c r="C6" s="503"/>
      <c r="D6" s="504"/>
      <c r="E6" s="504"/>
      <c r="F6" s="503"/>
      <c r="G6" s="503"/>
      <c r="H6" s="834"/>
      <c r="I6" s="603"/>
      <c r="J6" s="1541" t="s">
        <v>76</v>
      </c>
      <c r="K6" s="1542"/>
      <c r="L6" s="1532" t="s">
        <v>83</v>
      </c>
      <c r="M6" s="1533"/>
      <c r="N6" s="1532" t="s">
        <v>109</v>
      </c>
      <c r="O6" s="1533"/>
    </row>
    <row r="7" spans="1:27" ht="27" customHeight="1" thickBot="1" x14ac:dyDescent="0.3">
      <c r="B7" s="505"/>
      <c r="C7" s="602" t="s">
        <v>75</v>
      </c>
      <c r="D7" s="600"/>
      <c r="E7" s="601"/>
      <c r="F7" s="605" t="s">
        <v>212</v>
      </c>
      <c r="G7" s="605" t="s">
        <v>211</v>
      </c>
      <c r="H7" s="835" t="s">
        <v>265</v>
      </c>
      <c r="I7" s="604" t="s">
        <v>81</v>
      </c>
      <c r="J7" s="606" t="s">
        <v>284</v>
      </c>
      <c r="K7" s="607" t="s">
        <v>285</v>
      </c>
      <c r="L7" s="506" t="s">
        <v>113</v>
      </c>
      <c r="M7" s="507" t="s">
        <v>84</v>
      </c>
      <c r="N7" s="508" t="s">
        <v>95</v>
      </c>
      <c r="O7" s="509" t="s">
        <v>112</v>
      </c>
      <c r="P7" s="510"/>
    </row>
    <row r="8" spans="1:27" ht="13.5" thickTop="1" x14ac:dyDescent="0.2">
      <c r="B8" s="511" t="s">
        <v>69</v>
      </c>
      <c r="C8" s="1385" t="s">
        <v>184</v>
      </c>
      <c r="D8" s="1386"/>
      <c r="E8" s="1387"/>
      <c r="F8" s="1388" t="s">
        <v>5</v>
      </c>
      <c r="G8" s="1388" t="s">
        <v>230</v>
      </c>
      <c r="H8" s="894" t="b">
        <f>IF(AND(F8="Electricity",G8="N/A"),TRUE,FALSE)</f>
        <v>0</v>
      </c>
      <c r="I8" s="512"/>
      <c r="J8" s="513"/>
      <c r="K8" s="514"/>
      <c r="L8" s="515"/>
      <c r="M8" s="516"/>
      <c r="N8" s="1419">
        <v>0</v>
      </c>
      <c r="O8" s="1420">
        <v>350</v>
      </c>
      <c r="P8" s="517"/>
    </row>
    <row r="9" spans="1:27" x14ac:dyDescent="0.2">
      <c r="B9" s="518" t="s">
        <v>65</v>
      </c>
      <c r="C9" s="1389" t="s">
        <v>330</v>
      </c>
      <c r="D9" s="1390"/>
      <c r="E9" s="1391"/>
      <c r="F9" s="1392" t="s">
        <v>5</v>
      </c>
      <c r="G9" s="1392" t="s">
        <v>230</v>
      </c>
      <c r="H9" s="895" t="b">
        <f t="shared" ref="H9:H13" si="0">IF(AND(F9="Electricity",G9="N/A"),TRUE,FALSE)</f>
        <v>0</v>
      </c>
      <c r="I9" s="1400">
        <v>2021</v>
      </c>
      <c r="J9" s="1401">
        <v>0</v>
      </c>
      <c r="K9" s="1402">
        <v>0.5</v>
      </c>
      <c r="L9" s="1403">
        <v>5000</v>
      </c>
      <c r="M9" s="1404">
        <v>100</v>
      </c>
      <c r="N9" s="1405">
        <v>0</v>
      </c>
      <c r="O9" s="1406">
        <v>350</v>
      </c>
      <c r="R9" s="539"/>
    </row>
    <row r="10" spans="1:27" x14ac:dyDescent="0.2">
      <c r="B10" s="518" t="s">
        <v>66</v>
      </c>
      <c r="C10" s="1389" t="s">
        <v>322</v>
      </c>
      <c r="D10" s="1390"/>
      <c r="E10" s="1391"/>
      <c r="F10" s="1392" t="s">
        <v>5</v>
      </c>
      <c r="G10" s="1392" t="s">
        <v>230</v>
      </c>
      <c r="H10" s="895" t="b">
        <f t="shared" si="0"/>
        <v>0</v>
      </c>
      <c r="I10" s="1400">
        <v>2021</v>
      </c>
      <c r="J10" s="1401">
        <v>0</v>
      </c>
      <c r="K10" s="1402">
        <v>0.5</v>
      </c>
      <c r="L10" s="1403">
        <v>5000</v>
      </c>
      <c r="M10" s="1404">
        <v>100</v>
      </c>
      <c r="N10" s="1405">
        <v>0</v>
      </c>
      <c r="O10" s="1406">
        <v>350</v>
      </c>
    </row>
    <row r="11" spans="1:27" x14ac:dyDescent="0.2">
      <c r="B11" s="542" t="s">
        <v>67</v>
      </c>
      <c r="C11" s="1389" t="s">
        <v>323</v>
      </c>
      <c r="D11" s="1393"/>
      <c r="E11" s="1394"/>
      <c r="F11" s="1395" t="s">
        <v>5</v>
      </c>
      <c r="G11" s="1395" t="s">
        <v>230</v>
      </c>
      <c r="H11" s="896" t="b">
        <f t="shared" si="0"/>
        <v>0</v>
      </c>
      <c r="I11" s="1400">
        <v>2021</v>
      </c>
      <c r="J11" s="1520">
        <v>0</v>
      </c>
      <c r="K11" s="1407">
        <v>0.5</v>
      </c>
      <c r="L11" s="1408">
        <v>5000</v>
      </c>
      <c r="M11" s="1409">
        <v>100</v>
      </c>
      <c r="N11" s="1410">
        <v>0</v>
      </c>
      <c r="O11" s="1411">
        <v>350</v>
      </c>
      <c r="P11" s="497"/>
    </row>
    <row r="12" spans="1:27" x14ac:dyDescent="0.2">
      <c r="B12" s="542" t="s">
        <v>206</v>
      </c>
      <c r="C12" s="1389" t="s">
        <v>324</v>
      </c>
      <c r="D12" s="1393"/>
      <c r="E12" s="1394"/>
      <c r="F12" s="1395" t="s">
        <v>5</v>
      </c>
      <c r="G12" s="1395" t="s">
        <v>6</v>
      </c>
      <c r="H12" s="896" t="b">
        <f t="shared" si="0"/>
        <v>0</v>
      </c>
      <c r="I12" s="1400">
        <v>2021</v>
      </c>
      <c r="J12" s="1520">
        <v>0</v>
      </c>
      <c r="K12" s="1407">
        <v>0.5</v>
      </c>
      <c r="L12" s="1408">
        <v>5000</v>
      </c>
      <c r="M12" s="1409">
        <v>100</v>
      </c>
      <c r="N12" s="1410">
        <v>0</v>
      </c>
      <c r="O12" s="1411">
        <v>350</v>
      </c>
    </row>
    <row r="13" spans="1:27" ht="13.5" thickBot="1" x14ac:dyDescent="0.25">
      <c r="B13" s="519" t="s">
        <v>207</v>
      </c>
      <c r="C13" s="1396" t="s">
        <v>325</v>
      </c>
      <c r="D13" s="1397"/>
      <c r="E13" s="1398"/>
      <c r="F13" s="1399" t="s">
        <v>6</v>
      </c>
      <c r="G13" s="1399" t="s">
        <v>230</v>
      </c>
      <c r="H13" s="897" t="b">
        <f t="shared" si="0"/>
        <v>1</v>
      </c>
      <c r="I13" s="1412">
        <v>2021</v>
      </c>
      <c r="J13" s="1413">
        <v>0</v>
      </c>
      <c r="K13" s="1414">
        <v>0.5</v>
      </c>
      <c r="L13" s="1415">
        <v>5000</v>
      </c>
      <c r="M13" s="1416">
        <v>100</v>
      </c>
      <c r="N13" s="1417">
        <v>0</v>
      </c>
      <c r="O13" s="1418">
        <v>350</v>
      </c>
    </row>
    <row r="14" spans="1:27" ht="15.75" x14ac:dyDescent="0.25">
      <c r="B14" s="499"/>
      <c r="C14" s="496" t="s">
        <v>266</v>
      </c>
      <c r="D14" s="497"/>
      <c r="F14" s="497"/>
    </row>
    <row r="15" spans="1:27" ht="15.75" thickBot="1" x14ac:dyDescent="0.25">
      <c r="B15" s="520" t="s">
        <v>119</v>
      </c>
      <c r="C15" s="903"/>
      <c r="D15" s="497"/>
      <c r="F15" s="497"/>
    </row>
    <row r="16" spans="1:27" ht="13.5" thickBot="1" x14ac:dyDescent="0.25">
      <c r="B16" s="231"/>
      <c r="C16" s="4"/>
      <c r="D16" s="497"/>
      <c r="F16" s="497"/>
      <c r="T16" s="769" t="s">
        <v>231</v>
      </c>
      <c r="U16" s="496" t="s">
        <v>232</v>
      </c>
      <c r="Z16" s="902"/>
      <c r="AA16" s="496" t="s">
        <v>263</v>
      </c>
    </row>
    <row r="17" spans="2:31" x14ac:dyDescent="0.2">
      <c r="B17" s="231"/>
      <c r="C17" s="233"/>
      <c r="D17" s="497"/>
      <c r="F17" s="497"/>
      <c r="U17" s="496" t="s">
        <v>233</v>
      </c>
      <c r="Z17" s="232"/>
      <c r="AA17" s="496" t="s">
        <v>264</v>
      </c>
    </row>
    <row r="18" spans="2:31" ht="13.5" thickBot="1" x14ac:dyDescent="0.25">
      <c r="B18" s="230"/>
      <c r="C18" s="229"/>
    </row>
    <row r="19" spans="2:31" ht="16.5" thickBot="1" x14ac:dyDescent="0.3">
      <c r="B19" s="748"/>
      <c r="C19" s="1534" t="s">
        <v>222</v>
      </c>
      <c r="D19" s="1535"/>
      <c r="E19" s="1535"/>
      <c r="F19" s="1535"/>
      <c r="G19" s="1535"/>
      <c r="H19" s="1535"/>
      <c r="I19" s="1535" t="s">
        <v>223</v>
      </c>
      <c r="J19" s="1535"/>
      <c r="K19" s="1535"/>
      <c r="L19" s="1535"/>
      <c r="M19" s="1536"/>
      <c r="N19" s="1537" t="s">
        <v>224</v>
      </c>
      <c r="O19" s="1538"/>
      <c r="P19" s="1538"/>
      <c r="Q19" s="1538"/>
      <c r="R19" s="1538"/>
      <c r="S19" s="1539"/>
      <c r="T19" s="1537" t="s">
        <v>225</v>
      </c>
      <c r="U19" s="1538"/>
      <c r="V19" s="1538"/>
      <c r="W19" s="1538"/>
      <c r="X19" s="1538"/>
      <c r="Y19" s="1539"/>
      <c r="Z19" s="1537" t="s">
        <v>227</v>
      </c>
      <c r="AA19" s="1538"/>
      <c r="AB19" s="1538"/>
      <c r="AC19" s="1538"/>
      <c r="AD19" s="1538"/>
      <c r="AE19" s="1539"/>
    </row>
    <row r="20" spans="2:31" ht="13.5" thickBot="1" x14ac:dyDescent="0.25">
      <c r="B20" s="760" t="s">
        <v>226</v>
      </c>
      <c r="C20" s="763" t="s">
        <v>69</v>
      </c>
      <c r="D20" s="749" t="s">
        <v>65</v>
      </c>
      <c r="E20" s="750" t="s">
        <v>66</v>
      </c>
      <c r="F20" s="749" t="s">
        <v>67</v>
      </c>
      <c r="G20" s="750" t="s">
        <v>206</v>
      </c>
      <c r="H20" s="749" t="s">
        <v>207</v>
      </c>
      <c r="I20" s="749" t="s">
        <v>65</v>
      </c>
      <c r="J20" s="750" t="s">
        <v>66</v>
      </c>
      <c r="K20" s="749" t="s">
        <v>67</v>
      </c>
      <c r="L20" s="750" t="s">
        <v>206</v>
      </c>
      <c r="M20" s="764" t="s">
        <v>207</v>
      </c>
      <c r="N20" s="765" t="s">
        <v>69</v>
      </c>
      <c r="O20" s="751" t="s">
        <v>65</v>
      </c>
      <c r="P20" s="752" t="s">
        <v>66</v>
      </c>
      <c r="Q20" s="751" t="s">
        <v>67</v>
      </c>
      <c r="R20" s="752" t="s">
        <v>206</v>
      </c>
      <c r="S20" s="751" t="s">
        <v>207</v>
      </c>
      <c r="T20" s="751" t="s">
        <v>69</v>
      </c>
      <c r="U20" s="751" t="s">
        <v>65</v>
      </c>
      <c r="V20" s="752" t="s">
        <v>66</v>
      </c>
      <c r="W20" s="751" t="s">
        <v>67</v>
      </c>
      <c r="X20" s="752" t="s">
        <v>206</v>
      </c>
      <c r="Y20" s="753" t="s">
        <v>207</v>
      </c>
      <c r="Z20" s="751" t="s">
        <v>69</v>
      </c>
      <c r="AA20" s="751" t="s">
        <v>65</v>
      </c>
      <c r="AB20" s="752" t="s">
        <v>66</v>
      </c>
      <c r="AC20" s="751" t="s">
        <v>67</v>
      </c>
      <c r="AD20" s="752" t="s">
        <v>206</v>
      </c>
      <c r="AE20" s="753" t="s">
        <v>207</v>
      </c>
    </row>
    <row r="21" spans="2:31" ht="13.5" thickBot="1" x14ac:dyDescent="0.25">
      <c r="B21" s="761" t="s">
        <v>3</v>
      </c>
      <c r="C21" s="762"/>
      <c r="D21" s="1523" t="str">
        <f>INDEX($C$9:$C$13,MATCH(D20,$B$9:$B$13,0))</f>
        <v>Adv Conv</v>
      </c>
      <c r="E21" s="1523" t="str">
        <f t="shared" ref="E21:H21" si="1">INDEX($C$9:$C$13,MATCH(E20,$B$9:$B$13,0))</f>
        <v>ISG</v>
      </c>
      <c r="F21" s="1523" t="str">
        <f t="shared" si="1"/>
        <v>HEV</v>
      </c>
      <c r="G21" s="1523" t="str">
        <f t="shared" si="1"/>
        <v>PHEV</v>
      </c>
      <c r="H21" s="1524" t="str">
        <f t="shared" si="1"/>
        <v>BEV</v>
      </c>
      <c r="I21" s="1436">
        <v>0</v>
      </c>
      <c r="J21" s="1437">
        <v>0</v>
      </c>
      <c r="K21" s="1437">
        <v>0</v>
      </c>
      <c r="L21" s="1437">
        <v>0</v>
      </c>
      <c r="M21" s="1438">
        <v>0</v>
      </c>
      <c r="N21" s="754"/>
      <c r="O21" s="1523" t="str">
        <f>INDEX($C$9:$C$13,MATCH(O20,$B$9:$B$13,0))</f>
        <v>Adv Conv</v>
      </c>
      <c r="P21" s="1523" t="str">
        <f t="shared" ref="P21:S21" si="2">INDEX($C$9:$C$13,MATCH(P20,$B$9:$B$13,0))</f>
        <v>ISG</v>
      </c>
      <c r="Q21" s="1523" t="str">
        <f t="shared" si="2"/>
        <v>HEV</v>
      </c>
      <c r="R21" s="1523" t="str">
        <f t="shared" si="2"/>
        <v>PHEV</v>
      </c>
      <c r="S21" s="1524" t="str">
        <f t="shared" si="2"/>
        <v>BEV</v>
      </c>
      <c r="T21" s="755"/>
      <c r="U21" s="1523" t="str">
        <f>INDEX($C$9:$C$13,MATCH(U20,$B$9:$B$13,0))</f>
        <v>Adv Conv</v>
      </c>
      <c r="V21" s="1523" t="str">
        <f t="shared" ref="V21:Y21" si="3">INDEX($C$9:$C$13,MATCH(V20,$B$9:$B$13,0))</f>
        <v>ISG</v>
      </c>
      <c r="W21" s="1523" t="str">
        <f t="shared" si="3"/>
        <v>HEV</v>
      </c>
      <c r="X21" s="1523" t="str">
        <f t="shared" si="3"/>
        <v>PHEV</v>
      </c>
      <c r="Y21" s="1524" t="str">
        <f t="shared" si="3"/>
        <v>BEV</v>
      </c>
      <c r="Z21" s="754"/>
      <c r="AA21" s="1523" t="str">
        <f>INDEX($C$9:$C$13,MATCH(AA20,$B$9:$B$13,0))</f>
        <v>Adv Conv</v>
      </c>
      <c r="AB21" s="1523" t="str">
        <f t="shared" ref="AB21:AE21" si="4">INDEX($C$9:$C$13,MATCH(AB20,$B$9:$B$13,0))</f>
        <v>ISG</v>
      </c>
      <c r="AC21" s="1523" t="str">
        <f t="shared" si="4"/>
        <v>HEV</v>
      </c>
      <c r="AD21" s="1523" t="str">
        <f t="shared" si="4"/>
        <v>PHEV</v>
      </c>
      <c r="AE21" s="1524" t="str">
        <f t="shared" si="4"/>
        <v>BEV</v>
      </c>
    </row>
    <row r="22" spans="2:31" x14ac:dyDescent="0.2">
      <c r="B22" s="527">
        <v>2007</v>
      </c>
      <c r="C22" s="1421">
        <v>96771.806566877567</v>
      </c>
      <c r="D22" s="1422">
        <f t="shared" ref="D22:H24" si="5">D23</f>
        <v>1000000</v>
      </c>
      <c r="E22" s="1422">
        <f t="shared" si="5"/>
        <v>1000000</v>
      </c>
      <c r="F22" s="1422">
        <f t="shared" si="5"/>
        <v>1000000</v>
      </c>
      <c r="G22" s="1422">
        <f t="shared" si="5"/>
        <v>1000000</v>
      </c>
      <c r="H22" s="1423">
        <f t="shared" si="5"/>
        <v>1000000</v>
      </c>
      <c r="I22" s="1360">
        <v>0</v>
      </c>
      <c r="J22" s="528">
        <v>0</v>
      </c>
      <c r="K22" s="528">
        <v>0</v>
      </c>
      <c r="L22" s="528">
        <v>0</v>
      </c>
      <c r="M22" s="1365">
        <v>0</v>
      </c>
      <c r="N22" s="1514">
        <v>5.8642619111794092</v>
      </c>
      <c r="O22" s="1440">
        <f t="shared" ref="O22:W24" si="6">O23</f>
        <v>1</v>
      </c>
      <c r="P22" s="1440">
        <f t="shared" si="6"/>
        <v>1</v>
      </c>
      <c r="Q22" s="1440">
        <f t="shared" si="6"/>
        <v>1</v>
      </c>
      <c r="R22" s="1440">
        <f t="shared" si="6"/>
        <v>1</v>
      </c>
      <c r="S22" s="1441">
        <f t="shared" si="6"/>
        <v>1</v>
      </c>
      <c r="T22" s="1442">
        <f t="shared" si="6"/>
        <v>1</v>
      </c>
      <c r="U22" s="1443">
        <f t="shared" si="6"/>
        <v>1</v>
      </c>
      <c r="V22" s="1443">
        <f t="shared" si="6"/>
        <v>1</v>
      </c>
      <c r="W22" s="1443">
        <f t="shared" si="6"/>
        <v>1</v>
      </c>
      <c r="X22" s="1443">
        <f t="shared" ref="X22:AE24" si="7">X23</f>
        <v>1</v>
      </c>
      <c r="Y22" s="1444">
        <f t="shared" si="7"/>
        <v>1</v>
      </c>
      <c r="Z22" s="1442">
        <f t="shared" si="7"/>
        <v>0</v>
      </c>
      <c r="AA22" s="1443">
        <f t="shared" si="7"/>
        <v>0</v>
      </c>
      <c r="AB22" s="1443">
        <f t="shared" si="7"/>
        <v>0</v>
      </c>
      <c r="AC22" s="1443">
        <f t="shared" si="7"/>
        <v>0</v>
      </c>
      <c r="AD22" s="1443">
        <f t="shared" si="7"/>
        <v>0</v>
      </c>
      <c r="AE22" s="1444">
        <f t="shared" si="7"/>
        <v>0</v>
      </c>
    </row>
    <row r="23" spans="2:31" x14ac:dyDescent="0.2">
      <c r="B23" s="523">
        <v>2008</v>
      </c>
      <c r="C23" s="1424">
        <v>96771.806566877567</v>
      </c>
      <c r="D23" s="1425">
        <f t="shared" si="5"/>
        <v>1000000</v>
      </c>
      <c r="E23" s="1425">
        <f t="shared" si="5"/>
        <v>1000000</v>
      </c>
      <c r="F23" s="1425">
        <f t="shared" si="5"/>
        <v>1000000</v>
      </c>
      <c r="G23" s="1425">
        <f t="shared" si="5"/>
        <v>1000000</v>
      </c>
      <c r="H23" s="1426">
        <f t="shared" si="5"/>
        <v>1000000</v>
      </c>
      <c r="I23" s="1361">
        <v>0</v>
      </c>
      <c r="J23" s="524">
        <v>0</v>
      </c>
      <c r="K23" s="524">
        <v>0</v>
      </c>
      <c r="L23" s="524">
        <v>0</v>
      </c>
      <c r="M23" s="1366">
        <v>0</v>
      </c>
      <c r="N23" s="1515">
        <v>5.8642619111794092</v>
      </c>
      <c r="O23" s="1446">
        <f t="shared" si="6"/>
        <v>1</v>
      </c>
      <c r="P23" s="1446">
        <f t="shared" si="6"/>
        <v>1</v>
      </c>
      <c r="Q23" s="1446">
        <f t="shared" si="6"/>
        <v>1</v>
      </c>
      <c r="R23" s="1446">
        <f t="shared" si="6"/>
        <v>1</v>
      </c>
      <c r="S23" s="1447">
        <f t="shared" si="6"/>
        <v>1</v>
      </c>
      <c r="T23" s="1448">
        <f t="shared" si="6"/>
        <v>1</v>
      </c>
      <c r="U23" s="1449">
        <f t="shared" si="6"/>
        <v>1</v>
      </c>
      <c r="V23" s="1449">
        <f t="shared" si="6"/>
        <v>1</v>
      </c>
      <c r="W23" s="1449">
        <f t="shared" si="6"/>
        <v>1</v>
      </c>
      <c r="X23" s="1449">
        <f t="shared" si="7"/>
        <v>1</v>
      </c>
      <c r="Y23" s="1450">
        <f t="shared" si="7"/>
        <v>1</v>
      </c>
      <c r="Z23" s="1448">
        <f t="shared" si="7"/>
        <v>0</v>
      </c>
      <c r="AA23" s="1449">
        <f t="shared" si="7"/>
        <v>0</v>
      </c>
      <c r="AB23" s="1449">
        <f t="shared" si="7"/>
        <v>0</v>
      </c>
      <c r="AC23" s="1449">
        <f t="shared" si="7"/>
        <v>0</v>
      </c>
      <c r="AD23" s="1449">
        <f t="shared" si="7"/>
        <v>0</v>
      </c>
      <c r="AE23" s="1450">
        <f t="shared" si="7"/>
        <v>0</v>
      </c>
    </row>
    <row r="24" spans="2:31" x14ac:dyDescent="0.2">
      <c r="B24" s="523">
        <v>2009</v>
      </c>
      <c r="C24" s="1424">
        <v>96771.806566877567</v>
      </c>
      <c r="D24" s="1425">
        <f t="shared" si="5"/>
        <v>1000000</v>
      </c>
      <c r="E24" s="1425">
        <f t="shared" si="5"/>
        <v>1000000</v>
      </c>
      <c r="F24" s="1425">
        <f t="shared" si="5"/>
        <v>1000000</v>
      </c>
      <c r="G24" s="1425">
        <f t="shared" si="5"/>
        <v>1000000</v>
      </c>
      <c r="H24" s="1426">
        <f t="shared" si="5"/>
        <v>1000000</v>
      </c>
      <c r="I24" s="1361">
        <v>0</v>
      </c>
      <c r="J24" s="524">
        <v>0</v>
      </c>
      <c r="K24" s="524">
        <v>0</v>
      </c>
      <c r="L24" s="524">
        <v>0</v>
      </c>
      <c r="M24" s="1366">
        <v>0</v>
      </c>
      <c r="N24" s="1515">
        <v>5.8642619111794092</v>
      </c>
      <c r="O24" s="1446">
        <f t="shared" si="6"/>
        <v>1</v>
      </c>
      <c r="P24" s="1446">
        <f t="shared" si="6"/>
        <v>1</v>
      </c>
      <c r="Q24" s="1446">
        <f t="shared" si="6"/>
        <v>1</v>
      </c>
      <c r="R24" s="1446">
        <f t="shared" si="6"/>
        <v>1</v>
      </c>
      <c r="S24" s="1447">
        <f t="shared" si="6"/>
        <v>1</v>
      </c>
      <c r="T24" s="1448">
        <f t="shared" si="6"/>
        <v>1</v>
      </c>
      <c r="U24" s="1449">
        <f t="shared" si="6"/>
        <v>1</v>
      </c>
      <c r="V24" s="1449">
        <f t="shared" si="6"/>
        <v>1</v>
      </c>
      <c r="W24" s="1449">
        <f t="shared" si="6"/>
        <v>1</v>
      </c>
      <c r="X24" s="1449">
        <f t="shared" si="7"/>
        <v>1</v>
      </c>
      <c r="Y24" s="1450">
        <f t="shared" si="7"/>
        <v>1</v>
      </c>
      <c r="Z24" s="1448">
        <f t="shared" si="7"/>
        <v>0</v>
      </c>
      <c r="AA24" s="1449">
        <f t="shared" si="7"/>
        <v>0</v>
      </c>
      <c r="AB24" s="1449">
        <f t="shared" si="7"/>
        <v>0</v>
      </c>
      <c r="AC24" s="1449">
        <f t="shared" si="7"/>
        <v>0</v>
      </c>
      <c r="AD24" s="1449">
        <f t="shared" si="7"/>
        <v>0</v>
      </c>
      <c r="AE24" s="1450">
        <f t="shared" si="7"/>
        <v>0</v>
      </c>
    </row>
    <row r="25" spans="2:31" ht="13.5" thickBot="1" x14ac:dyDescent="0.25">
      <c r="B25" s="525">
        <v>2010</v>
      </c>
      <c r="C25" s="1427">
        <v>96771.806566877567</v>
      </c>
      <c r="D25" s="1428">
        <f t="shared" ref="D25:D33" si="8">D26</f>
        <v>1000000</v>
      </c>
      <c r="E25" s="1428">
        <f t="shared" ref="E25:E33" si="9">E26</f>
        <v>1000000</v>
      </c>
      <c r="F25" s="1428">
        <f t="shared" ref="F25:F33" si="10">F26</f>
        <v>1000000</v>
      </c>
      <c r="G25" s="1428">
        <f t="shared" ref="G25:G33" si="11">G26</f>
        <v>1000000</v>
      </c>
      <c r="H25" s="1429">
        <f t="shared" ref="H25:H33" si="12">H26</f>
        <v>1000000</v>
      </c>
      <c r="I25" s="1362">
        <v>0</v>
      </c>
      <c r="J25" s="526">
        <v>0</v>
      </c>
      <c r="K25" s="526">
        <v>0</v>
      </c>
      <c r="L25" s="526">
        <v>0</v>
      </c>
      <c r="M25" s="1367">
        <v>0</v>
      </c>
      <c r="N25" s="1516">
        <v>6.052867043708523</v>
      </c>
      <c r="O25" s="1452">
        <f t="shared" ref="O25:O33" si="13">O26</f>
        <v>1</v>
      </c>
      <c r="P25" s="1452">
        <f t="shared" ref="P25:P33" si="14">P26</f>
        <v>1</v>
      </c>
      <c r="Q25" s="1452">
        <f t="shared" ref="Q25:Q33" si="15">Q26</f>
        <v>1</v>
      </c>
      <c r="R25" s="1452">
        <f t="shared" ref="R25:R33" si="16">R26</f>
        <v>1</v>
      </c>
      <c r="S25" s="1453">
        <f t="shared" ref="S25:S33" si="17">S26</f>
        <v>1</v>
      </c>
      <c r="T25" s="1454">
        <v>1</v>
      </c>
      <c r="U25" s="1455">
        <f t="shared" ref="U25:U33" si="18">U26</f>
        <v>1</v>
      </c>
      <c r="V25" s="1455">
        <f t="shared" ref="V25:V33" si="19">V26</f>
        <v>1</v>
      </c>
      <c r="W25" s="1455">
        <f t="shared" ref="W25:W33" si="20">W26</f>
        <v>1</v>
      </c>
      <c r="X25" s="1455">
        <f t="shared" ref="X25:X33" si="21">X26</f>
        <v>1</v>
      </c>
      <c r="Y25" s="1456">
        <f t="shared" ref="Y25:Y34" si="22">Y26</f>
        <v>1</v>
      </c>
      <c r="Z25" s="1454">
        <v>0</v>
      </c>
      <c r="AA25" s="1455">
        <f t="shared" ref="AA25:AA33" si="23">AA26</f>
        <v>0</v>
      </c>
      <c r="AB25" s="1455">
        <f t="shared" ref="AB25:AB33" si="24">AB26</f>
        <v>0</v>
      </c>
      <c r="AC25" s="1455">
        <f t="shared" ref="AC25:AC33" si="25">AC26</f>
        <v>0</v>
      </c>
      <c r="AD25" s="1455">
        <f t="shared" ref="AD25:AD33" si="26">AD26</f>
        <v>0</v>
      </c>
      <c r="AE25" s="1456">
        <f t="shared" ref="AE25:AE33" si="27">AE26</f>
        <v>0</v>
      </c>
    </row>
    <row r="26" spans="2:31" x14ac:dyDescent="0.2">
      <c r="B26" s="527">
        <v>2011</v>
      </c>
      <c r="C26" s="1430">
        <v>96771.806566877567</v>
      </c>
      <c r="D26" s="1431">
        <f t="shared" si="8"/>
        <v>1000000</v>
      </c>
      <c r="E26" s="1431">
        <f t="shared" si="9"/>
        <v>1000000</v>
      </c>
      <c r="F26" s="1431">
        <f t="shared" si="10"/>
        <v>1000000</v>
      </c>
      <c r="G26" s="1431">
        <f t="shared" si="11"/>
        <v>1000000</v>
      </c>
      <c r="H26" s="1432">
        <f t="shared" si="12"/>
        <v>1000000</v>
      </c>
      <c r="I26" s="1360">
        <v>0</v>
      </c>
      <c r="J26" s="528">
        <v>0</v>
      </c>
      <c r="K26" s="528">
        <v>0</v>
      </c>
      <c r="L26" s="528">
        <v>0</v>
      </c>
      <c r="M26" s="1365">
        <v>0</v>
      </c>
      <c r="N26" s="1517">
        <v>6.1303718963155642</v>
      </c>
      <c r="O26" s="1458">
        <f t="shared" si="13"/>
        <v>1</v>
      </c>
      <c r="P26" s="1458">
        <f t="shared" si="14"/>
        <v>1</v>
      </c>
      <c r="Q26" s="1458">
        <f t="shared" si="15"/>
        <v>1</v>
      </c>
      <c r="R26" s="1458">
        <f t="shared" si="16"/>
        <v>1</v>
      </c>
      <c r="S26" s="1459">
        <f t="shared" si="17"/>
        <v>1</v>
      </c>
      <c r="T26" s="1460">
        <v>1</v>
      </c>
      <c r="U26" s="1461">
        <f t="shared" si="18"/>
        <v>1</v>
      </c>
      <c r="V26" s="1461">
        <f t="shared" si="19"/>
        <v>1</v>
      </c>
      <c r="W26" s="1461">
        <f t="shared" si="20"/>
        <v>1</v>
      </c>
      <c r="X26" s="1461">
        <f t="shared" si="21"/>
        <v>1</v>
      </c>
      <c r="Y26" s="1462">
        <f t="shared" si="22"/>
        <v>1</v>
      </c>
      <c r="Z26" s="1460">
        <v>0</v>
      </c>
      <c r="AA26" s="1461">
        <f t="shared" si="23"/>
        <v>0</v>
      </c>
      <c r="AB26" s="1461">
        <f t="shared" si="24"/>
        <v>0</v>
      </c>
      <c r="AC26" s="1461">
        <f t="shared" si="25"/>
        <v>0</v>
      </c>
      <c r="AD26" s="1461">
        <f t="shared" si="26"/>
        <v>0</v>
      </c>
      <c r="AE26" s="1462">
        <f t="shared" si="27"/>
        <v>0</v>
      </c>
    </row>
    <row r="27" spans="2:31" x14ac:dyDescent="0.2">
      <c r="B27" s="523">
        <v>2012</v>
      </c>
      <c r="C27" s="1424">
        <v>96771.806566877567</v>
      </c>
      <c r="D27" s="1425">
        <f t="shared" si="8"/>
        <v>1000000</v>
      </c>
      <c r="E27" s="1425">
        <f t="shared" si="9"/>
        <v>1000000</v>
      </c>
      <c r="F27" s="1425">
        <f t="shared" si="10"/>
        <v>1000000</v>
      </c>
      <c r="G27" s="1425">
        <f t="shared" si="11"/>
        <v>1000000</v>
      </c>
      <c r="H27" s="1426">
        <f t="shared" si="12"/>
        <v>1000000</v>
      </c>
      <c r="I27" s="1361">
        <v>0</v>
      </c>
      <c r="J27" s="524">
        <v>0</v>
      </c>
      <c r="K27" s="524">
        <v>0</v>
      </c>
      <c r="L27" s="524">
        <v>0</v>
      </c>
      <c r="M27" s="1366">
        <v>0</v>
      </c>
      <c r="N27" s="1515">
        <v>6.1630746462831922</v>
      </c>
      <c r="O27" s="1446">
        <f t="shared" si="13"/>
        <v>1</v>
      </c>
      <c r="P27" s="1446">
        <f t="shared" si="14"/>
        <v>1</v>
      </c>
      <c r="Q27" s="1446">
        <f t="shared" si="15"/>
        <v>1</v>
      </c>
      <c r="R27" s="1446">
        <f t="shared" si="16"/>
        <v>1</v>
      </c>
      <c r="S27" s="1447">
        <f t="shared" si="17"/>
        <v>1</v>
      </c>
      <c r="T27" s="1448">
        <v>1</v>
      </c>
      <c r="U27" s="1449">
        <f t="shared" si="18"/>
        <v>1</v>
      </c>
      <c r="V27" s="1449">
        <f t="shared" si="19"/>
        <v>1</v>
      </c>
      <c r="W27" s="1449">
        <f t="shared" si="20"/>
        <v>1</v>
      </c>
      <c r="X27" s="1449">
        <f t="shared" si="21"/>
        <v>1</v>
      </c>
      <c r="Y27" s="1450">
        <f t="shared" si="22"/>
        <v>1</v>
      </c>
      <c r="Z27" s="1448">
        <v>0</v>
      </c>
      <c r="AA27" s="1449">
        <f t="shared" si="23"/>
        <v>0</v>
      </c>
      <c r="AB27" s="1449">
        <f t="shared" si="24"/>
        <v>0</v>
      </c>
      <c r="AC27" s="1449">
        <f t="shared" si="25"/>
        <v>0</v>
      </c>
      <c r="AD27" s="1449">
        <f t="shared" si="26"/>
        <v>0</v>
      </c>
      <c r="AE27" s="1450">
        <f t="shared" si="27"/>
        <v>0</v>
      </c>
    </row>
    <row r="28" spans="2:31" x14ac:dyDescent="0.2">
      <c r="B28" s="523">
        <v>2013</v>
      </c>
      <c r="C28" s="1424">
        <v>96771.806566877567</v>
      </c>
      <c r="D28" s="1425">
        <f t="shared" si="8"/>
        <v>1000000</v>
      </c>
      <c r="E28" s="1425">
        <f t="shared" si="9"/>
        <v>1000000</v>
      </c>
      <c r="F28" s="1425">
        <f t="shared" si="10"/>
        <v>1000000</v>
      </c>
      <c r="G28" s="1425">
        <f t="shared" si="11"/>
        <v>1000000</v>
      </c>
      <c r="H28" s="1426">
        <f t="shared" si="12"/>
        <v>1000000</v>
      </c>
      <c r="I28" s="1361">
        <v>0</v>
      </c>
      <c r="J28" s="524">
        <v>0</v>
      </c>
      <c r="K28" s="524">
        <v>0</v>
      </c>
      <c r="L28" s="524">
        <v>0</v>
      </c>
      <c r="M28" s="1366">
        <v>0</v>
      </c>
      <c r="N28" s="1515">
        <v>6.2217527283520475</v>
      </c>
      <c r="O28" s="1446">
        <f t="shared" si="13"/>
        <v>1</v>
      </c>
      <c r="P28" s="1446">
        <f t="shared" si="14"/>
        <v>1</v>
      </c>
      <c r="Q28" s="1446">
        <f t="shared" si="15"/>
        <v>1</v>
      </c>
      <c r="R28" s="1446">
        <f t="shared" si="16"/>
        <v>1</v>
      </c>
      <c r="S28" s="1447">
        <f t="shared" si="17"/>
        <v>1</v>
      </c>
      <c r="T28" s="1448">
        <v>1</v>
      </c>
      <c r="U28" s="1449">
        <f t="shared" si="18"/>
        <v>1</v>
      </c>
      <c r="V28" s="1449">
        <f t="shared" si="19"/>
        <v>1</v>
      </c>
      <c r="W28" s="1449">
        <f t="shared" si="20"/>
        <v>1</v>
      </c>
      <c r="X28" s="1449">
        <f t="shared" si="21"/>
        <v>1</v>
      </c>
      <c r="Y28" s="1450">
        <f t="shared" si="22"/>
        <v>1</v>
      </c>
      <c r="Z28" s="1448">
        <v>0</v>
      </c>
      <c r="AA28" s="1449">
        <f t="shared" si="23"/>
        <v>0</v>
      </c>
      <c r="AB28" s="1449">
        <f t="shared" si="24"/>
        <v>0</v>
      </c>
      <c r="AC28" s="1449">
        <f t="shared" si="25"/>
        <v>0</v>
      </c>
      <c r="AD28" s="1449">
        <f t="shared" si="26"/>
        <v>0</v>
      </c>
      <c r="AE28" s="1450">
        <f t="shared" si="27"/>
        <v>0</v>
      </c>
    </row>
    <row r="29" spans="2:31" x14ac:dyDescent="0.2">
      <c r="B29" s="523">
        <v>2014</v>
      </c>
      <c r="C29" s="1424">
        <v>96771.806566877567</v>
      </c>
      <c r="D29" s="1425">
        <f t="shared" si="8"/>
        <v>1000000</v>
      </c>
      <c r="E29" s="1425">
        <f t="shared" si="9"/>
        <v>1000000</v>
      </c>
      <c r="F29" s="1425">
        <f t="shared" si="10"/>
        <v>1000000</v>
      </c>
      <c r="G29" s="1425">
        <f t="shared" si="11"/>
        <v>1000000</v>
      </c>
      <c r="H29" s="1426">
        <f t="shared" si="12"/>
        <v>1000000</v>
      </c>
      <c r="I29" s="1361">
        <v>0</v>
      </c>
      <c r="J29" s="524">
        <v>0</v>
      </c>
      <c r="K29" s="524">
        <v>0</v>
      </c>
      <c r="L29" s="524">
        <v>0</v>
      </c>
      <c r="M29" s="1366">
        <v>0</v>
      </c>
      <c r="N29" s="1515">
        <v>6.271565642860951</v>
      </c>
      <c r="O29" s="1446">
        <f t="shared" si="13"/>
        <v>1</v>
      </c>
      <c r="P29" s="1446">
        <f t="shared" si="14"/>
        <v>1</v>
      </c>
      <c r="Q29" s="1446">
        <f t="shared" si="15"/>
        <v>1</v>
      </c>
      <c r="R29" s="1446">
        <f t="shared" si="16"/>
        <v>1</v>
      </c>
      <c r="S29" s="1447">
        <f t="shared" si="17"/>
        <v>1</v>
      </c>
      <c r="T29" s="1448">
        <v>1</v>
      </c>
      <c r="U29" s="1449">
        <f t="shared" si="18"/>
        <v>1</v>
      </c>
      <c r="V29" s="1449">
        <f t="shared" si="19"/>
        <v>1</v>
      </c>
      <c r="W29" s="1449">
        <f t="shared" si="20"/>
        <v>1</v>
      </c>
      <c r="X29" s="1449">
        <f t="shared" si="21"/>
        <v>1</v>
      </c>
      <c r="Y29" s="1450">
        <f t="shared" si="22"/>
        <v>1</v>
      </c>
      <c r="Z29" s="1448">
        <v>0</v>
      </c>
      <c r="AA29" s="1449">
        <f t="shared" si="23"/>
        <v>0</v>
      </c>
      <c r="AB29" s="1449">
        <f t="shared" si="24"/>
        <v>0</v>
      </c>
      <c r="AC29" s="1449">
        <f t="shared" si="25"/>
        <v>0</v>
      </c>
      <c r="AD29" s="1449">
        <f t="shared" si="26"/>
        <v>0</v>
      </c>
      <c r="AE29" s="1450">
        <f t="shared" si="27"/>
        <v>0</v>
      </c>
    </row>
    <row r="30" spans="2:31" ht="13.5" thickBot="1" x14ac:dyDescent="0.25">
      <c r="B30" s="525">
        <v>2015</v>
      </c>
      <c r="C30" s="1427">
        <v>96771.806566877567</v>
      </c>
      <c r="D30" s="1428">
        <f t="shared" si="8"/>
        <v>1000000</v>
      </c>
      <c r="E30" s="1428">
        <f t="shared" si="9"/>
        <v>1000000</v>
      </c>
      <c r="F30" s="1428">
        <f t="shared" si="10"/>
        <v>1000000</v>
      </c>
      <c r="G30" s="1428">
        <f t="shared" si="11"/>
        <v>1000000</v>
      </c>
      <c r="H30" s="1429">
        <f t="shared" si="12"/>
        <v>1000000</v>
      </c>
      <c r="I30" s="1362">
        <v>0</v>
      </c>
      <c r="J30" s="526">
        <v>0</v>
      </c>
      <c r="K30" s="526">
        <v>0</v>
      </c>
      <c r="L30" s="526">
        <v>0</v>
      </c>
      <c r="M30" s="1367">
        <v>0</v>
      </c>
      <c r="N30" s="1516">
        <v>6.3449696493508245</v>
      </c>
      <c r="O30" s="1452">
        <f t="shared" si="13"/>
        <v>1</v>
      </c>
      <c r="P30" s="1452">
        <f t="shared" si="14"/>
        <v>1</v>
      </c>
      <c r="Q30" s="1463">
        <f t="shared" si="15"/>
        <v>1</v>
      </c>
      <c r="R30" s="1463">
        <f t="shared" si="16"/>
        <v>1</v>
      </c>
      <c r="S30" s="1464">
        <f t="shared" si="17"/>
        <v>1</v>
      </c>
      <c r="T30" s="1454">
        <v>1</v>
      </c>
      <c r="U30" s="1455">
        <f t="shared" si="18"/>
        <v>1</v>
      </c>
      <c r="V30" s="1455">
        <f t="shared" si="19"/>
        <v>1</v>
      </c>
      <c r="W30" s="1455">
        <f t="shared" si="20"/>
        <v>1</v>
      </c>
      <c r="X30" s="1455">
        <f t="shared" si="21"/>
        <v>1</v>
      </c>
      <c r="Y30" s="1456">
        <f t="shared" si="22"/>
        <v>1</v>
      </c>
      <c r="Z30" s="1454">
        <v>0</v>
      </c>
      <c r="AA30" s="1455">
        <f t="shared" si="23"/>
        <v>0</v>
      </c>
      <c r="AB30" s="1455">
        <f t="shared" si="24"/>
        <v>0</v>
      </c>
      <c r="AC30" s="1455">
        <f t="shared" si="25"/>
        <v>0</v>
      </c>
      <c r="AD30" s="1455">
        <f t="shared" si="26"/>
        <v>0</v>
      </c>
      <c r="AE30" s="1456">
        <f t="shared" si="27"/>
        <v>0</v>
      </c>
    </row>
    <row r="31" spans="2:31" x14ac:dyDescent="0.2">
      <c r="B31" s="527">
        <v>2016</v>
      </c>
      <c r="C31" s="1430">
        <v>96771.806566877567</v>
      </c>
      <c r="D31" s="1431">
        <f t="shared" si="8"/>
        <v>1000000</v>
      </c>
      <c r="E31" s="1431">
        <f t="shared" si="9"/>
        <v>1000000</v>
      </c>
      <c r="F31" s="1431">
        <f t="shared" si="10"/>
        <v>1000000</v>
      </c>
      <c r="G31" s="1431">
        <f t="shared" si="11"/>
        <v>1000000</v>
      </c>
      <c r="H31" s="1432">
        <f t="shared" si="12"/>
        <v>1000000</v>
      </c>
      <c r="I31" s="1360">
        <v>0</v>
      </c>
      <c r="J31" s="528">
        <v>0</v>
      </c>
      <c r="K31" s="528">
        <v>0</v>
      </c>
      <c r="L31" s="528">
        <v>0</v>
      </c>
      <c r="M31" s="1365">
        <v>0</v>
      </c>
      <c r="N31" s="1517">
        <v>6.4041892526830697</v>
      </c>
      <c r="O31" s="1446">
        <f t="shared" si="13"/>
        <v>1</v>
      </c>
      <c r="P31" s="1446">
        <f t="shared" si="14"/>
        <v>1</v>
      </c>
      <c r="Q31" s="1465">
        <f t="shared" si="15"/>
        <v>1</v>
      </c>
      <c r="R31" s="1465">
        <f t="shared" si="16"/>
        <v>1</v>
      </c>
      <c r="S31" s="1466">
        <f t="shared" si="17"/>
        <v>1</v>
      </c>
      <c r="T31" s="1460">
        <v>1</v>
      </c>
      <c r="U31" s="1461">
        <f t="shared" si="18"/>
        <v>1</v>
      </c>
      <c r="V31" s="1461">
        <f t="shared" si="19"/>
        <v>1</v>
      </c>
      <c r="W31" s="1461">
        <f t="shared" si="20"/>
        <v>1</v>
      </c>
      <c r="X31" s="1461">
        <f t="shared" si="21"/>
        <v>1</v>
      </c>
      <c r="Y31" s="1462">
        <f t="shared" si="22"/>
        <v>1</v>
      </c>
      <c r="Z31" s="1460">
        <v>0</v>
      </c>
      <c r="AA31" s="1461">
        <f t="shared" si="23"/>
        <v>0</v>
      </c>
      <c r="AB31" s="1461">
        <f t="shared" si="24"/>
        <v>0</v>
      </c>
      <c r="AC31" s="1461">
        <f t="shared" si="25"/>
        <v>0</v>
      </c>
      <c r="AD31" s="1461">
        <f t="shared" si="26"/>
        <v>0</v>
      </c>
      <c r="AE31" s="1462">
        <f t="shared" si="27"/>
        <v>0</v>
      </c>
    </row>
    <row r="32" spans="2:31" x14ac:dyDescent="0.2">
      <c r="B32" s="523">
        <v>2017</v>
      </c>
      <c r="C32" s="1424">
        <v>96771.806566877567</v>
      </c>
      <c r="D32" s="1425">
        <f t="shared" si="8"/>
        <v>1000000</v>
      </c>
      <c r="E32" s="1425">
        <f t="shared" si="9"/>
        <v>1000000</v>
      </c>
      <c r="F32" s="1425">
        <f t="shared" si="10"/>
        <v>1000000</v>
      </c>
      <c r="G32" s="1425">
        <f t="shared" si="11"/>
        <v>1000000</v>
      </c>
      <c r="H32" s="1426">
        <f t="shared" si="12"/>
        <v>1000000</v>
      </c>
      <c r="I32" s="1361">
        <v>0</v>
      </c>
      <c r="J32" s="524">
        <v>0</v>
      </c>
      <c r="K32" s="524">
        <v>0</v>
      </c>
      <c r="L32" s="524">
        <v>0</v>
      </c>
      <c r="M32" s="1366">
        <v>0</v>
      </c>
      <c r="N32" s="1515">
        <v>6.4980207200052869</v>
      </c>
      <c r="O32" s="1446">
        <f t="shared" si="13"/>
        <v>1</v>
      </c>
      <c r="P32" s="1446">
        <f t="shared" si="14"/>
        <v>1</v>
      </c>
      <c r="Q32" s="1465">
        <f t="shared" si="15"/>
        <v>1</v>
      </c>
      <c r="R32" s="1465">
        <f t="shared" si="16"/>
        <v>1</v>
      </c>
      <c r="S32" s="1466">
        <f t="shared" si="17"/>
        <v>1</v>
      </c>
      <c r="T32" s="1448">
        <v>1</v>
      </c>
      <c r="U32" s="1449">
        <f t="shared" si="18"/>
        <v>1</v>
      </c>
      <c r="V32" s="1449">
        <f t="shared" si="19"/>
        <v>1</v>
      </c>
      <c r="W32" s="1449">
        <f t="shared" si="20"/>
        <v>1</v>
      </c>
      <c r="X32" s="1449">
        <f t="shared" si="21"/>
        <v>1</v>
      </c>
      <c r="Y32" s="1450">
        <f t="shared" si="22"/>
        <v>1</v>
      </c>
      <c r="Z32" s="1448">
        <v>0</v>
      </c>
      <c r="AA32" s="1449">
        <f t="shared" si="23"/>
        <v>0</v>
      </c>
      <c r="AB32" s="1449">
        <f t="shared" si="24"/>
        <v>0</v>
      </c>
      <c r="AC32" s="1449">
        <f t="shared" si="25"/>
        <v>0</v>
      </c>
      <c r="AD32" s="1449">
        <f t="shared" si="26"/>
        <v>0</v>
      </c>
      <c r="AE32" s="1450">
        <f t="shared" si="27"/>
        <v>0</v>
      </c>
    </row>
    <row r="33" spans="2:31" x14ac:dyDescent="0.2">
      <c r="B33" s="523">
        <v>2018</v>
      </c>
      <c r="C33" s="1424">
        <v>96771.806566877567</v>
      </c>
      <c r="D33" s="1425">
        <f t="shared" si="8"/>
        <v>1000000</v>
      </c>
      <c r="E33" s="1425">
        <f t="shared" si="9"/>
        <v>1000000</v>
      </c>
      <c r="F33" s="1425">
        <f t="shared" si="10"/>
        <v>1000000</v>
      </c>
      <c r="G33" s="1425">
        <f t="shared" si="11"/>
        <v>1000000</v>
      </c>
      <c r="H33" s="1426">
        <f t="shared" si="12"/>
        <v>1000000</v>
      </c>
      <c r="I33" s="1361">
        <v>0</v>
      </c>
      <c r="J33" s="524">
        <v>0</v>
      </c>
      <c r="K33" s="524">
        <v>0</v>
      </c>
      <c r="L33" s="524">
        <v>0</v>
      </c>
      <c r="M33" s="1366">
        <v>0</v>
      </c>
      <c r="N33" s="1515">
        <v>6.7882707106377262</v>
      </c>
      <c r="O33" s="1446">
        <f t="shared" si="13"/>
        <v>1</v>
      </c>
      <c r="P33" s="1446">
        <f t="shared" si="14"/>
        <v>1</v>
      </c>
      <c r="Q33" s="1465">
        <f t="shared" si="15"/>
        <v>1</v>
      </c>
      <c r="R33" s="1465">
        <f t="shared" si="16"/>
        <v>1</v>
      </c>
      <c r="S33" s="1466">
        <f t="shared" si="17"/>
        <v>1</v>
      </c>
      <c r="T33" s="1448">
        <v>1</v>
      </c>
      <c r="U33" s="1449">
        <f t="shared" si="18"/>
        <v>1</v>
      </c>
      <c r="V33" s="1449">
        <f t="shared" si="19"/>
        <v>1</v>
      </c>
      <c r="W33" s="1449">
        <f t="shared" si="20"/>
        <v>1</v>
      </c>
      <c r="X33" s="1449">
        <f t="shared" si="21"/>
        <v>1</v>
      </c>
      <c r="Y33" s="1450">
        <f t="shared" si="22"/>
        <v>1</v>
      </c>
      <c r="Z33" s="1448">
        <v>0</v>
      </c>
      <c r="AA33" s="1449">
        <f t="shared" si="23"/>
        <v>0</v>
      </c>
      <c r="AB33" s="1449">
        <f t="shared" si="24"/>
        <v>0</v>
      </c>
      <c r="AC33" s="1449">
        <f t="shared" si="25"/>
        <v>0</v>
      </c>
      <c r="AD33" s="1449">
        <f t="shared" si="26"/>
        <v>0</v>
      </c>
      <c r="AE33" s="1450">
        <f t="shared" si="27"/>
        <v>0</v>
      </c>
    </row>
    <row r="34" spans="2:31" x14ac:dyDescent="0.2">
      <c r="B34" s="523">
        <v>2019</v>
      </c>
      <c r="C34" s="1424">
        <v>96771.806566877567</v>
      </c>
      <c r="D34" s="1425">
        <v>1000000</v>
      </c>
      <c r="E34" s="1425">
        <v>1000000</v>
      </c>
      <c r="F34" s="1425">
        <v>1000000</v>
      </c>
      <c r="G34" s="1425">
        <v>1000000</v>
      </c>
      <c r="H34" s="1426">
        <v>1000000</v>
      </c>
      <c r="I34" s="1361">
        <v>0</v>
      </c>
      <c r="J34" s="524">
        <v>0</v>
      </c>
      <c r="K34" s="524">
        <v>0</v>
      </c>
      <c r="L34" s="524">
        <v>0</v>
      </c>
      <c r="M34" s="1366">
        <v>0</v>
      </c>
      <c r="N34" s="1515">
        <v>6.8198260867882965</v>
      </c>
      <c r="O34" s="1446">
        <v>1</v>
      </c>
      <c r="P34" s="1446">
        <v>1</v>
      </c>
      <c r="Q34" s="1465">
        <v>1</v>
      </c>
      <c r="R34" s="1465">
        <v>1</v>
      </c>
      <c r="S34" s="1466">
        <v>1</v>
      </c>
      <c r="T34" s="1448">
        <v>1</v>
      </c>
      <c r="U34" s="1449">
        <v>1</v>
      </c>
      <c r="V34" s="1449">
        <v>1</v>
      </c>
      <c r="W34" s="1449">
        <v>1</v>
      </c>
      <c r="X34" s="1449">
        <v>1</v>
      </c>
      <c r="Y34" s="1450">
        <f t="shared" si="22"/>
        <v>1</v>
      </c>
      <c r="Z34" s="1448">
        <v>0</v>
      </c>
      <c r="AA34" s="1449">
        <v>0</v>
      </c>
      <c r="AB34" s="1449">
        <v>0</v>
      </c>
      <c r="AC34" s="1449">
        <v>0</v>
      </c>
      <c r="AD34" s="1449">
        <v>0</v>
      </c>
      <c r="AE34" s="1450">
        <v>0</v>
      </c>
    </row>
    <row r="35" spans="2:31" ht="13.5" thickBot="1" x14ac:dyDescent="0.25">
      <c r="B35" s="525">
        <v>2020</v>
      </c>
      <c r="C35" s="1427">
        <v>96771.806566877567</v>
      </c>
      <c r="D35" s="1428">
        <v>1000000</v>
      </c>
      <c r="E35" s="1428">
        <v>1000000</v>
      </c>
      <c r="F35" s="1428">
        <v>1000000</v>
      </c>
      <c r="G35" s="1428">
        <v>1000000</v>
      </c>
      <c r="H35" s="1429">
        <v>1000000</v>
      </c>
      <c r="I35" s="1362">
        <v>0</v>
      </c>
      <c r="J35" s="526">
        <v>0</v>
      </c>
      <c r="K35" s="526">
        <v>0</v>
      </c>
      <c r="L35" s="526">
        <v>0</v>
      </c>
      <c r="M35" s="1367">
        <v>0</v>
      </c>
      <c r="N35" s="1516">
        <v>6.8652961720744159</v>
      </c>
      <c r="O35" s="1452">
        <v>1</v>
      </c>
      <c r="P35" s="1452">
        <v>1</v>
      </c>
      <c r="Q35" s="1463">
        <v>1</v>
      </c>
      <c r="R35" s="1463">
        <v>1</v>
      </c>
      <c r="S35" s="1464">
        <v>1</v>
      </c>
      <c r="T35" s="1454">
        <v>1</v>
      </c>
      <c r="U35" s="1455">
        <v>1</v>
      </c>
      <c r="V35" s="1455">
        <v>1</v>
      </c>
      <c r="W35" s="1455">
        <v>1</v>
      </c>
      <c r="X35" s="1455">
        <v>1</v>
      </c>
      <c r="Y35" s="1456">
        <v>1</v>
      </c>
      <c r="Z35" s="1454">
        <v>0</v>
      </c>
      <c r="AA35" s="1455">
        <v>0</v>
      </c>
      <c r="AB35" s="1455">
        <v>0</v>
      </c>
      <c r="AC35" s="1455">
        <v>0</v>
      </c>
      <c r="AD35" s="1455">
        <v>0</v>
      </c>
      <c r="AE35" s="1456">
        <v>0</v>
      </c>
    </row>
    <row r="36" spans="2:31" x14ac:dyDescent="0.2">
      <c r="B36" s="527">
        <v>2021</v>
      </c>
      <c r="C36" s="1430">
        <v>97040.03007304229</v>
      </c>
      <c r="D36" s="1431">
        <v>840.46527088408766</v>
      </c>
      <c r="E36" s="1431">
        <v>1666.4794172293186</v>
      </c>
      <c r="F36" s="1431">
        <v>13109.729877727412</v>
      </c>
      <c r="G36" s="1431">
        <v>144164.79851970976</v>
      </c>
      <c r="H36" s="1432">
        <v>254951.09746535946</v>
      </c>
      <c r="I36" s="1360">
        <v>0</v>
      </c>
      <c r="J36" s="528">
        <v>0</v>
      </c>
      <c r="K36" s="528">
        <v>0</v>
      </c>
      <c r="L36" s="528">
        <v>0</v>
      </c>
      <c r="M36" s="1365">
        <v>0</v>
      </c>
      <c r="N36" s="1517">
        <v>7.1066946066856191</v>
      </c>
      <c r="O36" s="1458">
        <v>7.2514618381519949</v>
      </c>
      <c r="P36" s="1458">
        <v>7.642758539201461</v>
      </c>
      <c r="Q36" s="1465">
        <v>8.252103623726434</v>
      </c>
      <c r="R36" s="1465">
        <v>7.3375200040858592</v>
      </c>
      <c r="S36" s="1466">
        <v>19.338612344170912</v>
      </c>
      <c r="T36" s="1460">
        <v>1</v>
      </c>
      <c r="U36" s="1461">
        <v>1</v>
      </c>
      <c r="V36" s="1461">
        <v>1</v>
      </c>
      <c r="W36" s="1461">
        <v>1</v>
      </c>
      <c r="X36" s="1461">
        <v>20.378453913383929</v>
      </c>
      <c r="Y36" s="1462">
        <v>1</v>
      </c>
      <c r="Z36" s="1460">
        <v>0</v>
      </c>
      <c r="AA36" s="1461">
        <v>0</v>
      </c>
      <c r="AB36" s="1461">
        <v>0</v>
      </c>
      <c r="AC36" s="1461">
        <v>0</v>
      </c>
      <c r="AD36" s="1461">
        <v>153.2027870307013</v>
      </c>
      <c r="AE36" s="1462">
        <v>292.4829655213137</v>
      </c>
    </row>
    <row r="37" spans="2:31" x14ac:dyDescent="0.2">
      <c r="B37" s="523">
        <v>2022</v>
      </c>
      <c r="C37" s="1424">
        <v>97308.253579207012</v>
      </c>
      <c r="D37" s="1425">
        <v>1680.9305417681753</v>
      </c>
      <c r="E37" s="1425">
        <v>2360.5513691763335</v>
      </c>
      <c r="F37" s="1425">
        <v>12471.3290793755</v>
      </c>
      <c r="G37" s="1425">
        <v>122356.24341838573</v>
      </c>
      <c r="H37" s="1426">
        <v>215138.05970907584</v>
      </c>
      <c r="I37" s="1361">
        <v>0</v>
      </c>
      <c r="J37" s="524">
        <v>0</v>
      </c>
      <c r="K37" s="524">
        <v>0</v>
      </c>
      <c r="L37" s="524">
        <v>0</v>
      </c>
      <c r="M37" s="1366">
        <v>0</v>
      </c>
      <c r="N37" s="1515">
        <v>7.2549468572317179</v>
      </c>
      <c r="O37" s="1446">
        <v>7.5470263474657688</v>
      </c>
      <c r="P37" s="1446">
        <v>7.9604767491506108</v>
      </c>
      <c r="Q37" s="1470">
        <v>8.5867009582406837</v>
      </c>
      <c r="R37" s="1470">
        <v>7.7492075439830908</v>
      </c>
      <c r="S37" s="1471">
        <v>20.10703473654937</v>
      </c>
      <c r="T37" s="1448">
        <v>1</v>
      </c>
      <c r="U37" s="1449">
        <v>1</v>
      </c>
      <c r="V37" s="1449">
        <v>1</v>
      </c>
      <c r="W37" s="1449">
        <v>1</v>
      </c>
      <c r="X37" s="1449">
        <v>21.149650146430997</v>
      </c>
      <c r="Y37" s="1450">
        <v>1</v>
      </c>
      <c r="Z37" s="1448">
        <v>0</v>
      </c>
      <c r="AA37" s="1449">
        <v>0</v>
      </c>
      <c r="AB37" s="1449">
        <v>0</v>
      </c>
      <c r="AC37" s="1449">
        <v>0</v>
      </c>
      <c r="AD37" s="1449">
        <v>152.74080023675674</v>
      </c>
      <c r="AE37" s="1450">
        <v>292.4526104465981</v>
      </c>
    </row>
    <row r="38" spans="2:31" x14ac:dyDescent="0.2">
      <c r="B38" s="523">
        <v>2023</v>
      </c>
      <c r="C38" s="1424">
        <v>97576.477085371735</v>
      </c>
      <c r="D38" s="1425">
        <v>2521.395812652263</v>
      </c>
      <c r="E38" s="1425">
        <v>3054.6233211233484</v>
      </c>
      <c r="F38" s="1425">
        <v>11832.928281023589</v>
      </c>
      <c r="G38" s="1425">
        <v>100547.68831706169</v>
      </c>
      <c r="H38" s="1426">
        <v>175325.02195279219</v>
      </c>
      <c r="I38" s="1361">
        <v>0</v>
      </c>
      <c r="J38" s="524">
        <v>0</v>
      </c>
      <c r="K38" s="524">
        <v>0</v>
      </c>
      <c r="L38" s="524">
        <v>0</v>
      </c>
      <c r="M38" s="1366">
        <v>0</v>
      </c>
      <c r="N38" s="1515">
        <v>7.3952245468405886</v>
      </c>
      <c r="O38" s="1446">
        <v>7.8365961510935715</v>
      </c>
      <c r="P38" s="1446">
        <v>8.2719688938604357</v>
      </c>
      <c r="Q38" s="1470">
        <v>8.9144503459649904</v>
      </c>
      <c r="R38" s="1470">
        <v>8.1565012303305213</v>
      </c>
      <c r="S38" s="1471">
        <v>20.85917604808748</v>
      </c>
      <c r="T38" s="1448">
        <v>1</v>
      </c>
      <c r="U38" s="1449">
        <v>1</v>
      </c>
      <c r="V38" s="1449">
        <v>1</v>
      </c>
      <c r="W38" s="1449">
        <v>1</v>
      </c>
      <c r="X38" s="1449">
        <v>21.90311759406746</v>
      </c>
      <c r="Y38" s="1450">
        <v>1</v>
      </c>
      <c r="Z38" s="1448">
        <v>0</v>
      </c>
      <c r="AA38" s="1449">
        <v>0</v>
      </c>
      <c r="AB38" s="1449">
        <v>0</v>
      </c>
      <c r="AC38" s="1449">
        <v>0</v>
      </c>
      <c r="AD38" s="1449">
        <v>152.27881344281218</v>
      </c>
      <c r="AE38" s="1450">
        <v>292.4222553718825</v>
      </c>
    </row>
    <row r="39" spans="2:31" x14ac:dyDescent="0.2">
      <c r="B39" s="523">
        <v>2024</v>
      </c>
      <c r="C39" s="1424">
        <v>97844.700591536457</v>
      </c>
      <c r="D39" s="1425">
        <v>3361.8610835363506</v>
      </c>
      <c r="E39" s="1425">
        <v>3748.6952730703633</v>
      </c>
      <c r="F39" s="1425">
        <v>11194.527482671678</v>
      </c>
      <c r="G39" s="1425">
        <v>78739.13321573766</v>
      </c>
      <c r="H39" s="1426">
        <v>135511.98419650859</v>
      </c>
      <c r="I39" s="1361">
        <v>0</v>
      </c>
      <c r="J39" s="524">
        <v>0</v>
      </c>
      <c r="K39" s="524">
        <v>0</v>
      </c>
      <c r="L39" s="524">
        <v>0</v>
      </c>
      <c r="M39" s="1366">
        <v>0</v>
      </c>
      <c r="N39" s="1515">
        <v>7.5444330920738185</v>
      </c>
      <c r="O39" s="1446">
        <v>8.1378673626194438</v>
      </c>
      <c r="P39" s="1446">
        <v>8.5959051807146825</v>
      </c>
      <c r="Q39" s="1470">
        <v>9.2554843966218385</v>
      </c>
      <c r="R39" s="1470">
        <v>8.577655530394896</v>
      </c>
      <c r="S39" s="1471">
        <v>21.642168020992671</v>
      </c>
      <c r="T39" s="1448">
        <v>1</v>
      </c>
      <c r="U39" s="1449">
        <v>1</v>
      </c>
      <c r="V39" s="1449">
        <v>1</v>
      </c>
      <c r="W39" s="1449">
        <v>1</v>
      </c>
      <c r="X39" s="1449">
        <v>22.688403057509014</v>
      </c>
      <c r="Y39" s="1450">
        <v>1</v>
      </c>
      <c r="Z39" s="1448">
        <v>0</v>
      </c>
      <c r="AA39" s="1449">
        <v>0</v>
      </c>
      <c r="AB39" s="1449">
        <v>0</v>
      </c>
      <c r="AC39" s="1449">
        <v>0</v>
      </c>
      <c r="AD39" s="1449">
        <v>151.81682664886762</v>
      </c>
      <c r="AE39" s="1450">
        <v>292.3919002971669</v>
      </c>
    </row>
    <row r="40" spans="2:31" ht="13.5" thickBot="1" x14ac:dyDescent="0.25">
      <c r="B40" s="525">
        <v>2025</v>
      </c>
      <c r="C40" s="1427">
        <v>98112.924097701165</v>
      </c>
      <c r="D40" s="1428">
        <v>4202.3263544204674</v>
      </c>
      <c r="E40" s="1428">
        <v>4442.7672250173928</v>
      </c>
      <c r="F40" s="1428">
        <v>10556.126684319781</v>
      </c>
      <c r="G40" s="1428">
        <v>56930.578114413584</v>
      </c>
      <c r="H40" s="1429">
        <v>95698.946440225016</v>
      </c>
      <c r="I40" s="1362">
        <v>0</v>
      </c>
      <c r="J40" s="526">
        <v>0</v>
      </c>
      <c r="K40" s="526">
        <v>0</v>
      </c>
      <c r="L40" s="526">
        <v>0</v>
      </c>
      <c r="M40" s="1367">
        <v>0</v>
      </c>
      <c r="N40" s="1516">
        <v>7.6904954072333691</v>
      </c>
      <c r="O40" s="1452">
        <v>8.438014936260716</v>
      </c>
      <c r="P40" s="1452">
        <v>8.9187469265359489</v>
      </c>
      <c r="Q40" s="1463">
        <v>9.5952144109461681</v>
      </c>
      <c r="R40" s="1463">
        <v>8.9993014444510671</v>
      </c>
      <c r="S40" s="1464">
        <v>22.421876989082108</v>
      </c>
      <c r="T40" s="1454">
        <v>1</v>
      </c>
      <c r="U40" s="1455">
        <v>1</v>
      </c>
      <c r="V40" s="1455">
        <v>1</v>
      </c>
      <c r="W40" s="1455">
        <v>1</v>
      </c>
      <c r="X40" s="1455">
        <v>23.46967157835418</v>
      </c>
      <c r="Y40" s="1456">
        <v>1</v>
      </c>
      <c r="Z40" s="1454">
        <v>0</v>
      </c>
      <c r="AA40" s="1455">
        <v>0</v>
      </c>
      <c r="AB40" s="1455">
        <v>0</v>
      </c>
      <c r="AC40" s="1455">
        <v>0</v>
      </c>
      <c r="AD40" s="1455">
        <v>151.35483985492303</v>
      </c>
      <c r="AE40" s="1456">
        <v>292.36154522245141</v>
      </c>
    </row>
    <row r="41" spans="2:31" x14ac:dyDescent="0.2">
      <c r="B41" s="527">
        <v>2026</v>
      </c>
      <c r="C41" s="1430">
        <v>98535.258281973045</v>
      </c>
      <c r="D41" s="1431">
        <v>4373.8152336049534</v>
      </c>
      <c r="E41" s="1431">
        <v>4579.0086429013609</v>
      </c>
      <c r="F41" s="1431">
        <v>10405.351335317668</v>
      </c>
      <c r="G41" s="1431">
        <v>52011.723754359904</v>
      </c>
      <c r="H41" s="1432">
        <v>86083.468857967993</v>
      </c>
      <c r="I41" s="1360">
        <v>0</v>
      </c>
      <c r="J41" s="528">
        <v>0</v>
      </c>
      <c r="K41" s="528">
        <v>0</v>
      </c>
      <c r="L41" s="528">
        <v>0</v>
      </c>
      <c r="M41" s="1365">
        <v>0</v>
      </c>
      <c r="N41" s="1517">
        <v>7.8796174660298455</v>
      </c>
      <c r="O41" s="1458">
        <v>8.7883235625922929</v>
      </c>
      <c r="P41" s="1458">
        <v>9.2947241149660904</v>
      </c>
      <c r="Q41" s="1465">
        <v>9.9919516873462335</v>
      </c>
      <c r="R41" s="1465">
        <v>9.4765614577954143</v>
      </c>
      <c r="S41" s="1466">
        <v>23.334503972412637</v>
      </c>
      <c r="T41" s="1460">
        <v>1</v>
      </c>
      <c r="U41" s="1461">
        <v>1</v>
      </c>
      <c r="V41" s="1461">
        <v>1</v>
      </c>
      <c r="W41" s="1461">
        <v>1</v>
      </c>
      <c r="X41" s="1461">
        <v>24.389342503615332</v>
      </c>
      <c r="Y41" s="1462">
        <v>1</v>
      </c>
      <c r="Z41" s="1460">
        <v>0</v>
      </c>
      <c r="AA41" s="1461">
        <v>0</v>
      </c>
      <c r="AB41" s="1461">
        <v>0</v>
      </c>
      <c r="AC41" s="1461">
        <v>0</v>
      </c>
      <c r="AD41" s="1461">
        <v>152.00858941626836</v>
      </c>
      <c r="AE41" s="1462">
        <v>294.4439753397204</v>
      </c>
    </row>
    <row r="42" spans="2:31" x14ac:dyDescent="0.2">
      <c r="B42" s="523">
        <v>2027</v>
      </c>
      <c r="C42" s="1424">
        <v>98957.592466244925</v>
      </c>
      <c r="D42" s="1425">
        <v>4545.3041127894394</v>
      </c>
      <c r="E42" s="1425">
        <v>4715.250060785329</v>
      </c>
      <c r="F42" s="1425">
        <v>10254.575986315554</v>
      </c>
      <c r="G42" s="1425">
        <v>47092.869394306224</v>
      </c>
      <c r="H42" s="1426">
        <v>76467.991275710971</v>
      </c>
      <c r="I42" s="1361">
        <v>0</v>
      </c>
      <c r="J42" s="524">
        <v>0</v>
      </c>
      <c r="K42" s="524">
        <v>0</v>
      </c>
      <c r="L42" s="524">
        <v>0</v>
      </c>
      <c r="M42" s="1366">
        <v>0</v>
      </c>
      <c r="N42" s="1515">
        <v>8.0838815874836101</v>
      </c>
      <c r="O42" s="1446">
        <v>9.1593786749555619</v>
      </c>
      <c r="P42" s="1446">
        <v>9.6927950245681878</v>
      </c>
      <c r="Q42" s="1470">
        <v>10.412233966282747</v>
      </c>
      <c r="R42" s="1470">
        <v>9.9789475009735593</v>
      </c>
      <c r="S42" s="1471">
        <v>24.301731930902008</v>
      </c>
      <c r="T42" s="1448">
        <v>1</v>
      </c>
      <c r="U42" s="1449">
        <v>1</v>
      </c>
      <c r="V42" s="1449">
        <v>1</v>
      </c>
      <c r="W42" s="1449">
        <v>1</v>
      </c>
      <c r="X42" s="1449">
        <v>25.365135612382058</v>
      </c>
      <c r="Y42" s="1450">
        <v>1</v>
      </c>
      <c r="Z42" s="1448">
        <v>0</v>
      </c>
      <c r="AA42" s="1449">
        <v>0</v>
      </c>
      <c r="AB42" s="1449">
        <v>0</v>
      </c>
      <c r="AC42" s="1449">
        <v>0</v>
      </c>
      <c r="AD42" s="1449">
        <v>152.6623389776137</v>
      </c>
      <c r="AE42" s="1450">
        <v>296.52640545698938</v>
      </c>
    </row>
    <row r="43" spans="2:31" x14ac:dyDescent="0.2">
      <c r="B43" s="523">
        <v>2028</v>
      </c>
      <c r="C43" s="1424">
        <v>99379.926650516805</v>
      </c>
      <c r="D43" s="1425">
        <v>4716.7929919739254</v>
      </c>
      <c r="E43" s="1425">
        <v>4851.4914786692971</v>
      </c>
      <c r="F43" s="1425">
        <v>10103.800637313441</v>
      </c>
      <c r="G43" s="1425">
        <v>42174.015034252545</v>
      </c>
      <c r="H43" s="1426">
        <v>66852.513693453948</v>
      </c>
      <c r="I43" s="1361">
        <v>0</v>
      </c>
      <c r="J43" s="524">
        <v>0</v>
      </c>
      <c r="K43" s="524">
        <v>0</v>
      </c>
      <c r="L43" s="524">
        <v>0</v>
      </c>
      <c r="M43" s="1366">
        <v>0</v>
      </c>
      <c r="N43" s="1515">
        <v>8.1579983898762283</v>
      </c>
      <c r="O43" s="1446">
        <v>9.3847120142735569</v>
      </c>
      <c r="P43" s="1446">
        <v>9.9367251422608067</v>
      </c>
      <c r="Q43" s="1470">
        <v>10.666843043707351</v>
      </c>
      <c r="R43" s="1470">
        <v>10.3237961938114</v>
      </c>
      <c r="S43" s="1471">
        <v>24.882114628625285</v>
      </c>
      <c r="T43" s="1448">
        <v>1</v>
      </c>
      <c r="U43" s="1449">
        <v>1</v>
      </c>
      <c r="V43" s="1449">
        <v>1</v>
      </c>
      <c r="W43" s="1449">
        <v>1</v>
      </c>
      <c r="X43" s="1449">
        <v>25.936734864408546</v>
      </c>
      <c r="Y43" s="1450">
        <v>1</v>
      </c>
      <c r="Z43" s="1448">
        <v>0</v>
      </c>
      <c r="AA43" s="1449">
        <v>0</v>
      </c>
      <c r="AB43" s="1449">
        <v>0</v>
      </c>
      <c r="AC43" s="1449">
        <v>0</v>
      </c>
      <c r="AD43" s="1449">
        <v>153.31608853895904</v>
      </c>
      <c r="AE43" s="1450">
        <v>298.60883557425836</v>
      </c>
    </row>
    <row r="44" spans="2:31" x14ac:dyDescent="0.2">
      <c r="B44" s="523">
        <v>2029</v>
      </c>
      <c r="C44" s="1424">
        <v>99802.260834788685</v>
      </c>
      <c r="D44" s="1425">
        <v>4888.2818711584114</v>
      </c>
      <c r="E44" s="1425">
        <v>4987.7328965532652</v>
      </c>
      <c r="F44" s="1425">
        <v>9953.025288311328</v>
      </c>
      <c r="G44" s="1425">
        <v>37255.160674198865</v>
      </c>
      <c r="H44" s="1426">
        <v>57237.036111196925</v>
      </c>
      <c r="I44" s="1361">
        <v>0</v>
      </c>
      <c r="J44" s="524">
        <v>0</v>
      </c>
      <c r="K44" s="524">
        <v>0</v>
      </c>
      <c r="L44" s="524">
        <v>0</v>
      </c>
      <c r="M44" s="1366">
        <v>0</v>
      </c>
      <c r="N44" s="1515">
        <v>8.3204018705413638</v>
      </c>
      <c r="O44" s="1446">
        <v>9.7125571365681882</v>
      </c>
      <c r="P44" s="1446">
        <v>10.289233048717541</v>
      </c>
      <c r="Q44" s="1470">
        <v>11.037958743380047</v>
      </c>
      <c r="R44" s="1470">
        <v>10.782071844137519</v>
      </c>
      <c r="S44" s="1471">
        <v>25.734175887171379</v>
      </c>
      <c r="T44" s="1448">
        <v>1</v>
      </c>
      <c r="U44" s="1449">
        <v>1</v>
      </c>
      <c r="V44" s="1449">
        <v>1</v>
      </c>
      <c r="W44" s="1449">
        <v>1</v>
      </c>
      <c r="X44" s="1449">
        <v>26.791301395835184</v>
      </c>
      <c r="Y44" s="1450">
        <v>1</v>
      </c>
      <c r="Z44" s="1448">
        <v>0</v>
      </c>
      <c r="AA44" s="1449">
        <v>0</v>
      </c>
      <c r="AB44" s="1449">
        <v>0</v>
      </c>
      <c r="AC44" s="1449">
        <v>0</v>
      </c>
      <c r="AD44" s="1449">
        <v>153.96983810030437</v>
      </c>
      <c r="AE44" s="1450">
        <v>300.69126569152735</v>
      </c>
    </row>
    <row r="45" spans="2:31" ht="13.5" thickBot="1" x14ac:dyDescent="0.25">
      <c r="B45" s="525">
        <v>2030</v>
      </c>
      <c r="C45" s="1427">
        <v>100224.59501906054</v>
      </c>
      <c r="D45" s="1521">
        <v>5059.7707503429119</v>
      </c>
      <c r="E45" s="1521">
        <v>5123.9743144372333</v>
      </c>
      <c r="F45" s="1428">
        <v>9802.2499393092439</v>
      </c>
      <c r="G45" s="1428">
        <v>32336.306314145273</v>
      </c>
      <c r="H45" s="1429">
        <v>47621.558528939873</v>
      </c>
      <c r="I45" s="1362">
        <v>0</v>
      </c>
      <c r="J45" s="526">
        <v>0</v>
      </c>
      <c r="K45" s="526">
        <v>0</v>
      </c>
      <c r="L45" s="526">
        <v>0</v>
      </c>
      <c r="M45" s="1367">
        <v>0</v>
      </c>
      <c r="N45" s="1516">
        <v>8.4596513418802797</v>
      </c>
      <c r="O45" s="1452">
        <v>10.015389114320127</v>
      </c>
      <c r="P45" s="1452">
        <v>10.615318411461462</v>
      </c>
      <c r="Q45" s="1463">
        <v>11.380626544197902</v>
      </c>
      <c r="R45" s="1463">
        <v>11.213954622667076</v>
      </c>
      <c r="S45" s="1464">
        <v>26.51972111238014</v>
      </c>
      <c r="T45" s="1454">
        <v>1</v>
      </c>
      <c r="U45" s="1455">
        <v>1</v>
      </c>
      <c r="V45" s="1455">
        <v>1</v>
      </c>
      <c r="W45" s="1455">
        <v>1</v>
      </c>
      <c r="X45" s="1455">
        <v>27.576145944293774</v>
      </c>
      <c r="Y45" s="1456">
        <v>1</v>
      </c>
      <c r="Z45" s="1454">
        <v>0</v>
      </c>
      <c r="AA45" s="1455">
        <v>0</v>
      </c>
      <c r="AB45" s="1455">
        <v>0</v>
      </c>
      <c r="AC45" s="1455">
        <v>0</v>
      </c>
      <c r="AD45" s="1455">
        <v>154.62358766164965</v>
      </c>
      <c r="AE45" s="1456">
        <v>302.77369580879645</v>
      </c>
    </row>
    <row r="46" spans="2:31" x14ac:dyDescent="0.2">
      <c r="B46" s="527">
        <v>2031</v>
      </c>
      <c r="C46" s="1430">
        <v>100224.59501906054</v>
      </c>
      <c r="D46" s="1431">
        <v>5059.7707503429119</v>
      </c>
      <c r="E46" s="1431">
        <v>5123.9743144372333</v>
      </c>
      <c r="F46" s="1431">
        <v>10076.401732986604</v>
      </c>
      <c r="G46" s="1431">
        <v>30465.139959469729</v>
      </c>
      <c r="H46" s="1432">
        <v>43697.808657362766</v>
      </c>
      <c r="I46" s="1360">
        <v>0</v>
      </c>
      <c r="J46" s="528">
        <v>0</v>
      </c>
      <c r="K46" s="528">
        <v>0</v>
      </c>
      <c r="L46" s="528">
        <v>0</v>
      </c>
      <c r="M46" s="1365">
        <v>0</v>
      </c>
      <c r="N46" s="1517">
        <v>8.4765855799556995</v>
      </c>
      <c r="O46" s="1458">
        <f>$N46*O45/$N45</f>
        <v>10.035437574572883</v>
      </c>
      <c r="P46" s="1458">
        <f t="shared" ref="P46:Q65" si="28">$N46*P45/$N45</f>
        <v>10.636567789474968</v>
      </c>
      <c r="Q46" s="1465">
        <v>11.517968900373031</v>
      </c>
      <c r="R46" s="1465">
        <v>11.42376443404703</v>
      </c>
      <c r="S46" s="1466">
        <v>26.785155926023332</v>
      </c>
      <c r="T46" s="1460">
        <v>1</v>
      </c>
      <c r="U46" s="1461">
        <v>1</v>
      </c>
      <c r="V46" s="1461">
        <v>1</v>
      </c>
      <c r="W46" s="1461">
        <v>1</v>
      </c>
      <c r="X46" s="1461">
        <v>27.857908909155185</v>
      </c>
      <c r="Y46" s="1462">
        <v>1</v>
      </c>
      <c r="Z46" s="1460">
        <v>0</v>
      </c>
      <c r="AA46" s="1461">
        <v>0</v>
      </c>
      <c r="AB46" s="1461">
        <v>0</v>
      </c>
      <c r="AC46" s="1461">
        <v>0</v>
      </c>
      <c r="AD46" s="1461">
        <v>155.26752124817588</v>
      </c>
      <c r="AE46" s="1462">
        <v>303.88180125889505</v>
      </c>
    </row>
    <row r="47" spans="2:31" x14ac:dyDescent="0.2">
      <c r="B47" s="523">
        <v>2032</v>
      </c>
      <c r="C47" s="1424">
        <v>100224.59501906054</v>
      </c>
      <c r="D47" s="1431">
        <v>5059.7707503429119</v>
      </c>
      <c r="E47" s="1431">
        <v>5123.9743144372333</v>
      </c>
      <c r="F47" s="1431">
        <v>10350.553526663964</v>
      </c>
      <c r="G47" s="1431">
        <v>28593.973604794184</v>
      </c>
      <c r="H47" s="1432">
        <v>39774.058785785659</v>
      </c>
      <c r="I47" s="1361">
        <v>0</v>
      </c>
      <c r="J47" s="529">
        <v>0</v>
      </c>
      <c r="K47" s="524">
        <v>0</v>
      </c>
      <c r="L47" s="529">
        <v>0</v>
      </c>
      <c r="M47" s="1366">
        <v>0</v>
      </c>
      <c r="N47" s="1517">
        <v>8.4935198180311193</v>
      </c>
      <c r="O47" s="1446">
        <f t="shared" ref="O47:O65" si="29">$N47*O46/$N46</f>
        <v>10.055486034825639</v>
      </c>
      <c r="P47" s="1446">
        <f t="shared" si="28"/>
        <v>10.657817167488474</v>
      </c>
      <c r="Q47" s="1470">
        <v>11.655768988830102</v>
      </c>
      <c r="R47" s="1470">
        <v>11.634322856868829</v>
      </c>
      <c r="S47" s="1471">
        <v>27.051439185278891</v>
      </c>
      <c r="T47" s="1460">
        <v>1</v>
      </c>
      <c r="U47" s="1461">
        <v>1</v>
      </c>
      <c r="V47" s="1461">
        <v>1</v>
      </c>
      <c r="W47" s="1461">
        <v>1</v>
      </c>
      <c r="X47" s="1461">
        <v>28.140577109881232</v>
      </c>
      <c r="Y47" s="1462">
        <v>1</v>
      </c>
      <c r="Z47" s="1460">
        <v>0</v>
      </c>
      <c r="AA47" s="1461">
        <v>0</v>
      </c>
      <c r="AB47" s="1461">
        <v>0</v>
      </c>
      <c r="AC47" s="1461">
        <v>0</v>
      </c>
      <c r="AD47" s="1461">
        <v>155.91145483470211</v>
      </c>
      <c r="AE47" s="1462">
        <v>304.98990670899366</v>
      </c>
    </row>
    <row r="48" spans="2:31" x14ac:dyDescent="0.2">
      <c r="B48" s="523">
        <v>2033</v>
      </c>
      <c r="C48" s="1424">
        <v>100224.59501906054</v>
      </c>
      <c r="D48" s="1431">
        <v>5059.7707503429119</v>
      </c>
      <c r="E48" s="1431">
        <v>5123.9743144372333</v>
      </c>
      <c r="F48" s="1431">
        <v>10624.705320341323</v>
      </c>
      <c r="G48" s="1431">
        <v>26722.80725011864</v>
      </c>
      <c r="H48" s="1432">
        <v>35850.308914208552</v>
      </c>
      <c r="I48" s="1361">
        <v>0</v>
      </c>
      <c r="J48" s="524">
        <v>0</v>
      </c>
      <c r="K48" s="524">
        <v>0</v>
      </c>
      <c r="L48" s="524">
        <v>0</v>
      </c>
      <c r="M48" s="1366">
        <v>0</v>
      </c>
      <c r="N48" s="1517">
        <v>8.5104540561065392</v>
      </c>
      <c r="O48" s="1446">
        <f t="shared" si="29"/>
        <v>10.075534495078395</v>
      </c>
      <c r="P48" s="1446">
        <f t="shared" si="28"/>
        <v>10.67906654550198</v>
      </c>
      <c r="Q48" s="1470">
        <v>11.794026809569115</v>
      </c>
      <c r="R48" s="1470">
        <v>11.845629891132475</v>
      </c>
      <c r="S48" s="1471">
        <v>27.318570890146823</v>
      </c>
      <c r="T48" s="1460">
        <v>1</v>
      </c>
      <c r="U48" s="1461">
        <v>1</v>
      </c>
      <c r="V48" s="1461">
        <v>1</v>
      </c>
      <c r="W48" s="1461">
        <v>1</v>
      </c>
      <c r="X48" s="1461">
        <v>28.424150546471925</v>
      </c>
      <c r="Y48" s="1462">
        <v>1</v>
      </c>
      <c r="Z48" s="1460">
        <v>0</v>
      </c>
      <c r="AA48" s="1461">
        <v>0</v>
      </c>
      <c r="AB48" s="1461">
        <v>0</v>
      </c>
      <c r="AC48" s="1461">
        <v>0</v>
      </c>
      <c r="AD48" s="1461">
        <v>156.55538842122834</v>
      </c>
      <c r="AE48" s="1462">
        <v>306.09801215909226</v>
      </c>
    </row>
    <row r="49" spans="2:31" x14ac:dyDescent="0.2">
      <c r="B49" s="523">
        <v>2034</v>
      </c>
      <c r="C49" s="1424">
        <v>100224.59501906054</v>
      </c>
      <c r="D49" s="1431">
        <v>5059.7707503429119</v>
      </c>
      <c r="E49" s="1431">
        <v>5123.9743144372333</v>
      </c>
      <c r="F49" s="1431">
        <v>10898.857114018683</v>
      </c>
      <c r="G49" s="1431">
        <v>24851.640895443095</v>
      </c>
      <c r="H49" s="1432">
        <v>31926.559042631445</v>
      </c>
      <c r="I49" s="1361">
        <v>0</v>
      </c>
      <c r="J49" s="524">
        <v>0</v>
      </c>
      <c r="K49" s="524">
        <v>0</v>
      </c>
      <c r="L49" s="524">
        <v>0</v>
      </c>
      <c r="M49" s="1366">
        <v>0</v>
      </c>
      <c r="N49" s="1517">
        <v>8.5273882941819608</v>
      </c>
      <c r="O49" s="1446">
        <f t="shared" si="29"/>
        <v>10.095582955331153</v>
      </c>
      <c r="P49" s="1446">
        <f t="shared" si="28"/>
        <v>10.700315923515488</v>
      </c>
      <c r="Q49" s="1470">
        <v>11.932742362590075</v>
      </c>
      <c r="R49" s="1470">
        <v>12.057685536837971</v>
      </c>
      <c r="S49" s="1471">
        <v>27.586551040627128</v>
      </c>
      <c r="T49" s="1460">
        <v>1</v>
      </c>
      <c r="U49" s="1461">
        <v>1</v>
      </c>
      <c r="V49" s="1461">
        <v>1</v>
      </c>
      <c r="W49" s="1461">
        <v>1</v>
      </c>
      <c r="X49" s="1461">
        <v>28.708629218927264</v>
      </c>
      <c r="Y49" s="1462">
        <v>1</v>
      </c>
      <c r="Z49" s="1460">
        <v>0</v>
      </c>
      <c r="AA49" s="1461">
        <v>0</v>
      </c>
      <c r="AB49" s="1461">
        <v>0</v>
      </c>
      <c r="AC49" s="1461">
        <v>0</v>
      </c>
      <c r="AD49" s="1461">
        <v>157.19932200775457</v>
      </c>
      <c r="AE49" s="1462">
        <v>307.20611760919087</v>
      </c>
    </row>
    <row r="50" spans="2:31" ht="13.5" thickBot="1" x14ac:dyDescent="0.25">
      <c r="B50" s="530">
        <v>2035</v>
      </c>
      <c r="C50" s="1433">
        <v>100224.59501906054</v>
      </c>
      <c r="D50" s="1434">
        <v>5059.7707503429119</v>
      </c>
      <c r="E50" s="1434">
        <v>5123.9743144372333</v>
      </c>
      <c r="F50" s="1434">
        <v>11173.008907696058</v>
      </c>
      <c r="G50" s="1434">
        <v>22980.474540767522</v>
      </c>
      <c r="H50" s="1435">
        <v>28002.809171054396</v>
      </c>
      <c r="I50" s="1363">
        <v>0</v>
      </c>
      <c r="J50" s="531">
        <v>0</v>
      </c>
      <c r="K50" s="531">
        <v>0</v>
      </c>
      <c r="L50" s="531">
        <v>0</v>
      </c>
      <c r="M50" s="1368">
        <v>0</v>
      </c>
      <c r="N50" s="1518">
        <v>8.5443225322573806</v>
      </c>
      <c r="O50" s="1452">
        <f t="shared" si="29"/>
        <v>10.115631415583909</v>
      </c>
      <c r="P50" s="1452">
        <f t="shared" si="28"/>
        <v>10.721565301528994</v>
      </c>
      <c r="Q50" s="1463">
        <v>12.071915647892972</v>
      </c>
      <c r="R50" s="1463">
        <v>12.270489793985307</v>
      </c>
      <c r="S50" s="1464">
        <v>27.855379636719789</v>
      </c>
      <c r="T50" s="1473">
        <v>1</v>
      </c>
      <c r="U50" s="1474">
        <v>1</v>
      </c>
      <c r="V50" s="1474">
        <v>1</v>
      </c>
      <c r="W50" s="1474">
        <v>1</v>
      </c>
      <c r="X50" s="1474">
        <v>28.994013127247239</v>
      </c>
      <c r="Y50" s="1475">
        <v>1</v>
      </c>
      <c r="Z50" s="1473">
        <v>0</v>
      </c>
      <c r="AA50" s="1474">
        <v>0</v>
      </c>
      <c r="AB50" s="1474">
        <v>0</v>
      </c>
      <c r="AC50" s="1474">
        <v>0</v>
      </c>
      <c r="AD50" s="1474">
        <v>157.84325559428083</v>
      </c>
      <c r="AE50" s="1475">
        <v>308.31422305928947</v>
      </c>
    </row>
    <row r="51" spans="2:31" x14ac:dyDescent="0.2">
      <c r="B51" s="532">
        <v>2036</v>
      </c>
      <c r="C51" s="1421">
        <v>100224.59501906054</v>
      </c>
      <c r="D51" s="1422">
        <v>5059.7707503429119</v>
      </c>
      <c r="E51" s="1422">
        <v>5123.9743144372333</v>
      </c>
      <c r="F51" s="1522">
        <v>11472.423184880303</v>
      </c>
      <c r="G51" s="1422">
        <v>22995.141953531071</v>
      </c>
      <c r="H51" s="1423">
        <v>27642.703353960344</v>
      </c>
      <c r="I51" s="1364">
        <v>0</v>
      </c>
      <c r="J51" s="533">
        <v>0</v>
      </c>
      <c r="K51" s="533">
        <v>0</v>
      </c>
      <c r="L51" s="533">
        <v>0</v>
      </c>
      <c r="M51" s="1369">
        <v>0</v>
      </c>
      <c r="N51" s="1514">
        <v>8.5444945413697049</v>
      </c>
      <c r="O51" s="1440">
        <f t="shared" si="29"/>
        <v>10.115835057332429</v>
      </c>
      <c r="P51" s="1440">
        <f t="shared" si="28"/>
        <v>10.721781141570528</v>
      </c>
      <c r="Q51" s="1476">
        <f t="shared" si="28"/>
        <v>12.072158672367623</v>
      </c>
      <c r="R51" s="1476">
        <v>12.341382408440833</v>
      </c>
      <c r="S51" s="1477">
        <v>27.952689269003422</v>
      </c>
      <c r="T51" s="1442">
        <v>1</v>
      </c>
      <c r="U51" s="1443">
        <v>1</v>
      </c>
      <c r="V51" s="1443">
        <v>1</v>
      </c>
      <c r="W51" s="1443">
        <v>1</v>
      </c>
      <c r="X51" s="1443">
        <v>29.096687729032773</v>
      </c>
      <c r="Y51" s="1444">
        <v>1</v>
      </c>
      <c r="Z51" s="1442">
        <v>0</v>
      </c>
      <c r="AA51" s="1443">
        <v>0</v>
      </c>
      <c r="AB51" s="1443">
        <v>0</v>
      </c>
      <c r="AC51" s="1443">
        <v>0</v>
      </c>
      <c r="AD51" s="1443">
        <v>158.13927134135037</v>
      </c>
      <c r="AE51" s="1444">
        <v>308.91458792033222</v>
      </c>
    </row>
    <row r="52" spans="2:31" x14ac:dyDescent="0.2">
      <c r="B52" s="523">
        <v>2037</v>
      </c>
      <c r="C52" s="1424">
        <v>100224.59501906054</v>
      </c>
      <c r="D52" s="1425">
        <v>5059.7707503429119</v>
      </c>
      <c r="E52" s="1425">
        <v>5123.9743144372333</v>
      </c>
      <c r="F52" s="1425">
        <v>11472.423184880303</v>
      </c>
      <c r="G52" s="1425">
        <v>23009.809366294619</v>
      </c>
      <c r="H52" s="1426">
        <v>27282.597536866291</v>
      </c>
      <c r="I52" s="1361">
        <v>0</v>
      </c>
      <c r="J52" s="524">
        <v>0</v>
      </c>
      <c r="K52" s="524">
        <v>0</v>
      </c>
      <c r="L52" s="524">
        <v>0</v>
      </c>
      <c r="M52" s="1366">
        <v>0</v>
      </c>
      <c r="N52" s="1515">
        <v>8.5450857966197695</v>
      </c>
      <c r="O52" s="1446">
        <f t="shared" si="29"/>
        <v>10.116535044974469</v>
      </c>
      <c r="P52" s="1446">
        <f t="shared" si="28"/>
        <v>10.722523058995755</v>
      </c>
      <c r="Q52" s="1470">
        <f t="shared" si="28"/>
        <v>12.072994032161008</v>
      </c>
      <c r="R52" s="1470">
        <v>12.412886878652932</v>
      </c>
      <c r="S52" s="1471">
        <v>28.05137907678122</v>
      </c>
      <c r="T52" s="1448">
        <v>1</v>
      </c>
      <c r="U52" s="1449">
        <v>1</v>
      </c>
      <c r="V52" s="1449">
        <v>1</v>
      </c>
      <c r="W52" s="1449">
        <v>1</v>
      </c>
      <c r="X52" s="1449">
        <v>29.20079911519996</v>
      </c>
      <c r="Y52" s="1450">
        <v>1</v>
      </c>
      <c r="Z52" s="1448">
        <v>0</v>
      </c>
      <c r="AA52" s="1449">
        <v>0</v>
      </c>
      <c r="AB52" s="1449">
        <v>0</v>
      </c>
      <c r="AC52" s="1449">
        <v>0</v>
      </c>
      <c r="AD52" s="1449">
        <v>158.4352870884199</v>
      </c>
      <c r="AE52" s="1450">
        <v>309.51495278137497</v>
      </c>
    </row>
    <row r="53" spans="2:31" x14ac:dyDescent="0.2">
      <c r="B53" s="523">
        <v>2038</v>
      </c>
      <c r="C53" s="1424">
        <v>100224.59501906054</v>
      </c>
      <c r="D53" s="1425">
        <v>5059.7707503429119</v>
      </c>
      <c r="E53" s="1425">
        <v>5123.9743144372333</v>
      </c>
      <c r="F53" s="1425">
        <v>11472.423184880303</v>
      </c>
      <c r="G53" s="1425">
        <v>23024.476779058168</v>
      </c>
      <c r="H53" s="1426">
        <v>26922.491719772239</v>
      </c>
      <c r="I53" s="1361">
        <v>0</v>
      </c>
      <c r="J53" s="524">
        <v>0</v>
      </c>
      <c r="K53" s="524">
        <v>0</v>
      </c>
      <c r="L53" s="524">
        <v>0</v>
      </c>
      <c r="M53" s="1366">
        <v>0</v>
      </c>
      <c r="N53" s="1515">
        <v>8.5458752554962878</v>
      </c>
      <c r="O53" s="1446">
        <f t="shared" si="29"/>
        <v>10.11746968607474</v>
      </c>
      <c r="P53" s="1446">
        <f t="shared" si="28"/>
        <v>10.723513685796828</v>
      </c>
      <c r="Q53" s="1470">
        <f t="shared" si="28"/>
        <v>12.074109425561577</v>
      </c>
      <c r="R53" s="1470">
        <v>12.484690681998952</v>
      </c>
      <c r="S53" s="1471">
        <v>28.150735171236917</v>
      </c>
      <c r="T53" s="1448">
        <v>1</v>
      </c>
      <c r="U53" s="1449">
        <v>1</v>
      </c>
      <c r="V53" s="1449">
        <v>1</v>
      </c>
      <c r="W53" s="1449">
        <v>1</v>
      </c>
      <c r="X53" s="1449">
        <v>29.305604312118653</v>
      </c>
      <c r="Y53" s="1450">
        <v>1</v>
      </c>
      <c r="Z53" s="1448">
        <v>0</v>
      </c>
      <c r="AA53" s="1449">
        <v>0</v>
      </c>
      <c r="AB53" s="1449">
        <v>0</v>
      </c>
      <c r="AC53" s="1449">
        <v>0</v>
      </c>
      <c r="AD53" s="1449">
        <v>158.73130283548943</v>
      </c>
      <c r="AE53" s="1450">
        <v>310.11531764241772</v>
      </c>
    </row>
    <row r="54" spans="2:31" x14ac:dyDescent="0.2">
      <c r="B54" s="523">
        <v>2039</v>
      </c>
      <c r="C54" s="1424">
        <v>100224.59501906054</v>
      </c>
      <c r="D54" s="1425">
        <v>5059.7707503429119</v>
      </c>
      <c r="E54" s="1425">
        <v>5123.9743144372333</v>
      </c>
      <c r="F54" s="1425">
        <v>11472.423184880303</v>
      </c>
      <c r="G54" s="1425">
        <v>23039.144191821717</v>
      </c>
      <c r="H54" s="1426">
        <v>26562.385902678187</v>
      </c>
      <c r="I54" s="1361">
        <v>0</v>
      </c>
      <c r="J54" s="524">
        <v>0</v>
      </c>
      <c r="K54" s="524">
        <v>0</v>
      </c>
      <c r="L54" s="524">
        <v>0</v>
      </c>
      <c r="M54" s="1366">
        <v>0</v>
      </c>
      <c r="N54" s="1515">
        <v>8.5469273081410861</v>
      </c>
      <c r="O54" s="1446">
        <f t="shared" si="29"/>
        <v>10.118715212182209</v>
      </c>
      <c r="P54" s="1446">
        <f t="shared" si="28"/>
        <v>10.724833819849501</v>
      </c>
      <c r="Q54" s="1470">
        <f t="shared" si="28"/>
        <v>12.075595826705401</v>
      </c>
      <c r="R54" s="1470">
        <v>12.556893334797435</v>
      </c>
      <c r="S54" s="1471">
        <v>28.250977120018931</v>
      </c>
      <c r="T54" s="1448">
        <v>1</v>
      </c>
      <c r="U54" s="1449">
        <v>1</v>
      </c>
      <c r="V54" s="1449">
        <v>1</v>
      </c>
      <c r="W54" s="1449">
        <v>1</v>
      </c>
      <c r="X54" s="1449">
        <v>29.411332000976703</v>
      </c>
      <c r="Y54" s="1450">
        <v>1</v>
      </c>
      <c r="Z54" s="1448">
        <v>0</v>
      </c>
      <c r="AA54" s="1449">
        <v>0</v>
      </c>
      <c r="AB54" s="1449">
        <v>0</v>
      </c>
      <c r="AC54" s="1449">
        <v>0</v>
      </c>
      <c r="AD54" s="1449">
        <v>159.02731858255896</v>
      </c>
      <c r="AE54" s="1450">
        <v>310.71568250346047</v>
      </c>
    </row>
    <row r="55" spans="2:31" ht="13.5" thickBot="1" x14ac:dyDescent="0.25">
      <c r="B55" s="525">
        <v>2040</v>
      </c>
      <c r="C55" s="1427">
        <v>100224.59501906054</v>
      </c>
      <c r="D55" s="1428">
        <v>5059.7707503429119</v>
      </c>
      <c r="E55" s="1428">
        <v>5123.9743144372333</v>
      </c>
      <c r="F55" s="1428">
        <v>11472.423184880303</v>
      </c>
      <c r="G55" s="1428">
        <v>23053.811604585266</v>
      </c>
      <c r="H55" s="1429">
        <v>26202.280085584134</v>
      </c>
      <c r="I55" s="1362">
        <v>0</v>
      </c>
      <c r="J55" s="526">
        <v>0</v>
      </c>
      <c r="K55" s="526">
        <v>0</v>
      </c>
      <c r="L55" s="526">
        <v>0</v>
      </c>
      <c r="M55" s="1367">
        <v>0</v>
      </c>
      <c r="N55" s="1516">
        <v>8.5484593706521306</v>
      </c>
      <c r="O55" s="1452">
        <f t="shared" si="29"/>
        <v>10.120529022418053</v>
      </c>
      <c r="P55" s="1452">
        <f t="shared" si="28"/>
        <v>10.726756278674783</v>
      </c>
      <c r="Q55" s="1463">
        <f t="shared" si="28"/>
        <v>12.077760413696447</v>
      </c>
      <c r="R55" s="1463">
        <v>12.629822569300575</v>
      </c>
      <c r="S55" s="1464">
        <v>28.352834951169029</v>
      </c>
      <c r="T55" s="1454">
        <v>1</v>
      </c>
      <c r="U55" s="1455">
        <v>1</v>
      </c>
      <c r="V55" s="1455">
        <v>1</v>
      </c>
      <c r="W55" s="1455">
        <v>1</v>
      </c>
      <c r="X55" s="1455">
        <v>29.518742355289458</v>
      </c>
      <c r="Y55" s="1456">
        <v>1</v>
      </c>
      <c r="Z55" s="1454">
        <v>0</v>
      </c>
      <c r="AA55" s="1455">
        <v>0</v>
      </c>
      <c r="AB55" s="1455">
        <v>0</v>
      </c>
      <c r="AC55" s="1455">
        <v>0</v>
      </c>
      <c r="AD55" s="1455">
        <v>159.32333432962849</v>
      </c>
      <c r="AE55" s="1456">
        <v>311.31604736450322</v>
      </c>
    </row>
    <row r="56" spans="2:31" x14ac:dyDescent="0.2">
      <c r="B56" s="532">
        <v>2041</v>
      </c>
      <c r="C56" s="1421">
        <v>100224.59501906054</v>
      </c>
      <c r="D56" s="1422">
        <v>5059.7707503429119</v>
      </c>
      <c r="E56" s="1422">
        <v>5123.9743144372333</v>
      </c>
      <c r="F56" s="1422">
        <v>11472.423184880303</v>
      </c>
      <c r="G56" s="1422">
        <v>23068.479017348815</v>
      </c>
      <c r="H56" s="1423">
        <v>25842.174268490082</v>
      </c>
      <c r="I56" s="1364">
        <v>0</v>
      </c>
      <c r="J56" s="533">
        <v>0</v>
      </c>
      <c r="K56" s="533">
        <v>0</v>
      </c>
      <c r="L56" s="533">
        <v>0</v>
      </c>
      <c r="M56" s="1369">
        <v>0</v>
      </c>
      <c r="N56" s="1514">
        <v>8.5501630690723598</v>
      </c>
      <c r="O56" s="1458">
        <f t="shared" si="29"/>
        <v>10.122546032566872</v>
      </c>
      <c r="P56" s="1458">
        <f t="shared" si="28"/>
        <v>10.728894109239773</v>
      </c>
      <c r="Q56" s="1458">
        <f t="shared" si="28"/>
        <v>12.080167497879049</v>
      </c>
      <c r="R56" s="1458">
        <v>12.703032138457624</v>
      </c>
      <c r="S56" s="1459">
        <v>28.455298688698463</v>
      </c>
      <c r="T56" s="1442">
        <v>1</v>
      </c>
      <c r="U56" s="1443">
        <v>1</v>
      </c>
      <c r="V56" s="1443">
        <v>1</v>
      </c>
      <c r="W56" s="1443">
        <v>1</v>
      </c>
      <c r="X56" s="1443">
        <v>29.626784048071297</v>
      </c>
      <c r="Y56" s="1444">
        <v>1</v>
      </c>
      <c r="Z56" s="1442">
        <v>0</v>
      </c>
      <c r="AA56" s="1443">
        <v>0</v>
      </c>
      <c r="AB56" s="1443">
        <v>0</v>
      </c>
      <c r="AC56" s="1443">
        <v>0</v>
      </c>
      <c r="AD56" s="1443">
        <v>159.61935007669803</v>
      </c>
      <c r="AE56" s="1444">
        <v>311.91641222554597</v>
      </c>
    </row>
    <row r="57" spans="2:31" x14ac:dyDescent="0.2">
      <c r="B57" s="523">
        <v>2042</v>
      </c>
      <c r="C57" s="1424">
        <v>100224.59501906054</v>
      </c>
      <c r="D57" s="1425">
        <v>5059.7707503429119</v>
      </c>
      <c r="E57" s="1425">
        <v>5123.9743144372333</v>
      </c>
      <c r="F57" s="1425">
        <v>11472.423184880303</v>
      </c>
      <c r="G57" s="1425">
        <v>23083.146430112363</v>
      </c>
      <c r="H57" s="1426">
        <v>25482.06845139603</v>
      </c>
      <c r="I57" s="1361">
        <v>0</v>
      </c>
      <c r="J57" s="524">
        <v>0</v>
      </c>
      <c r="K57" s="524">
        <v>0</v>
      </c>
      <c r="L57" s="524">
        <v>0</v>
      </c>
      <c r="M57" s="1366">
        <v>0</v>
      </c>
      <c r="N57" s="1515">
        <v>8.552006775413572</v>
      </c>
      <c r="O57" s="1446">
        <f t="shared" si="29"/>
        <v>10.124728798223934</v>
      </c>
      <c r="P57" s="1446">
        <f t="shared" si="28"/>
        <v>10.731207624191898</v>
      </c>
      <c r="Q57" s="1446">
        <f t="shared" si="28"/>
        <v>12.082772393392599</v>
      </c>
      <c r="R57" s="1446">
        <v>12.77647904810412</v>
      </c>
      <c r="S57" s="1447">
        <v>28.558268545496833</v>
      </c>
      <c r="T57" s="1448">
        <v>1</v>
      </c>
      <c r="U57" s="1449">
        <v>1</v>
      </c>
      <c r="V57" s="1449">
        <v>1</v>
      </c>
      <c r="W57" s="1449">
        <v>1</v>
      </c>
      <c r="X57" s="1449">
        <v>29.73535326090752</v>
      </c>
      <c r="Y57" s="1450">
        <v>1</v>
      </c>
      <c r="Z57" s="1448">
        <v>0</v>
      </c>
      <c r="AA57" s="1449">
        <v>0</v>
      </c>
      <c r="AB57" s="1449">
        <v>0</v>
      </c>
      <c r="AC57" s="1449">
        <v>0</v>
      </c>
      <c r="AD57" s="1449">
        <v>159.91536582376756</v>
      </c>
      <c r="AE57" s="1450">
        <v>312.51677708658872</v>
      </c>
    </row>
    <row r="58" spans="2:31" x14ac:dyDescent="0.2">
      <c r="B58" s="523">
        <v>2043</v>
      </c>
      <c r="C58" s="1424">
        <v>100224.59501906054</v>
      </c>
      <c r="D58" s="1425">
        <v>5059.7707503429119</v>
      </c>
      <c r="E58" s="1425">
        <v>5123.9743144372333</v>
      </c>
      <c r="F58" s="1425">
        <v>11472.423184880303</v>
      </c>
      <c r="G58" s="1425">
        <v>23097.813842875912</v>
      </c>
      <c r="H58" s="1426">
        <v>25121.962634301977</v>
      </c>
      <c r="I58" s="1361">
        <v>0</v>
      </c>
      <c r="J58" s="524">
        <v>0</v>
      </c>
      <c r="K58" s="524">
        <v>0</v>
      </c>
      <c r="L58" s="524">
        <v>0</v>
      </c>
      <c r="M58" s="1366">
        <v>0</v>
      </c>
      <c r="N58" s="1515">
        <v>8.5541625159132924</v>
      </c>
      <c r="O58" s="1446">
        <f t="shared" si="29"/>
        <v>10.127280981412301</v>
      </c>
      <c r="P58" s="1446">
        <f t="shared" si="28"/>
        <v>10.733912685061691</v>
      </c>
      <c r="Q58" s="1446">
        <f t="shared" si="28"/>
        <v>12.085818148907226</v>
      </c>
      <c r="R58" s="1446">
        <v>12.850425196081595</v>
      </c>
      <c r="S58" s="1447">
        <v>28.662325683640393</v>
      </c>
      <c r="T58" s="1448">
        <v>1</v>
      </c>
      <c r="U58" s="1449">
        <v>1</v>
      </c>
      <c r="V58" s="1449">
        <v>1</v>
      </c>
      <c r="W58" s="1449">
        <v>1</v>
      </c>
      <c r="X58" s="1449">
        <v>29.845055203445884</v>
      </c>
      <c r="Y58" s="1450">
        <v>1</v>
      </c>
      <c r="Z58" s="1448">
        <v>0</v>
      </c>
      <c r="AA58" s="1449">
        <v>0</v>
      </c>
      <c r="AB58" s="1449">
        <v>0</v>
      </c>
      <c r="AC58" s="1449">
        <v>0</v>
      </c>
      <c r="AD58" s="1449">
        <v>160.21138157083709</v>
      </c>
      <c r="AE58" s="1450">
        <v>313.11714194763147</v>
      </c>
    </row>
    <row r="59" spans="2:31" x14ac:dyDescent="0.2">
      <c r="B59" s="523">
        <v>2044</v>
      </c>
      <c r="C59" s="1424">
        <v>100224.59501906054</v>
      </c>
      <c r="D59" s="1425">
        <v>5059.7707503429119</v>
      </c>
      <c r="E59" s="1425">
        <v>5123.9743144372333</v>
      </c>
      <c r="F59" s="1425">
        <v>11472.423184880303</v>
      </c>
      <c r="G59" s="1425">
        <v>23112.481255639461</v>
      </c>
      <c r="H59" s="1426">
        <v>24761.856817207925</v>
      </c>
      <c r="I59" s="1361">
        <v>0</v>
      </c>
      <c r="J59" s="524">
        <v>0</v>
      </c>
      <c r="K59" s="524">
        <v>0</v>
      </c>
      <c r="L59" s="524">
        <v>0</v>
      </c>
      <c r="M59" s="1366">
        <v>0</v>
      </c>
      <c r="N59" s="1515">
        <v>8.5564345191960758</v>
      </c>
      <c r="O59" s="1446">
        <f t="shared" si="29"/>
        <v>10.12997080821798</v>
      </c>
      <c r="P59" s="1446">
        <f t="shared" si="28"/>
        <v>10.736763634504399</v>
      </c>
      <c r="Q59" s="1446">
        <f t="shared" si="28"/>
        <v>12.089028167241382</v>
      </c>
      <c r="R59" s="1446">
        <v>12.924582607371574</v>
      </c>
      <c r="S59" s="1447">
        <v>28.766822517152743</v>
      </c>
      <c r="T59" s="1448">
        <v>1</v>
      </c>
      <c r="U59" s="1449">
        <v>1</v>
      </c>
      <c r="V59" s="1449">
        <v>1</v>
      </c>
      <c r="W59" s="1449">
        <v>1</v>
      </c>
      <c r="X59" s="1449">
        <v>29.955215684507468</v>
      </c>
      <c r="Y59" s="1450">
        <v>1</v>
      </c>
      <c r="Z59" s="1448">
        <v>0</v>
      </c>
      <c r="AA59" s="1449">
        <v>0</v>
      </c>
      <c r="AB59" s="1449">
        <v>0</v>
      </c>
      <c r="AC59" s="1449">
        <v>0</v>
      </c>
      <c r="AD59" s="1449">
        <v>160.50739731790662</v>
      </c>
      <c r="AE59" s="1450">
        <v>313.71750680867422</v>
      </c>
    </row>
    <row r="60" spans="2:31" ht="13.5" thickBot="1" x14ac:dyDescent="0.25">
      <c r="B60" s="525">
        <v>2045</v>
      </c>
      <c r="C60" s="1427">
        <v>100224.59501906054</v>
      </c>
      <c r="D60" s="1428">
        <v>5059.7707503429119</v>
      </c>
      <c r="E60" s="1428">
        <v>5123.9743144372333</v>
      </c>
      <c r="F60" s="1428">
        <v>11472.423184880303</v>
      </c>
      <c r="G60" s="1428">
        <v>23127.14866840301</v>
      </c>
      <c r="H60" s="1429">
        <v>24401.751000113873</v>
      </c>
      <c r="I60" s="1362">
        <v>0</v>
      </c>
      <c r="J60" s="526">
        <v>0</v>
      </c>
      <c r="K60" s="526">
        <v>0</v>
      </c>
      <c r="L60" s="526">
        <v>0</v>
      </c>
      <c r="M60" s="1367">
        <v>0</v>
      </c>
      <c r="N60" s="1516">
        <v>8.5588402101966423</v>
      </c>
      <c r="O60" s="1452">
        <f t="shared" si="29"/>
        <v>10.132818908037438</v>
      </c>
      <c r="P60" s="1452">
        <f t="shared" si="28"/>
        <v>10.739782337632763</v>
      </c>
      <c r="Q60" s="1452">
        <f t="shared" si="28"/>
        <v>12.092427067355944</v>
      </c>
      <c r="R60" s="1452">
        <v>12.998980630356771</v>
      </c>
      <c r="S60" s="1453">
        <v>28.871821775460866</v>
      </c>
      <c r="T60" s="1454">
        <v>1</v>
      </c>
      <c r="U60" s="1455">
        <v>1</v>
      </c>
      <c r="V60" s="1455">
        <v>1</v>
      </c>
      <c r="W60" s="1455">
        <v>1</v>
      </c>
      <c r="X60" s="1455">
        <v>30.065900082605818</v>
      </c>
      <c r="Y60" s="1456">
        <v>1</v>
      </c>
      <c r="Z60" s="1454">
        <v>0</v>
      </c>
      <c r="AA60" s="1455">
        <v>0</v>
      </c>
      <c r="AB60" s="1455">
        <v>0</v>
      </c>
      <c r="AC60" s="1455">
        <v>0</v>
      </c>
      <c r="AD60" s="1455">
        <v>160.80341306497616</v>
      </c>
      <c r="AE60" s="1456">
        <v>314.31787166971696</v>
      </c>
    </row>
    <row r="61" spans="2:31" x14ac:dyDescent="0.2">
      <c r="B61" s="532">
        <v>2046</v>
      </c>
      <c r="C61" s="1421">
        <v>100224.59501906054</v>
      </c>
      <c r="D61" s="1422">
        <v>5059.7707503429119</v>
      </c>
      <c r="E61" s="1422">
        <v>5123.9743144372333</v>
      </c>
      <c r="F61" s="1422">
        <v>11472.423184880303</v>
      </c>
      <c r="G61" s="1422">
        <v>23141.816081166558</v>
      </c>
      <c r="H61" s="1423">
        <v>24041.64518301982</v>
      </c>
      <c r="I61" s="1364">
        <v>0</v>
      </c>
      <c r="J61" s="533">
        <v>0</v>
      </c>
      <c r="K61" s="533">
        <v>0</v>
      </c>
      <c r="L61" s="533">
        <v>0</v>
      </c>
      <c r="M61" s="1369">
        <v>0</v>
      </c>
      <c r="N61" s="1514">
        <v>8.5606020112770658</v>
      </c>
      <c r="O61" s="1440">
        <f t="shared" si="29"/>
        <v>10.134904705979856</v>
      </c>
      <c r="P61" s="1440">
        <f t="shared" si="28"/>
        <v>10.741993076431626</v>
      </c>
      <c r="Q61" s="1440">
        <f t="shared" si="28"/>
        <v>12.094916242355009</v>
      </c>
      <c r="R61" s="1440">
        <v>13.072435183999087</v>
      </c>
      <c r="S61" s="1441">
        <v>28.974696166673027</v>
      </c>
      <c r="T61" s="1442">
        <v>1</v>
      </c>
      <c r="U61" s="1443">
        <v>1</v>
      </c>
      <c r="V61" s="1443">
        <v>1</v>
      </c>
      <c r="W61" s="1443">
        <v>1</v>
      </c>
      <c r="X61" s="1443">
        <v>30.17437238745957</v>
      </c>
      <c r="Y61" s="1444">
        <v>1</v>
      </c>
      <c r="Z61" s="1442">
        <v>0</v>
      </c>
      <c r="AA61" s="1443">
        <v>0</v>
      </c>
      <c r="AB61" s="1443">
        <v>0</v>
      </c>
      <c r="AC61" s="1443">
        <v>0</v>
      </c>
      <c r="AD61" s="1443">
        <v>161.09942881204569</v>
      </c>
      <c r="AE61" s="1444">
        <v>314.91823653075971</v>
      </c>
    </row>
    <row r="62" spans="2:31" x14ac:dyDescent="0.2">
      <c r="B62" s="523">
        <v>2047</v>
      </c>
      <c r="C62" s="1424">
        <v>100224.59501906054</v>
      </c>
      <c r="D62" s="1425">
        <v>5059.7707503429119</v>
      </c>
      <c r="E62" s="1425">
        <v>5123.9743144372333</v>
      </c>
      <c r="F62" s="1425">
        <v>11472.423184880303</v>
      </c>
      <c r="G62" s="1425">
        <v>23156.483493930107</v>
      </c>
      <c r="H62" s="1426">
        <v>23681.539365925768</v>
      </c>
      <c r="I62" s="1361">
        <v>0</v>
      </c>
      <c r="J62" s="524">
        <v>0</v>
      </c>
      <c r="K62" s="524">
        <v>0</v>
      </c>
      <c r="L62" s="524">
        <v>0</v>
      </c>
      <c r="M62" s="1366">
        <v>0</v>
      </c>
      <c r="N62" s="1515">
        <v>8.5625313997551658</v>
      </c>
      <c r="O62" s="1446">
        <f t="shared" si="29"/>
        <v>10.137188910798701</v>
      </c>
      <c r="P62" s="1446">
        <f t="shared" si="28"/>
        <v>10.744414106827175</v>
      </c>
      <c r="Q62" s="1446">
        <f t="shared" si="28"/>
        <v>12.097642194573186</v>
      </c>
      <c r="R62" s="1446">
        <v>13.146176169978935</v>
      </c>
      <c r="S62" s="1447">
        <v>29.078179578785281</v>
      </c>
      <c r="T62" s="1448">
        <v>1</v>
      </c>
      <c r="U62" s="1449">
        <v>1</v>
      </c>
      <c r="V62" s="1449">
        <v>1</v>
      </c>
      <c r="W62" s="1449">
        <v>1</v>
      </c>
      <c r="X62" s="1449">
        <v>30.283479506527545</v>
      </c>
      <c r="Y62" s="1450">
        <v>1</v>
      </c>
      <c r="Z62" s="1448">
        <v>0</v>
      </c>
      <c r="AA62" s="1449">
        <v>0</v>
      </c>
      <c r="AB62" s="1449">
        <v>0</v>
      </c>
      <c r="AC62" s="1449">
        <v>0</v>
      </c>
      <c r="AD62" s="1449">
        <v>161.39544455911522</v>
      </c>
      <c r="AE62" s="1450">
        <v>315.51860139180246</v>
      </c>
    </row>
    <row r="63" spans="2:31" x14ac:dyDescent="0.2">
      <c r="B63" s="523">
        <v>2048</v>
      </c>
      <c r="C63" s="1424">
        <v>100224.59501906054</v>
      </c>
      <c r="D63" s="1425">
        <v>5059.7707503429119</v>
      </c>
      <c r="E63" s="1425">
        <v>5123.9743144372333</v>
      </c>
      <c r="F63" s="1425">
        <v>11472.423184880303</v>
      </c>
      <c r="G63" s="1425">
        <v>23171.150906693656</v>
      </c>
      <c r="H63" s="1426">
        <v>23321.433548831716</v>
      </c>
      <c r="I63" s="1361">
        <v>0</v>
      </c>
      <c r="J63" s="524">
        <v>0</v>
      </c>
      <c r="K63" s="524">
        <v>0</v>
      </c>
      <c r="L63" s="524">
        <v>0</v>
      </c>
      <c r="M63" s="1366">
        <v>0</v>
      </c>
      <c r="N63" s="1515">
        <v>8.562689035627594</v>
      </c>
      <c r="O63" s="1446">
        <f t="shared" si="29"/>
        <v>10.137375536055101</v>
      </c>
      <c r="P63" s="1446">
        <f t="shared" si="28"/>
        <v>10.744611911075987</v>
      </c>
      <c r="Q63" s="1446">
        <f t="shared" si="28"/>
        <v>12.097864911698839</v>
      </c>
      <c r="R63" s="1446">
        <v>13.217214214445622</v>
      </c>
      <c r="S63" s="1447">
        <v>29.175669786952263</v>
      </c>
      <c r="T63" s="1448">
        <v>1</v>
      </c>
      <c r="U63" s="1449">
        <v>1</v>
      </c>
      <c r="V63" s="1449">
        <v>1</v>
      </c>
      <c r="W63" s="1449">
        <v>1</v>
      </c>
      <c r="X63" s="1449">
        <v>30.386345326703662</v>
      </c>
      <c r="Y63" s="1450">
        <v>1</v>
      </c>
      <c r="Z63" s="1448">
        <v>0</v>
      </c>
      <c r="AA63" s="1449">
        <v>0</v>
      </c>
      <c r="AB63" s="1449">
        <v>0</v>
      </c>
      <c r="AC63" s="1449">
        <v>0</v>
      </c>
      <c r="AD63" s="1449">
        <v>161.69146030618475</v>
      </c>
      <c r="AE63" s="1450">
        <v>316.11896625284521</v>
      </c>
    </row>
    <row r="64" spans="2:31" x14ac:dyDescent="0.2">
      <c r="B64" s="523">
        <v>2049</v>
      </c>
      <c r="C64" s="1424">
        <v>100224.59501906054</v>
      </c>
      <c r="D64" s="1425">
        <v>5059.7707503429119</v>
      </c>
      <c r="E64" s="1425">
        <v>5123.9743144372333</v>
      </c>
      <c r="F64" s="1425">
        <v>11472.423184880303</v>
      </c>
      <c r="G64" s="1425">
        <v>23185.818319457205</v>
      </c>
      <c r="H64" s="1426">
        <v>22961.327731737663</v>
      </c>
      <c r="I64" s="1361">
        <v>0</v>
      </c>
      <c r="J64" s="524">
        <v>0</v>
      </c>
      <c r="K64" s="524">
        <v>0</v>
      </c>
      <c r="L64" s="524">
        <v>0</v>
      </c>
      <c r="M64" s="1366">
        <v>0</v>
      </c>
      <c r="N64" s="1515">
        <v>8.5628466715000222</v>
      </c>
      <c r="O64" s="1446">
        <f t="shared" si="29"/>
        <v>10.137562161311502</v>
      </c>
      <c r="P64" s="1446">
        <f t="shared" si="28"/>
        <v>10.7448097153248</v>
      </c>
      <c r="Q64" s="1446">
        <f t="shared" si="28"/>
        <v>12.098087628824493</v>
      </c>
      <c r="R64" s="1446">
        <v>13.288254865568454</v>
      </c>
      <c r="S64" s="1447">
        <v>29.273163564924715</v>
      </c>
      <c r="T64" s="1448">
        <v>1</v>
      </c>
      <c r="U64" s="1449">
        <v>1</v>
      </c>
      <c r="V64" s="1449">
        <v>1</v>
      </c>
      <c r="W64" s="1449">
        <v>1</v>
      </c>
      <c r="X64" s="1449">
        <v>30.489214913794232</v>
      </c>
      <c r="Y64" s="1450">
        <v>1</v>
      </c>
      <c r="Z64" s="1448">
        <v>0</v>
      </c>
      <c r="AA64" s="1449">
        <v>0</v>
      </c>
      <c r="AB64" s="1449">
        <v>0</v>
      </c>
      <c r="AC64" s="1449">
        <v>0</v>
      </c>
      <c r="AD64" s="1449">
        <v>161.98747605325428</v>
      </c>
      <c r="AE64" s="1450">
        <v>316.71933111388796</v>
      </c>
    </row>
    <row r="65" spans="2:31" ht="13.5" thickBot="1" x14ac:dyDescent="0.25">
      <c r="B65" s="525">
        <v>2050</v>
      </c>
      <c r="C65" s="1427">
        <v>100224.59501906054</v>
      </c>
      <c r="D65" s="1428">
        <v>5059.7707503429119</v>
      </c>
      <c r="E65" s="1428">
        <v>5123.9743144372333</v>
      </c>
      <c r="F65" s="1428">
        <v>11472.423184880303</v>
      </c>
      <c r="G65" s="1428">
        <v>23200.485732220724</v>
      </c>
      <c r="H65" s="1429">
        <v>22601.221914643567</v>
      </c>
      <c r="I65" s="1362">
        <v>0</v>
      </c>
      <c r="J65" s="526">
        <v>0</v>
      </c>
      <c r="K65" s="526">
        <v>0</v>
      </c>
      <c r="L65" s="526">
        <v>0</v>
      </c>
      <c r="M65" s="1367">
        <v>0</v>
      </c>
      <c r="N65" s="1516">
        <v>8.5630043073724504</v>
      </c>
      <c r="O65" s="1452">
        <f t="shared" si="29"/>
        <v>10.137748786567903</v>
      </c>
      <c r="P65" s="1452">
        <f t="shared" si="28"/>
        <v>10.745007519573612</v>
      </c>
      <c r="Q65" s="1463">
        <f t="shared" si="28"/>
        <v>12.098310345950145</v>
      </c>
      <c r="R65" s="1463">
        <v>13.359298123347438</v>
      </c>
      <c r="S65" s="1464">
        <v>29.37066091270264</v>
      </c>
      <c r="T65" s="1454">
        <v>1</v>
      </c>
      <c r="U65" s="1455">
        <v>1</v>
      </c>
      <c r="V65" s="1455">
        <v>1</v>
      </c>
      <c r="W65" s="1455">
        <v>1</v>
      </c>
      <c r="X65" s="1455">
        <v>30.592088267799273</v>
      </c>
      <c r="Y65" s="1456">
        <v>1</v>
      </c>
      <c r="Z65" s="1454">
        <v>0</v>
      </c>
      <c r="AA65" s="1455">
        <v>0</v>
      </c>
      <c r="AB65" s="1455">
        <v>0</v>
      </c>
      <c r="AC65" s="1455">
        <v>0</v>
      </c>
      <c r="AD65" s="1455">
        <v>162.28349180032379</v>
      </c>
      <c r="AE65" s="1456">
        <v>317.31969597493031</v>
      </c>
    </row>
    <row r="66" spans="2:31" ht="13.5" thickBot="1" x14ac:dyDescent="0.25">
      <c r="C66" s="497"/>
      <c r="D66" s="497"/>
      <c r="F66" s="497"/>
    </row>
    <row r="67" spans="2:31" ht="13.5" thickBot="1" x14ac:dyDescent="0.25">
      <c r="B67" s="536"/>
      <c r="C67" s="537" t="s">
        <v>203</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G11" activePane="bottomRight" state="frozen"/>
      <selection activeCell="B5" sqref="B5:H5"/>
      <selection pane="topRight" activeCell="B5" sqref="B5:H5"/>
      <selection pane="bottomLeft" activeCell="B5" sqref="B5:H5"/>
      <selection pane="bottomRight" activeCell="E3" sqref="E3"/>
    </sheetView>
  </sheetViews>
  <sheetFormatPr defaultColWidth="9.140625" defaultRowHeight="12.75" x14ac:dyDescent="0.2"/>
  <cols>
    <col min="1" max="1" width="9.140625" style="3"/>
    <col min="2" max="4" width="9.5703125" style="3" customWidth="1"/>
    <col min="5" max="10" width="9.5703125" style="7" customWidth="1"/>
    <col min="11" max="11" width="8.42578125" style="53"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48"/>
    <col min="33" max="50" width="9.140625" style="3"/>
    <col min="51" max="51" width="9.140625" style="3" customWidth="1"/>
    <col min="52" max="16384" width="9.140625" style="3"/>
  </cols>
  <sheetData>
    <row r="1" spans="1:52" x14ac:dyDescent="0.2">
      <c r="A1" s="55" t="s">
        <v>4</v>
      </c>
      <c r="M1" s="3" t="s">
        <v>404</v>
      </c>
      <c r="P1" s="3" t="s">
        <v>370</v>
      </c>
    </row>
    <row r="2" spans="1:52" x14ac:dyDescent="0.2">
      <c r="A2" s="492" t="s">
        <v>423</v>
      </c>
      <c r="B2" s="493"/>
      <c r="C2" s="493"/>
      <c r="D2" s="493"/>
      <c r="E2" s="1372" t="s">
        <v>424</v>
      </c>
      <c r="F2" s="53"/>
      <c r="G2" s="56" t="s">
        <v>425</v>
      </c>
      <c r="H2" s="56"/>
      <c r="I2" s="56"/>
      <c r="J2" s="56"/>
      <c r="K2" s="226"/>
      <c r="L2" s="57" t="s">
        <v>209</v>
      </c>
      <c r="M2" s="2">
        <v>134200</v>
      </c>
      <c r="N2" s="3" t="s">
        <v>210</v>
      </c>
      <c r="P2" s="3">
        <f>107.932/104.757</f>
        <v>1.0303082371583761</v>
      </c>
      <c r="Q2" s="3" t="s">
        <v>429</v>
      </c>
      <c r="X2" s="10"/>
      <c r="Y2" s="10"/>
      <c r="Z2" s="10"/>
      <c r="AA2" s="10"/>
    </row>
    <row r="3" spans="1:52" x14ac:dyDescent="0.2">
      <c r="A3" s="494" t="s">
        <v>204</v>
      </c>
      <c r="B3" s="493"/>
      <c r="C3" s="495"/>
      <c r="D3" s="493"/>
      <c r="E3" s="226" t="s">
        <v>440</v>
      </c>
      <c r="F3" s="53"/>
      <c r="L3" s="57" t="s">
        <v>318</v>
      </c>
      <c r="M3" s="2">
        <v>138700</v>
      </c>
      <c r="N3" s="3" t="s">
        <v>319</v>
      </c>
      <c r="W3" s="766"/>
      <c r="X3" s="10"/>
      <c r="Y3" s="1382"/>
      <c r="Z3" s="10"/>
      <c r="AA3" s="10"/>
    </row>
    <row r="4" spans="1:52" x14ac:dyDescent="0.2">
      <c r="A4" s="654" t="s">
        <v>331</v>
      </c>
      <c r="B4" s="655"/>
      <c r="C4" s="656"/>
      <c r="D4" s="655"/>
      <c r="E4" s="226" t="s">
        <v>358</v>
      </c>
      <c r="F4" s="53"/>
      <c r="L4" s="57" t="s">
        <v>436</v>
      </c>
      <c r="M4" s="2">
        <v>120726</v>
      </c>
      <c r="N4" s="3" t="s">
        <v>319</v>
      </c>
      <c r="O4" s="3" t="s">
        <v>437</v>
      </c>
      <c r="W4" s="766"/>
    </row>
    <row r="5" spans="1:52" ht="15.75" x14ac:dyDescent="0.25">
      <c r="A5" s="58"/>
      <c r="B5" s="48"/>
      <c r="C5" s="59"/>
      <c r="D5" s="48"/>
      <c r="E5" s="53"/>
      <c r="F5" s="53"/>
      <c r="G5" s="1263"/>
      <c r="L5" s="612"/>
      <c r="X5" s="1381" t="s">
        <v>328</v>
      </c>
    </row>
    <row r="6" spans="1:52" ht="16.5" thickBot="1" x14ac:dyDescent="0.3">
      <c r="D6" s="48"/>
      <c r="E6" s="48"/>
      <c r="F6" s="3"/>
      <c r="G6" s="1263"/>
      <c r="H6" s="3"/>
      <c r="I6" s="3"/>
      <c r="J6" s="3"/>
      <c r="K6" s="3"/>
      <c r="X6" s="1376">
        <f>2.24/2.86</f>
        <v>0.78321678321678334</v>
      </c>
      <c r="Y6" s="1376">
        <f>2.34/2.2</f>
        <v>1.0636363636363635</v>
      </c>
      <c r="Z6" s="1376">
        <f>AVERAGE(2.54/2.77,2.54/2.64,2.65/2.56,2.43/2.57,3.11/3.42)</f>
        <v>0.95382539762429508</v>
      </c>
      <c r="AA6" s="1383">
        <v>1</v>
      </c>
      <c r="AB6" s="1376">
        <f>AVERAGE(3.14/3.15,3.13/3.14,2.68/2.93,2.65/2.91)</f>
        <v>0.95474234308247208</v>
      </c>
      <c r="AC6" s="1383">
        <v>1</v>
      </c>
      <c r="AD6" s="1376">
        <f>1.93/2.23</f>
        <v>0.86547085201793716</v>
      </c>
      <c r="AE6" s="1383">
        <v>1</v>
      </c>
      <c r="AF6" s="7"/>
      <c r="AG6" s="53"/>
      <c r="AH6" s="612"/>
      <c r="AU6" s="3" t="s">
        <v>430</v>
      </c>
    </row>
    <row r="7" spans="1:52" ht="16.5" customHeight="1" thickBot="1" x14ac:dyDescent="0.3">
      <c r="A7" s="1546" t="s">
        <v>283</v>
      </c>
      <c r="B7" s="1547"/>
      <c r="C7" s="1547"/>
      <c r="D7" s="1547"/>
      <c r="E7" s="1547"/>
      <c r="F7" s="1547"/>
      <c r="G7" s="1547"/>
      <c r="H7" s="1547"/>
      <c r="I7" s="1547"/>
      <c r="J7" s="1547"/>
      <c r="K7" s="1547"/>
      <c r="L7" s="1547"/>
      <c r="M7" s="1547"/>
      <c r="N7" s="1547"/>
      <c r="O7" s="1547"/>
      <c r="P7" s="1547"/>
      <c r="Q7" s="1547"/>
      <c r="R7" s="1547"/>
      <c r="S7" s="1547"/>
      <c r="T7" s="1548"/>
      <c r="W7" s="1546" t="s">
        <v>282</v>
      </c>
      <c r="X7" s="1547"/>
      <c r="Y7" s="1547"/>
      <c r="Z7" s="1547"/>
      <c r="AA7" s="1547"/>
      <c r="AB7" s="1547"/>
      <c r="AC7" s="1547"/>
      <c r="AD7" s="1547"/>
      <c r="AE7" s="1547"/>
      <c r="AF7" s="1547"/>
      <c r="AG7" s="1547"/>
      <c r="AH7" s="1547"/>
      <c r="AI7" s="1547"/>
      <c r="AJ7" s="1547"/>
      <c r="AK7" s="1547"/>
      <c r="AL7" s="1547"/>
      <c r="AM7" s="1547"/>
      <c r="AN7" s="1547"/>
      <c r="AO7" s="1547"/>
      <c r="AP7" s="1548"/>
      <c r="AQ7" s="970"/>
      <c r="AU7" s="3" t="s">
        <v>432</v>
      </c>
    </row>
    <row r="8" spans="1:52" ht="12.75" customHeight="1" x14ac:dyDescent="0.2">
      <c r="A8" s="557"/>
      <c r="B8" s="1549" t="s">
        <v>426</v>
      </c>
      <c r="C8" s="1549"/>
      <c r="D8" s="1549"/>
      <c r="E8" s="1549"/>
      <c r="F8" s="1549"/>
      <c r="G8" s="1549"/>
      <c r="H8" s="1549"/>
      <c r="I8" s="1549"/>
      <c r="J8" s="953"/>
      <c r="K8" s="953"/>
      <c r="L8" s="1550" t="s">
        <v>427</v>
      </c>
      <c r="M8" s="1550"/>
      <c r="N8" s="1550"/>
      <c r="O8" s="1550"/>
      <c r="P8" s="1550"/>
      <c r="Q8" s="1550"/>
      <c r="R8" s="1550"/>
      <c r="S8" s="1550"/>
      <c r="T8" s="558"/>
      <c r="W8" s="960"/>
      <c r="X8" s="1550" t="s">
        <v>428</v>
      </c>
      <c r="Y8" s="1550"/>
      <c r="Z8" s="1550"/>
      <c r="AA8" s="1550"/>
      <c r="AB8" s="1550"/>
      <c r="AC8" s="1550"/>
      <c r="AD8" s="1550"/>
      <c r="AE8" s="1550"/>
      <c r="AF8" s="1370"/>
      <c r="AG8" s="1370"/>
      <c r="AH8" s="1550" t="s">
        <v>427</v>
      </c>
      <c r="AI8" s="1550"/>
      <c r="AJ8" s="1550"/>
      <c r="AK8" s="1550"/>
      <c r="AL8" s="1550"/>
      <c r="AM8" s="1550"/>
      <c r="AN8" s="1550"/>
      <c r="AO8" s="1550"/>
      <c r="AP8" s="961"/>
      <c r="AQ8" s="971"/>
      <c r="AU8" s="3" t="s">
        <v>433</v>
      </c>
      <c r="AW8" s="3" t="s">
        <v>434</v>
      </c>
      <c r="AY8" s="3" t="s">
        <v>435</v>
      </c>
    </row>
    <row r="9" spans="1:52" ht="12.75" hidden="1" customHeight="1" x14ac:dyDescent="0.2">
      <c r="A9" s="559"/>
      <c r="B9" s="1551"/>
      <c r="C9" s="1551"/>
      <c r="D9" s="1551"/>
      <c r="E9" s="1551"/>
      <c r="F9" s="1551"/>
      <c r="G9" s="1551"/>
      <c r="H9" s="1551"/>
      <c r="I9" s="1551"/>
      <c r="J9" s="954"/>
      <c r="K9" s="954"/>
      <c r="L9" s="1552"/>
      <c r="M9" s="1552"/>
      <c r="N9" s="1552"/>
      <c r="O9" s="1552"/>
      <c r="P9" s="1552"/>
      <c r="Q9" s="1552"/>
      <c r="R9" s="1552"/>
      <c r="S9" s="1552"/>
      <c r="T9" s="560"/>
      <c r="W9" s="559"/>
      <c r="X9" s="1551"/>
      <c r="Y9" s="1551"/>
      <c r="Z9" s="1551"/>
      <c r="AA9" s="1551"/>
      <c r="AB9" s="1551"/>
      <c r="AC9" s="1551"/>
      <c r="AD9" s="1551"/>
      <c r="AE9" s="1551"/>
      <c r="AF9" s="1371"/>
      <c r="AG9" s="1371"/>
      <c r="AH9" s="1552"/>
      <c r="AI9" s="1552"/>
      <c r="AJ9" s="1552"/>
      <c r="AK9" s="1552"/>
      <c r="AL9" s="1552"/>
      <c r="AM9" s="1552"/>
      <c r="AN9" s="1552"/>
      <c r="AO9" s="1552"/>
      <c r="AP9" s="560"/>
      <c r="AQ9" s="971"/>
    </row>
    <row r="10" spans="1:52" ht="26.25" thickBot="1" x14ac:dyDescent="0.25">
      <c r="A10" s="561" t="s">
        <v>3</v>
      </c>
      <c r="B10" s="562" t="s">
        <v>2</v>
      </c>
      <c r="C10" s="563" t="s">
        <v>50</v>
      </c>
      <c r="D10" s="563" t="s">
        <v>0</v>
      </c>
      <c r="E10" s="563" t="s">
        <v>51</v>
      </c>
      <c r="F10" s="563" t="s">
        <v>5</v>
      </c>
      <c r="G10" s="563" t="s">
        <v>52</v>
      </c>
      <c r="H10" s="563" t="s">
        <v>1</v>
      </c>
      <c r="I10" s="563" t="s">
        <v>6</v>
      </c>
      <c r="J10" s="563" t="s">
        <v>208</v>
      </c>
      <c r="K10" s="565" t="str">
        <f>A10</f>
        <v>Year</v>
      </c>
      <c r="L10" s="566" t="s">
        <v>2</v>
      </c>
      <c r="M10" s="566" t="s">
        <v>50</v>
      </c>
      <c r="N10" s="566" t="s">
        <v>0</v>
      </c>
      <c r="O10" s="566" t="s">
        <v>51</v>
      </c>
      <c r="P10" s="566" t="s">
        <v>5</v>
      </c>
      <c r="Q10" s="566" t="s">
        <v>52</v>
      </c>
      <c r="R10" s="566" t="s">
        <v>1</v>
      </c>
      <c r="S10" s="566" t="s">
        <v>6</v>
      </c>
      <c r="T10" s="567" t="s">
        <v>208</v>
      </c>
      <c r="U10" s="1377" t="s">
        <v>422</v>
      </c>
      <c r="W10" s="561" t="s">
        <v>3</v>
      </c>
      <c r="X10" s="562" t="s">
        <v>2</v>
      </c>
      <c r="Y10" s="563" t="s">
        <v>50</v>
      </c>
      <c r="Z10" s="563" t="s">
        <v>0</v>
      </c>
      <c r="AA10" s="563" t="s">
        <v>51</v>
      </c>
      <c r="AB10" s="563" t="s">
        <v>5</v>
      </c>
      <c r="AC10" s="563" t="s">
        <v>52</v>
      </c>
      <c r="AD10" s="563" t="s">
        <v>1</v>
      </c>
      <c r="AE10" s="563" t="s">
        <v>6</v>
      </c>
      <c r="AF10" s="563" t="s">
        <v>208</v>
      </c>
      <c r="AG10" s="565" t="str">
        <f>W10</f>
        <v>Year</v>
      </c>
      <c r="AH10" s="566" t="s">
        <v>2</v>
      </c>
      <c r="AI10" s="566" t="s">
        <v>50</v>
      </c>
      <c r="AJ10" s="566" t="s">
        <v>0</v>
      </c>
      <c r="AK10" s="566" t="s">
        <v>51</v>
      </c>
      <c r="AL10" s="566" t="s">
        <v>5</v>
      </c>
      <c r="AM10" s="566" t="s">
        <v>52</v>
      </c>
      <c r="AN10" s="566" t="s">
        <v>1</v>
      </c>
      <c r="AO10" s="566" t="s">
        <v>6</v>
      </c>
      <c r="AP10" s="567" t="s">
        <v>208</v>
      </c>
      <c r="AQ10" s="971"/>
      <c r="AT10" s="1374" t="s">
        <v>431</v>
      </c>
      <c r="AU10" s="3" t="s">
        <v>0</v>
      </c>
      <c r="AV10" s="3" t="s">
        <v>5</v>
      </c>
      <c r="AW10" s="3" t="s">
        <v>0</v>
      </c>
      <c r="AX10" s="3" t="s">
        <v>5</v>
      </c>
      <c r="AY10" s="3" t="s">
        <v>0</v>
      </c>
      <c r="AZ10" s="3" t="s">
        <v>5</v>
      </c>
    </row>
    <row r="11" spans="1:52" ht="13.5" thickBot="1" x14ac:dyDescent="0.25">
      <c r="A11" s="962">
        <v>2007</v>
      </c>
      <c r="B11" s="1375">
        <v>23.831382999999999</v>
      </c>
      <c r="C11" s="1375">
        <v>27.431152000000001</v>
      </c>
      <c r="D11" s="963">
        <f>AY11</f>
        <v>19.139039844907355</v>
      </c>
      <c r="E11" s="1375">
        <v>15.767529</v>
      </c>
      <c r="F11" s="963">
        <f>AZ11</f>
        <v>16.870047225373874</v>
      </c>
      <c r="G11" s="1375">
        <v>9.1869709999999998</v>
      </c>
      <c r="H11" s="1375">
        <v>13.840966</v>
      </c>
      <c r="I11" s="1375">
        <v>32.004199999999997</v>
      </c>
      <c r="J11" s="1312">
        <f t="shared" ref="J11:J18" si="0">K62/$M$2*10^6</f>
        <v>74.515648286140092</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23" si="9">I11*HVDiesel/10^6</f>
        <v>4.4389825400000005</v>
      </c>
      <c r="T11" s="548">
        <f t="shared" ref="T11:T54" si="10">J11*HVDiesel/10^6</f>
        <v>10.335320417287631</v>
      </c>
      <c r="U11" s="1378"/>
      <c r="W11" s="556">
        <v>2007</v>
      </c>
      <c r="X11" s="568">
        <f t="shared" ref="X11:X58" si="11">$X$6*B11</f>
        <v>18.665139132867136</v>
      </c>
      <c r="Y11" s="568">
        <f t="shared" ref="Y11:Y58" si="12">$Y$6*C11</f>
        <v>29.176770763636359</v>
      </c>
      <c r="Z11" s="568">
        <f t="shared" ref="Z11:Z58" si="13">$Z$6*D11</f>
        <v>18.255302290215983</v>
      </c>
      <c r="AA11" s="568">
        <f>$AA$6*E11</f>
        <v>15.767529</v>
      </c>
      <c r="AB11" s="568">
        <f t="shared" ref="AB11:AB58" si="14">$AB$6*F11</f>
        <v>16.106548415865408</v>
      </c>
      <c r="AC11" s="568">
        <f>$AC$6*G11</f>
        <v>9.1869709999999998</v>
      </c>
      <c r="AD11" s="568">
        <f t="shared" ref="AD11:AD54" si="15">$AD$6*H11</f>
        <v>11.9789526367713</v>
      </c>
      <c r="AE11" s="568">
        <f>$AE$6*I11</f>
        <v>32.004199999999997</v>
      </c>
      <c r="AF11" s="652">
        <f t="shared" ref="AF11:AF18" si="16">AG62/$M$2*10^6</f>
        <v>74.515648286140092</v>
      </c>
      <c r="AG11" s="546">
        <f t="shared" ref="AG11:AG15" si="17">W11</f>
        <v>2007</v>
      </c>
      <c r="AH11" s="547">
        <f t="shared" ref="AH11:AH54" si="18">X11*HVDiesel/10^6</f>
        <v>2.5888547977286716</v>
      </c>
      <c r="AI11" s="547">
        <f t="shared" ref="AI11:AI54" si="19">Y11*HVDiesel/10^6</f>
        <v>4.0468181049163627</v>
      </c>
      <c r="AJ11" s="547">
        <f t="shared" ref="AJ11:AJ54" si="20">Z11*HVDiesel/10^6</f>
        <v>2.5320104276529567</v>
      </c>
      <c r="AK11" s="547">
        <f t="shared" ref="AK11:AK54" si="21">AA11*HVDiesel/10^6</f>
        <v>2.1869562722999998</v>
      </c>
      <c r="AL11" s="547">
        <f t="shared" ref="AL11:AL54" si="22">AB11*HVDiesel/10^6</f>
        <v>2.2339782652805322</v>
      </c>
      <c r="AM11" s="547">
        <f t="shared" ref="AM11:AM54" si="23">AC11*HVDiesel/10^6</f>
        <v>1.2742328777</v>
      </c>
      <c r="AN11" s="547">
        <f t="shared" ref="AN11:AN54" si="24">AD11*HVDiesel/10^6</f>
        <v>1.6614807307201793</v>
      </c>
      <c r="AO11" s="547">
        <f t="shared" ref="AO11:AO23" si="25">AE11*HVDiesel/10^6</f>
        <v>4.4389825400000005</v>
      </c>
      <c r="AP11" s="548">
        <f t="shared" ref="AP11:AP54" si="26">AF11*HVDiesel/10^6</f>
        <v>10.335320417287631</v>
      </c>
      <c r="AQ11" s="10"/>
      <c r="AR11" s="1" t="s">
        <v>211</v>
      </c>
      <c r="AT11" s="3">
        <v>5.3440000000000003</v>
      </c>
      <c r="AU11" s="3">
        <v>2.8488790800000006</v>
      </c>
      <c r="AV11" s="3">
        <v>2.8849999999999998</v>
      </c>
      <c r="AW11" s="3">
        <f t="shared" ref="AW11:AW23" si="27">AU11*(HVDiesel/HVGasoline)*$AT11/$AT$23</f>
        <v>2.6545848264886494</v>
      </c>
      <c r="AX11" s="3">
        <f>AV11*$AT11/$AT$23</f>
        <v>2.3398755501593564</v>
      </c>
      <c r="AY11" s="3">
        <f t="shared" ref="AY11:AY23" si="28">(AU11/HVGasoline)*($AT11/$AT$23)*10^6</f>
        <v>19.139039844907355</v>
      </c>
      <c r="AZ11" s="3">
        <f t="shared" ref="AZ11:AZ23" si="29">(AV11/HVDiesel)*($AT11/$AT$23)*10^6</f>
        <v>16.870047225373874</v>
      </c>
    </row>
    <row r="12" spans="1:52" ht="13.5" thickTop="1" x14ac:dyDescent="0.2">
      <c r="A12" s="487">
        <v>2008</v>
      </c>
      <c r="B12" s="1352">
        <v>28.925077000000002</v>
      </c>
      <c r="C12" s="1352">
        <v>33.544201000000001</v>
      </c>
      <c r="D12" s="569">
        <f t="shared" ref="D12:D22" si="30">AY12</f>
        <v>23.14446391167051</v>
      </c>
      <c r="E12" s="1352">
        <v>24.678422999999999</v>
      </c>
      <c r="F12" s="569">
        <f t="shared" ref="F12:F22" si="31">AZ12</f>
        <v>23.0911244330991</v>
      </c>
      <c r="G12" s="1352">
        <v>15.781518</v>
      </c>
      <c r="H12" s="1352">
        <v>20.719681000000001</v>
      </c>
      <c r="I12" s="1352">
        <v>41.567065999999997</v>
      </c>
      <c r="J12" s="1313">
        <f t="shared" si="0"/>
        <v>74.515648286140092</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5.7653520541999992</v>
      </c>
      <c r="T12" s="550">
        <f t="shared" si="10"/>
        <v>10.335320417287631</v>
      </c>
      <c r="U12" s="1378"/>
      <c r="W12" s="487">
        <v>2008</v>
      </c>
      <c r="X12" s="569">
        <f t="shared" si="11"/>
        <v>22.654605762237768</v>
      </c>
      <c r="Y12" s="569">
        <f t="shared" si="12"/>
        <v>35.678831972727266</v>
      </c>
      <c r="Z12" s="569">
        <f t="shared" si="13"/>
        <v>22.075777493350273</v>
      </c>
      <c r="AA12" s="569">
        <f t="shared" ref="AA12:AA54" si="32">$AA$6*E12</f>
        <v>24.678422999999999</v>
      </c>
      <c r="AB12" s="569">
        <f t="shared" si="14"/>
        <v>22.046074245665956</v>
      </c>
      <c r="AC12" s="569">
        <f t="shared" ref="AC12:AC54" si="33">$AC$6*G12</f>
        <v>15.781518</v>
      </c>
      <c r="AD12" s="569">
        <f t="shared" si="15"/>
        <v>17.932279968609866</v>
      </c>
      <c r="AE12" s="569">
        <f t="shared" ref="AE12:AE54" si="34">$AE$6*I12</f>
        <v>41.567065999999997</v>
      </c>
      <c r="AF12" s="652">
        <f t="shared" si="16"/>
        <v>74.515648286140092</v>
      </c>
      <c r="AG12" s="549">
        <f t="shared" si="17"/>
        <v>2008</v>
      </c>
      <c r="AH12" s="544">
        <f t="shared" si="18"/>
        <v>3.1421938192223786</v>
      </c>
      <c r="AI12" s="544">
        <f t="shared" si="19"/>
        <v>4.9486539946172723</v>
      </c>
      <c r="AJ12" s="544">
        <f t="shared" si="20"/>
        <v>3.0619103383276829</v>
      </c>
      <c r="AK12" s="544">
        <f t="shared" si="21"/>
        <v>3.4228972701</v>
      </c>
      <c r="AL12" s="544">
        <f t="shared" si="22"/>
        <v>3.0577904978738677</v>
      </c>
      <c r="AM12" s="544">
        <f t="shared" si="23"/>
        <v>2.1888965466000001</v>
      </c>
      <c r="AN12" s="544">
        <f t="shared" si="24"/>
        <v>2.4872072316461886</v>
      </c>
      <c r="AO12" s="544">
        <f t="shared" si="25"/>
        <v>5.7653520541999992</v>
      </c>
      <c r="AP12" s="550">
        <f t="shared" si="26"/>
        <v>10.335320417287631</v>
      </c>
      <c r="AQ12" s="10"/>
      <c r="AR12" s="967" t="str">
        <f t="array" ref="AR12:AR20">TRANSPOSE(AH10:AP10)</f>
        <v>LPG</v>
      </c>
      <c r="AT12" s="3">
        <v>5.5490000000000004</v>
      </c>
      <c r="AU12" s="3">
        <v>3.31781923</v>
      </c>
      <c r="AV12" s="3">
        <v>3.8029999999999999</v>
      </c>
      <c r="AW12" s="3">
        <f t="shared" si="27"/>
        <v>3.2101371445486993</v>
      </c>
      <c r="AX12" s="3">
        <f t="shared" ref="AX12:AX23" si="35">AV12*$AT12/$AT$23</f>
        <v>3.202738958870845</v>
      </c>
      <c r="AY12" s="3">
        <f t="shared" si="28"/>
        <v>23.14446391167051</v>
      </c>
      <c r="AZ12" s="3">
        <f t="shared" si="29"/>
        <v>23.0911244330991</v>
      </c>
    </row>
    <row r="13" spans="1:52" x14ac:dyDescent="0.2">
      <c r="A13" s="487">
        <v>2009</v>
      </c>
      <c r="B13" s="1352">
        <v>27.142980999999999</v>
      </c>
      <c r="C13" s="1352">
        <v>22.027393</v>
      </c>
      <c r="D13" s="569">
        <f t="shared" si="30"/>
        <v>16.686242881839721</v>
      </c>
      <c r="E13" s="1352">
        <v>13.673363</v>
      </c>
      <c r="F13" s="569">
        <f t="shared" si="31"/>
        <v>14.925186643575737</v>
      </c>
      <c r="G13" s="1352">
        <v>11.342912999999999</v>
      </c>
      <c r="H13" s="1352">
        <v>16.473005000000001</v>
      </c>
      <c r="I13" s="1352">
        <v>62.290424000000002</v>
      </c>
      <c r="J13" s="1313">
        <f t="shared" si="0"/>
        <v>74.515648286140092</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8.6396818088000007</v>
      </c>
      <c r="T13" s="550">
        <f t="shared" si="10"/>
        <v>10.335320417287631</v>
      </c>
      <c r="U13" s="1378"/>
      <c r="W13" s="487">
        <v>2009</v>
      </c>
      <c r="X13" s="569">
        <f t="shared" si="11"/>
        <v>21.258838265734269</v>
      </c>
      <c r="Y13" s="569">
        <f t="shared" si="12"/>
        <v>23.429136190909087</v>
      </c>
      <c r="Z13" s="569">
        <f t="shared" si="13"/>
        <v>15.915762251626335</v>
      </c>
      <c r="AA13" s="569">
        <f t="shared" si="32"/>
        <v>13.673363</v>
      </c>
      <c r="AB13" s="569">
        <f t="shared" si="14"/>
        <v>14.249707667030716</v>
      </c>
      <c r="AC13" s="569">
        <f t="shared" si="33"/>
        <v>11.342912999999999</v>
      </c>
      <c r="AD13" s="569">
        <f t="shared" si="15"/>
        <v>14.25690567264574</v>
      </c>
      <c r="AE13" s="569">
        <f t="shared" si="34"/>
        <v>62.290424000000002</v>
      </c>
      <c r="AF13" s="652">
        <f t="shared" si="16"/>
        <v>74.515648286140092</v>
      </c>
      <c r="AG13" s="549">
        <f t="shared" si="17"/>
        <v>2009</v>
      </c>
      <c r="AH13" s="544">
        <f t="shared" si="18"/>
        <v>2.9486008674573432</v>
      </c>
      <c r="AI13" s="544">
        <f t="shared" si="19"/>
        <v>3.2496211896790905</v>
      </c>
      <c r="AJ13" s="544">
        <f t="shared" si="20"/>
        <v>2.2075162243005728</v>
      </c>
      <c r="AK13" s="544">
        <f t="shared" si="21"/>
        <v>1.8964954480999998</v>
      </c>
      <c r="AL13" s="544">
        <f t="shared" si="22"/>
        <v>1.9764344534171603</v>
      </c>
      <c r="AM13" s="544">
        <f t="shared" si="23"/>
        <v>1.5732620330999998</v>
      </c>
      <c r="AN13" s="544">
        <f t="shared" si="24"/>
        <v>1.9774328167959641</v>
      </c>
      <c r="AO13" s="544">
        <f t="shared" si="25"/>
        <v>8.6396818088000007</v>
      </c>
      <c r="AP13" s="550">
        <f t="shared" si="26"/>
        <v>10.335320417287631</v>
      </c>
      <c r="AQ13" s="10"/>
      <c r="AR13" s="968" t="str">
        <v>E85</v>
      </c>
      <c r="AT13" s="3">
        <v>5.5289999999999999</v>
      </c>
      <c r="AU13" s="3">
        <v>2.40066903</v>
      </c>
      <c r="AV13" s="3">
        <v>2.4670000000000001</v>
      </c>
      <c r="AW13" s="3">
        <f t="shared" si="27"/>
        <v>2.314381887711169</v>
      </c>
      <c r="AX13" s="3">
        <f t="shared" si="35"/>
        <v>2.0701233874639549</v>
      </c>
      <c r="AY13" s="3">
        <f t="shared" si="28"/>
        <v>16.686242881839721</v>
      </c>
      <c r="AZ13" s="3">
        <f t="shared" si="29"/>
        <v>14.925186643575737</v>
      </c>
    </row>
    <row r="14" spans="1:52" x14ac:dyDescent="0.2">
      <c r="A14" s="488">
        <v>2010</v>
      </c>
      <c r="B14" s="1352">
        <v>26.497553</v>
      </c>
      <c r="C14" s="1352">
        <v>26.790133000000001</v>
      </c>
      <c r="D14" s="569">
        <f t="shared" si="30"/>
        <v>20.042935750421385</v>
      </c>
      <c r="E14" s="1352">
        <v>17.441685</v>
      </c>
      <c r="F14" s="569">
        <f t="shared" si="31"/>
        <v>18.399326924350003</v>
      </c>
      <c r="G14" s="1352">
        <v>11.209270999999999</v>
      </c>
      <c r="H14" s="1352">
        <v>17.178132999999999</v>
      </c>
      <c r="I14" s="1352">
        <v>44.797077000000002</v>
      </c>
      <c r="J14" s="1313">
        <f t="shared" si="0"/>
        <v>74.515648286140092</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6.2133545798999998</v>
      </c>
      <c r="T14" s="552">
        <f t="shared" si="10"/>
        <v>10.335320417287631</v>
      </c>
      <c r="U14" s="1378"/>
      <c r="W14" s="488">
        <v>2010</v>
      </c>
      <c r="X14" s="569">
        <f t="shared" si="11"/>
        <v>20.753328223776226</v>
      </c>
      <c r="Y14" s="569">
        <f t="shared" si="12"/>
        <v>28.494959645454543</v>
      </c>
      <c r="Z14" s="569">
        <f t="shared" si="13"/>
        <v>19.117461161703876</v>
      </c>
      <c r="AA14" s="569">
        <f t="shared" si="32"/>
        <v>17.441685</v>
      </c>
      <c r="AB14" s="569">
        <f t="shared" si="14"/>
        <v>17.566616498894337</v>
      </c>
      <c r="AC14" s="569">
        <f t="shared" si="33"/>
        <v>11.209270999999999</v>
      </c>
      <c r="AD14" s="569">
        <f t="shared" si="15"/>
        <v>14.867173403587442</v>
      </c>
      <c r="AE14" s="569">
        <f t="shared" si="34"/>
        <v>44.797077000000002</v>
      </c>
      <c r="AF14" s="652">
        <f t="shared" si="16"/>
        <v>74.515648286140092</v>
      </c>
      <c r="AG14" s="551">
        <f t="shared" si="17"/>
        <v>2010</v>
      </c>
      <c r="AH14" s="545">
        <f t="shared" si="18"/>
        <v>2.8784866246377625</v>
      </c>
      <c r="AI14" s="545">
        <f t="shared" si="19"/>
        <v>3.9522509028245452</v>
      </c>
      <c r="AJ14" s="545">
        <f t="shared" si="20"/>
        <v>2.6515918631283277</v>
      </c>
      <c r="AK14" s="545">
        <f t="shared" si="21"/>
        <v>2.4191617095</v>
      </c>
      <c r="AL14" s="545">
        <f t="shared" si="22"/>
        <v>2.4364897083966448</v>
      </c>
      <c r="AM14" s="545">
        <f t="shared" si="23"/>
        <v>1.5547258876999999</v>
      </c>
      <c r="AN14" s="545">
        <f t="shared" si="24"/>
        <v>2.0620769510775783</v>
      </c>
      <c r="AO14" s="545">
        <f t="shared" si="25"/>
        <v>6.2133545798999998</v>
      </c>
      <c r="AP14" s="552">
        <f t="shared" si="26"/>
        <v>10.335320417287631</v>
      </c>
      <c r="AQ14" s="10"/>
      <c r="AR14" s="968" t="str">
        <v>Gasoline</v>
      </c>
      <c r="AT14" s="3">
        <v>5.62</v>
      </c>
      <c r="AU14" s="3">
        <v>2.8369085599999999</v>
      </c>
      <c r="AV14" s="3">
        <v>2.992</v>
      </c>
      <c r="AW14" s="3">
        <f t="shared" si="27"/>
        <v>2.7799551885834464</v>
      </c>
      <c r="AX14" s="3">
        <f t="shared" si="35"/>
        <v>2.5519866444073456</v>
      </c>
      <c r="AY14" s="3">
        <f t="shared" si="28"/>
        <v>20.042935750421385</v>
      </c>
      <c r="AZ14" s="3">
        <f t="shared" si="29"/>
        <v>18.399326924350003</v>
      </c>
    </row>
    <row r="15" spans="1:52" x14ac:dyDescent="0.2">
      <c r="A15" s="489">
        <v>2011</v>
      </c>
      <c r="B15" s="1352">
        <v>27.153307000000002</v>
      </c>
      <c r="C15" s="1352">
        <v>34.314692999999998</v>
      </c>
      <c r="D15" s="569">
        <f t="shared" si="30"/>
        <v>26.064227985794453</v>
      </c>
      <c r="E15" s="1352">
        <v>23.669519000000001</v>
      </c>
      <c r="F15" s="569">
        <f t="shared" si="31"/>
        <v>24.357827814441997</v>
      </c>
      <c r="G15" s="1352">
        <v>18.559363999999999</v>
      </c>
      <c r="H15" s="1352">
        <v>17.058402999999998</v>
      </c>
      <c r="I15" s="1352">
        <v>35.388840000000002</v>
      </c>
      <c r="J15" s="1313">
        <f t="shared" si="0"/>
        <v>74.515648286140092</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4.9084321080000004</v>
      </c>
      <c r="T15" s="550">
        <f t="shared" si="10"/>
        <v>10.335320417287631</v>
      </c>
      <c r="U15" s="1378"/>
      <c r="W15" s="489">
        <v>2011</v>
      </c>
      <c r="X15" s="569">
        <f t="shared" si="11"/>
        <v>21.266925762237769</v>
      </c>
      <c r="Y15" s="569">
        <f t="shared" si="12"/>
        <v>36.498355281818178</v>
      </c>
      <c r="Z15" s="569">
        <f t="shared" si="13"/>
        <v>24.860722622320672</v>
      </c>
      <c r="AA15" s="569">
        <f t="shared" si="32"/>
        <v>23.669519000000001</v>
      </c>
      <c r="AB15" s="569">
        <f t="shared" si="14"/>
        <v>23.255449599959761</v>
      </c>
      <c r="AC15" s="569">
        <f t="shared" si="33"/>
        <v>18.559363999999999</v>
      </c>
      <c r="AD15" s="569">
        <f t="shared" si="15"/>
        <v>14.763550578475334</v>
      </c>
      <c r="AE15" s="569">
        <f t="shared" si="34"/>
        <v>35.388840000000002</v>
      </c>
      <c r="AF15" s="652">
        <f t="shared" si="16"/>
        <v>74.515648286140092</v>
      </c>
      <c r="AG15" s="549">
        <f t="shared" si="17"/>
        <v>2011</v>
      </c>
      <c r="AH15" s="544">
        <f t="shared" si="18"/>
        <v>2.9497226032223787</v>
      </c>
      <c r="AI15" s="544">
        <f t="shared" si="19"/>
        <v>5.0623218775881806</v>
      </c>
      <c r="AJ15" s="544">
        <f t="shared" si="20"/>
        <v>3.4481822277158773</v>
      </c>
      <c r="AK15" s="544">
        <f t="shared" si="21"/>
        <v>3.2829622853</v>
      </c>
      <c r="AL15" s="544">
        <f t="shared" si="22"/>
        <v>3.2255308595144192</v>
      </c>
      <c r="AM15" s="544">
        <f t="shared" si="23"/>
        <v>2.5741837867999999</v>
      </c>
      <c r="AN15" s="544">
        <f t="shared" si="24"/>
        <v>2.0477044652345286</v>
      </c>
      <c r="AO15" s="544">
        <f t="shared" si="25"/>
        <v>4.9084321080000004</v>
      </c>
      <c r="AP15" s="550">
        <f t="shared" si="26"/>
        <v>10.335320417287631</v>
      </c>
      <c r="AQ15" s="10"/>
      <c r="AR15" s="968" t="str">
        <v>Jet Fuel</v>
      </c>
      <c r="AT15" s="3">
        <v>5.7969999999999997</v>
      </c>
      <c r="AU15" s="3">
        <v>3.5765300999999998</v>
      </c>
      <c r="AV15" s="3">
        <v>3.84</v>
      </c>
      <c r="AW15" s="3">
        <f t="shared" si="27"/>
        <v>3.61510842162969</v>
      </c>
      <c r="AX15" s="3">
        <f t="shared" si="35"/>
        <v>3.3784307178631048</v>
      </c>
      <c r="AY15" s="3">
        <f t="shared" si="28"/>
        <v>26.064227985794453</v>
      </c>
      <c r="AZ15" s="3">
        <f t="shared" si="29"/>
        <v>24.357827814441997</v>
      </c>
    </row>
    <row r="16" spans="1:52" x14ac:dyDescent="0.2">
      <c r="A16" s="964">
        <v>2012</v>
      </c>
      <c r="B16" s="1373">
        <v>26.060852000000001</v>
      </c>
      <c r="C16" s="1373">
        <v>36.734264000000003</v>
      </c>
      <c r="D16" s="570">
        <f t="shared" si="30"/>
        <v>27.478804154101759</v>
      </c>
      <c r="E16" s="1373">
        <v>23.645123000000002</v>
      </c>
      <c r="F16" s="570">
        <f t="shared" si="31"/>
        <v>25.690778463111101</v>
      </c>
      <c r="G16" s="1373">
        <v>20.590979000000001</v>
      </c>
      <c r="H16" s="1373">
        <v>17.207750000000001</v>
      </c>
      <c r="I16" s="1373">
        <v>30.248889999999999</v>
      </c>
      <c r="J16" s="1313">
        <f t="shared" si="0"/>
        <v>74.515648286140092</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4.1955210429999994</v>
      </c>
      <c r="T16" s="550">
        <f t="shared" si="10"/>
        <v>10.335320417287631</v>
      </c>
      <c r="U16" s="1378"/>
      <c r="W16" s="964">
        <v>2012</v>
      </c>
      <c r="X16" s="570">
        <f t="shared" si="11"/>
        <v>20.411296671328675</v>
      </c>
      <c r="Y16" s="570">
        <f t="shared" si="12"/>
        <v>39.07189898181818</v>
      </c>
      <c r="Z16" s="570">
        <f t="shared" si="13"/>
        <v>26.209981298526241</v>
      </c>
      <c r="AA16" s="570">
        <f t="shared" si="32"/>
        <v>23.645123000000002</v>
      </c>
      <c r="AB16" s="570">
        <f t="shared" si="14"/>
        <v>24.528074025483402</v>
      </c>
      <c r="AC16" s="570">
        <f t="shared" si="33"/>
        <v>20.590979000000001</v>
      </c>
      <c r="AD16" s="570">
        <f t="shared" si="15"/>
        <v>14.892806053811659</v>
      </c>
      <c r="AE16" s="570">
        <f t="shared" si="34"/>
        <v>30.248889999999999</v>
      </c>
      <c r="AF16" s="652">
        <f t="shared" si="16"/>
        <v>74.515648286140092</v>
      </c>
      <c r="AG16" s="549">
        <v>2012</v>
      </c>
      <c r="AH16" s="544">
        <f t="shared" si="18"/>
        <v>2.8310468483132873</v>
      </c>
      <c r="AI16" s="544">
        <f t="shared" si="19"/>
        <v>5.4192723887781815</v>
      </c>
      <c r="AJ16" s="544">
        <f t="shared" si="20"/>
        <v>3.6353244061055894</v>
      </c>
      <c r="AK16" s="544">
        <f t="shared" si="21"/>
        <v>3.2795785601000005</v>
      </c>
      <c r="AL16" s="544">
        <f t="shared" si="22"/>
        <v>3.4020438673345481</v>
      </c>
      <c r="AM16" s="544">
        <f t="shared" si="23"/>
        <v>2.8559687873000001</v>
      </c>
      <c r="AN16" s="544">
        <f t="shared" si="24"/>
        <v>2.0656321996636771</v>
      </c>
      <c r="AO16" s="544">
        <f t="shared" si="25"/>
        <v>4.1955210429999994</v>
      </c>
      <c r="AP16" s="550">
        <f t="shared" si="26"/>
        <v>10.335320417287631</v>
      </c>
      <c r="AQ16" s="10"/>
      <c r="AR16" s="968" t="str">
        <v>Diesel</v>
      </c>
      <c r="AT16" s="3">
        <v>5.9169999999999998</v>
      </c>
      <c r="AU16" s="3">
        <v>3.6941674600000001</v>
      </c>
      <c r="AV16" s="3">
        <v>3.968</v>
      </c>
      <c r="AW16" s="3">
        <f t="shared" si="27"/>
        <v>3.8113101361739137</v>
      </c>
      <c r="AX16" s="3">
        <f t="shared" si="35"/>
        <v>3.5633109728335102</v>
      </c>
      <c r="AY16" s="3">
        <f t="shared" si="28"/>
        <v>27.478804154101759</v>
      </c>
      <c r="AZ16" s="3">
        <f t="shared" si="29"/>
        <v>25.690778463111101</v>
      </c>
    </row>
    <row r="17" spans="1:52" x14ac:dyDescent="0.2">
      <c r="A17" s="964">
        <v>2013</v>
      </c>
      <c r="B17" s="1373">
        <v>25.294118999999998</v>
      </c>
      <c r="C17" s="1373">
        <v>33.997013000000003</v>
      </c>
      <c r="D17" s="570">
        <f t="shared" si="30"/>
        <v>27.042850352976672</v>
      </c>
      <c r="E17" s="1373">
        <v>22.417128000000002</v>
      </c>
      <c r="F17" s="570">
        <f t="shared" si="31"/>
        <v>25.766314550818404</v>
      </c>
      <c r="G17" s="1373">
        <v>19.805682999999998</v>
      </c>
      <c r="H17" s="1373">
        <v>18.155642</v>
      </c>
      <c r="I17" s="1373">
        <v>31.006128</v>
      </c>
      <c r="J17" s="1313">
        <f t="shared" si="0"/>
        <v>74.515648286140092</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4.3005499536</v>
      </c>
      <c r="T17" s="550">
        <f t="shared" si="10"/>
        <v>10.335320417287631</v>
      </c>
      <c r="U17" s="1378"/>
      <c r="W17" s="964">
        <v>2013</v>
      </c>
      <c r="X17" s="570">
        <f t="shared" si="11"/>
        <v>19.810778517482518</v>
      </c>
      <c r="Y17" s="570">
        <f t="shared" si="12"/>
        <v>36.160459281818177</v>
      </c>
      <c r="Z17" s="570">
        <f t="shared" si="13"/>
        <v>25.794157490822283</v>
      </c>
      <c r="AA17" s="570">
        <f t="shared" si="32"/>
        <v>22.417128000000002</v>
      </c>
      <c r="AB17" s="570">
        <f t="shared" si="14"/>
        <v>24.600191526848356</v>
      </c>
      <c r="AC17" s="570">
        <f t="shared" si="33"/>
        <v>19.805682999999998</v>
      </c>
      <c r="AD17" s="570">
        <f t="shared" si="15"/>
        <v>15.713178950672646</v>
      </c>
      <c r="AE17" s="570">
        <f t="shared" si="34"/>
        <v>31.006128</v>
      </c>
      <c r="AF17" s="652">
        <f t="shared" si="16"/>
        <v>74.515648286140092</v>
      </c>
      <c r="AG17" s="549">
        <v>2013</v>
      </c>
      <c r="AH17" s="544">
        <f t="shared" si="18"/>
        <v>2.7477549803748254</v>
      </c>
      <c r="AI17" s="544">
        <f t="shared" si="19"/>
        <v>5.0154557023881816</v>
      </c>
      <c r="AJ17" s="544">
        <f t="shared" si="20"/>
        <v>3.5776496439770509</v>
      </c>
      <c r="AK17" s="544">
        <f t="shared" si="21"/>
        <v>3.1092556536000004</v>
      </c>
      <c r="AL17" s="544">
        <f t="shared" si="22"/>
        <v>3.4120465647738669</v>
      </c>
      <c r="AM17" s="544">
        <f t="shared" si="23"/>
        <v>2.7470482320999996</v>
      </c>
      <c r="AN17" s="544">
        <f t="shared" si="24"/>
        <v>2.1794179204582957</v>
      </c>
      <c r="AO17" s="544">
        <f t="shared" si="25"/>
        <v>4.3005499536</v>
      </c>
      <c r="AP17" s="550">
        <f t="shared" si="26"/>
        <v>10.335320417287631</v>
      </c>
      <c r="AQ17" s="10"/>
      <c r="AR17" s="968" t="str">
        <v>Residual Fuel Oil</v>
      </c>
      <c r="AT17" s="3">
        <v>6.0039999999999996</v>
      </c>
      <c r="AU17" s="3">
        <v>3.58287866</v>
      </c>
      <c r="AV17" s="3">
        <v>3.9220000000000002</v>
      </c>
      <c r="AW17" s="3">
        <f t="shared" si="27"/>
        <v>3.7508433439578632</v>
      </c>
      <c r="AX17" s="3">
        <f t="shared" si="35"/>
        <v>3.5737878281985127</v>
      </c>
      <c r="AY17" s="3">
        <f t="shared" si="28"/>
        <v>27.042850352976672</v>
      </c>
      <c r="AZ17" s="3">
        <f t="shared" si="29"/>
        <v>25.766314550818404</v>
      </c>
    </row>
    <row r="18" spans="1:52" x14ac:dyDescent="0.2">
      <c r="A18" s="964">
        <v>2014</v>
      </c>
      <c r="B18" s="1373">
        <v>24.395772999999998</v>
      </c>
      <c r="C18" s="1373">
        <v>33.250518999999997</v>
      </c>
      <c r="D18" s="570">
        <f t="shared" si="30"/>
        <v>26.273234518958141</v>
      </c>
      <c r="E18" s="1373">
        <v>20.819944</v>
      </c>
      <c r="F18" s="570">
        <f t="shared" si="31"/>
        <v>25.535037257590947</v>
      </c>
      <c r="G18" s="1373">
        <v>14.62518</v>
      </c>
      <c r="H18" s="1373">
        <v>18.43741</v>
      </c>
      <c r="I18" s="1373">
        <v>32.181133000000003</v>
      </c>
      <c r="J18" s="1313">
        <f t="shared" si="0"/>
        <v>74.515648286140092</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4.463523147100001</v>
      </c>
      <c r="T18" s="550">
        <f t="shared" si="10"/>
        <v>10.335320417287631</v>
      </c>
      <c r="U18" s="1378"/>
      <c r="W18" s="964">
        <v>2014</v>
      </c>
      <c r="X18" s="570">
        <f t="shared" si="11"/>
        <v>19.107178853146856</v>
      </c>
      <c r="Y18" s="570">
        <f t="shared" si="12"/>
        <v>35.36646111818181</v>
      </c>
      <c r="Z18" s="570">
        <f t="shared" si="13"/>
        <v>25.060078361921605</v>
      </c>
      <c r="AA18" s="570">
        <f t="shared" si="32"/>
        <v>20.819944</v>
      </c>
      <c r="AB18" s="570">
        <f t="shared" si="14"/>
        <v>24.379381302010604</v>
      </c>
      <c r="AC18" s="570">
        <f t="shared" si="33"/>
        <v>14.62518</v>
      </c>
      <c r="AD18" s="570">
        <f t="shared" si="15"/>
        <v>15.957040941704035</v>
      </c>
      <c r="AE18" s="570">
        <f t="shared" si="34"/>
        <v>32.181133000000003</v>
      </c>
      <c r="AF18" s="652">
        <f t="shared" si="16"/>
        <v>74.515648286140092</v>
      </c>
      <c r="AG18" s="549">
        <v>2014</v>
      </c>
      <c r="AH18" s="544">
        <f t="shared" si="18"/>
        <v>2.6501657069314692</v>
      </c>
      <c r="AI18" s="544">
        <f t="shared" si="19"/>
        <v>4.9053281570918168</v>
      </c>
      <c r="AJ18" s="544">
        <f t="shared" si="20"/>
        <v>3.4758328687985265</v>
      </c>
      <c r="AK18" s="544">
        <f t="shared" si="21"/>
        <v>2.8877262328</v>
      </c>
      <c r="AL18" s="544">
        <f t="shared" si="22"/>
        <v>3.3814201865888709</v>
      </c>
      <c r="AM18" s="544">
        <f t="shared" si="23"/>
        <v>2.028512466</v>
      </c>
      <c r="AN18" s="544">
        <f t="shared" si="24"/>
        <v>2.2132415786143493</v>
      </c>
      <c r="AO18" s="544">
        <f t="shared" si="25"/>
        <v>4.463523147100001</v>
      </c>
      <c r="AP18" s="550">
        <f t="shared" si="26"/>
        <v>10.335320417287631</v>
      </c>
      <c r="AQ18" s="10"/>
      <c r="AR18" s="968" t="str">
        <v>CNG</v>
      </c>
      <c r="AT18" s="3">
        <v>6.101</v>
      </c>
      <c r="AU18" s="3">
        <v>3.4255699199999996</v>
      </c>
      <c r="AV18" s="3">
        <v>3.8250000000000002</v>
      </c>
      <c r="AW18" s="3">
        <f t="shared" si="27"/>
        <v>3.6440976277794945</v>
      </c>
      <c r="AX18" s="3">
        <f t="shared" si="35"/>
        <v>3.5417096676278645</v>
      </c>
      <c r="AY18" s="3">
        <f t="shared" si="28"/>
        <v>26.273234518958141</v>
      </c>
      <c r="AZ18" s="3">
        <f t="shared" si="29"/>
        <v>25.535037257590947</v>
      </c>
    </row>
    <row r="19" spans="1:52" x14ac:dyDescent="0.2">
      <c r="A19" s="965">
        <v>2015</v>
      </c>
      <c r="B19" s="1373">
        <v>17.964410999999998</v>
      </c>
      <c r="C19" s="1373">
        <v>23.267790000000002</v>
      </c>
      <c r="D19" s="570">
        <f t="shared" si="30"/>
        <v>19.276370412676094</v>
      </c>
      <c r="E19" s="1373">
        <v>11.972967000000001</v>
      </c>
      <c r="F19" s="570">
        <f t="shared" si="31"/>
        <v>18.095159363615679</v>
      </c>
      <c r="G19" s="1373">
        <v>8.1054680000000001</v>
      </c>
      <c r="H19" s="1373">
        <v>16.648273</v>
      </c>
      <c r="I19" s="1373">
        <v>29.485486999999999</v>
      </c>
      <c r="J19" s="1313">
        <f>P2*K70/$M$2*10^6</f>
        <v>107.48372071696917</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4.0896370469000001</v>
      </c>
      <c r="T19" s="552">
        <f t="shared" si="10"/>
        <v>14.907992063443624</v>
      </c>
      <c r="U19" s="1378"/>
      <c r="W19" s="965">
        <v>2015</v>
      </c>
      <c r="X19" s="570">
        <f t="shared" si="11"/>
        <v>14.070028195804197</v>
      </c>
      <c r="Y19" s="570">
        <f t="shared" si="12"/>
        <v>24.748467545454545</v>
      </c>
      <c r="Z19" s="570">
        <f t="shared" si="13"/>
        <v>18.386291673623973</v>
      </c>
      <c r="AA19" s="570">
        <f t="shared" si="32"/>
        <v>11.972967000000001</v>
      </c>
      <c r="AB19" s="570">
        <f t="shared" si="14"/>
        <v>17.276214849269167</v>
      </c>
      <c r="AC19" s="570">
        <f t="shared" si="33"/>
        <v>8.1054680000000001</v>
      </c>
      <c r="AD19" s="570">
        <f t="shared" si="15"/>
        <v>14.408595017937218</v>
      </c>
      <c r="AE19" s="570">
        <f t="shared" si="34"/>
        <v>29.485486999999999</v>
      </c>
      <c r="AF19" s="652">
        <f>$P$2*AG70/$M$2*10^6</f>
        <v>76.774086226406567</v>
      </c>
      <c r="AG19" s="551">
        <v>2015</v>
      </c>
      <c r="AH19" s="545">
        <f t="shared" si="18"/>
        <v>1.951512910758042</v>
      </c>
      <c r="AI19" s="545">
        <f t="shared" si="19"/>
        <v>3.4326124485545457</v>
      </c>
      <c r="AJ19" s="545">
        <f t="shared" si="20"/>
        <v>2.5501786551316452</v>
      </c>
      <c r="AK19" s="545">
        <f t="shared" si="21"/>
        <v>1.6606505228999999</v>
      </c>
      <c r="AL19" s="545">
        <f t="shared" si="22"/>
        <v>2.3962109995936332</v>
      </c>
      <c r="AM19" s="545">
        <f t="shared" si="23"/>
        <v>1.1242284116000001</v>
      </c>
      <c r="AN19" s="545">
        <f t="shared" si="24"/>
        <v>1.9984721289878922</v>
      </c>
      <c r="AO19" s="545">
        <f t="shared" si="25"/>
        <v>4.0896370469000001</v>
      </c>
      <c r="AP19" s="552">
        <f t="shared" si="26"/>
        <v>10.648565759602592</v>
      </c>
      <c r="AQ19" s="10"/>
      <c r="AR19" s="968" t="str">
        <v>Electricity</v>
      </c>
      <c r="AT19" s="3">
        <v>6.109</v>
      </c>
      <c r="AU19" s="3">
        <v>2.5100100299999997</v>
      </c>
      <c r="AV19" s="3">
        <v>2.7069999999999999</v>
      </c>
      <c r="AW19" s="3">
        <f t="shared" si="27"/>
        <v>2.6736325762381741</v>
      </c>
      <c r="AX19" s="3">
        <f t="shared" si="35"/>
        <v>2.5097986037334952</v>
      </c>
      <c r="AY19" s="3">
        <f t="shared" si="28"/>
        <v>19.276370412676094</v>
      </c>
      <c r="AZ19" s="3">
        <f t="shared" si="29"/>
        <v>18.095159363615679</v>
      </c>
    </row>
    <row r="20" spans="1:52" x14ac:dyDescent="0.2">
      <c r="A20" s="964">
        <v>2016</v>
      </c>
      <c r="B20" s="1352">
        <v>17.741709</v>
      </c>
      <c r="C20" s="1352">
        <v>20.812339999999999</v>
      </c>
      <c r="D20" s="569">
        <f t="shared" si="30"/>
        <v>17.133898361264325</v>
      </c>
      <c r="E20" s="1352">
        <v>9.9809680000000007</v>
      </c>
      <c r="F20" s="569">
        <f t="shared" si="31"/>
        <v>15.595396535463674</v>
      </c>
      <c r="G20" s="1352">
        <v>6.2571779999999997</v>
      </c>
      <c r="H20" s="1352">
        <v>14.278964</v>
      </c>
      <c r="I20" s="1352">
        <v>28.885411999999999</v>
      </c>
      <c r="J20" s="1313">
        <f>$P$2*K71/$M$2*10^6</f>
        <v>107.48372071696917</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4.0064066443999993</v>
      </c>
      <c r="T20" s="550">
        <f t="shared" si="10"/>
        <v>14.907992063443624</v>
      </c>
      <c r="U20" s="1378"/>
      <c r="W20" s="964">
        <v>2016</v>
      </c>
      <c r="X20" s="1352">
        <f t="shared" si="11"/>
        <v>13.895604251748255</v>
      </c>
      <c r="Y20" s="1352">
        <f t="shared" si="12"/>
        <v>22.136761636363634</v>
      </c>
      <c r="Z20" s="1352">
        <f t="shared" si="13"/>
        <v>16.342747417287203</v>
      </c>
      <c r="AA20" s="1352">
        <f t="shared" si="32"/>
        <v>9.9809680000000007</v>
      </c>
      <c r="AB20" s="1352">
        <f t="shared" si="14"/>
        <v>14.889585429568855</v>
      </c>
      <c r="AC20" s="1352">
        <f t="shared" si="33"/>
        <v>6.2571779999999997</v>
      </c>
      <c r="AD20" s="1352">
        <f t="shared" si="15"/>
        <v>12.358027139013453</v>
      </c>
      <c r="AE20" s="1352">
        <f t="shared" si="34"/>
        <v>28.885411999999999</v>
      </c>
      <c r="AF20" s="652">
        <f>$P$2*AG71/$M$2*10^6</f>
        <v>76.774086226406567</v>
      </c>
      <c r="AG20" s="549">
        <v>2016</v>
      </c>
      <c r="AH20" s="544">
        <f t="shared" si="18"/>
        <v>1.9273203097174829</v>
      </c>
      <c r="AI20" s="544">
        <f t="shared" si="19"/>
        <v>3.0703688389636361</v>
      </c>
      <c r="AJ20" s="544">
        <f t="shared" si="20"/>
        <v>2.2667390667777352</v>
      </c>
      <c r="AK20" s="544">
        <f t="shared" si="21"/>
        <v>1.3843602616000001</v>
      </c>
      <c r="AL20" s="544">
        <f t="shared" si="22"/>
        <v>2.0651854990812004</v>
      </c>
      <c r="AM20" s="544">
        <f t="shared" si="23"/>
        <v>0.86787058859999988</v>
      </c>
      <c r="AN20" s="544">
        <f t="shared" si="24"/>
        <v>1.714058364181166</v>
      </c>
      <c r="AO20" s="544">
        <f t="shared" si="25"/>
        <v>4.0064066443999993</v>
      </c>
      <c r="AP20" s="550">
        <f t="shared" si="26"/>
        <v>10.648565759602592</v>
      </c>
      <c r="AQ20" s="10"/>
      <c r="AR20" s="968" t="str">
        <v>Hydrogen</v>
      </c>
      <c r="AT20" s="3">
        <v>6.1859999999999999</v>
      </c>
      <c r="AU20" s="3">
        <v>2.2032642600000001</v>
      </c>
      <c r="AV20" s="3">
        <v>2.3039999999999998</v>
      </c>
      <c r="AW20" s="3">
        <f t="shared" si="27"/>
        <v>2.3764717027073621</v>
      </c>
      <c r="AX20" s="3">
        <f t="shared" si="35"/>
        <v>2.1630814994688112</v>
      </c>
      <c r="AY20" s="3">
        <f t="shared" si="28"/>
        <v>17.133898361264325</v>
      </c>
      <c r="AZ20" s="3">
        <f t="shared" si="29"/>
        <v>15.595396535463674</v>
      </c>
    </row>
    <row r="21" spans="1:52" ht="13.5" thickBot="1" x14ac:dyDescent="0.25">
      <c r="A21" s="964">
        <v>2017</v>
      </c>
      <c r="B21" s="1373">
        <v>19.093874</v>
      </c>
      <c r="C21" s="1373">
        <v>22.146609999999999</v>
      </c>
      <c r="D21" s="570">
        <f t="shared" si="30"/>
        <v>19.605030446056329</v>
      </c>
      <c r="E21" s="1373">
        <v>12.362413999999999</v>
      </c>
      <c r="F21" s="570">
        <f t="shared" si="31"/>
        <v>18.320171162026067</v>
      </c>
      <c r="G21" s="1373">
        <v>8.6428510000000003</v>
      </c>
      <c r="H21" s="1373">
        <v>14.744268999999999</v>
      </c>
      <c r="I21" s="1373">
        <v>29.101451999999998</v>
      </c>
      <c r="J21" s="1313">
        <f t="shared" ref="J21:J54" si="36">$P$2*K72/$M$2*10^6</f>
        <v>107.48372071696917</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4.0363713923999995</v>
      </c>
      <c r="T21" s="550">
        <f t="shared" si="10"/>
        <v>14.907992063443624</v>
      </c>
      <c r="U21" s="1378"/>
      <c r="W21" s="964">
        <v>2017</v>
      </c>
      <c r="X21" s="1373">
        <f t="shared" si="11"/>
        <v>14.954642573426575</v>
      </c>
      <c r="Y21" s="1373">
        <f t="shared" si="12"/>
        <v>23.555939727272722</v>
      </c>
      <c r="Z21" s="1373">
        <f t="shared" si="13"/>
        <v>18.69977596064609</v>
      </c>
      <c r="AA21" s="1373">
        <f t="shared" si="32"/>
        <v>12.362413999999999</v>
      </c>
      <c r="AB21" s="1373">
        <f t="shared" si="14"/>
        <v>17.491043140904704</v>
      </c>
      <c r="AC21" s="1373">
        <f t="shared" si="33"/>
        <v>8.6428510000000003</v>
      </c>
      <c r="AD21" s="1373">
        <f t="shared" si="15"/>
        <v>12.760735053811658</v>
      </c>
      <c r="AE21" s="1373">
        <f t="shared" si="34"/>
        <v>29.101451999999998</v>
      </c>
      <c r="AF21" s="652">
        <f t="shared" ref="AF21:AF54" si="37">$P$2*AG72/$M$2*10^6</f>
        <v>76.774086226406567</v>
      </c>
      <c r="AG21" s="549">
        <v>2017</v>
      </c>
      <c r="AH21" s="544">
        <f t="shared" si="18"/>
        <v>2.0742089249342661</v>
      </c>
      <c r="AI21" s="544">
        <f t="shared" si="19"/>
        <v>3.2672088401727266</v>
      </c>
      <c r="AJ21" s="544">
        <f t="shared" si="20"/>
        <v>2.5936589257416123</v>
      </c>
      <c r="AK21" s="544">
        <f t="shared" si="21"/>
        <v>1.7146668217999999</v>
      </c>
      <c r="AL21" s="544">
        <f t="shared" si="22"/>
        <v>2.4260076836434825</v>
      </c>
      <c r="AM21" s="544">
        <f t="shared" si="23"/>
        <v>1.1987634336999999</v>
      </c>
      <c r="AN21" s="544">
        <f t="shared" si="24"/>
        <v>1.7699139519636768</v>
      </c>
      <c r="AO21" s="544">
        <f t="shared" si="25"/>
        <v>4.0363713923999995</v>
      </c>
      <c r="AP21" s="550">
        <f t="shared" si="26"/>
        <v>10.648565759602592</v>
      </c>
      <c r="AQ21" s="10"/>
      <c r="AR21" s="969" t="s">
        <v>230</v>
      </c>
      <c r="AT21" s="3">
        <v>6.3179999999999996</v>
      </c>
      <c r="AU21" s="3">
        <v>2.4683584000000001</v>
      </c>
      <c r="AV21" s="3">
        <v>2.65</v>
      </c>
      <c r="AW21" s="3">
        <f t="shared" si="27"/>
        <v>2.719217722868013</v>
      </c>
      <c r="AX21" s="3">
        <f t="shared" si="35"/>
        <v>2.5410077401730153</v>
      </c>
      <c r="AY21" s="3">
        <f t="shared" si="28"/>
        <v>19.605030446056329</v>
      </c>
      <c r="AZ21" s="3">
        <f t="shared" si="29"/>
        <v>18.320171162026067</v>
      </c>
    </row>
    <row r="22" spans="1:52" ht="13.5" thickTop="1" x14ac:dyDescent="0.2">
      <c r="A22" s="964">
        <v>2018</v>
      </c>
      <c r="B22" s="1373">
        <v>18.011908999999999</v>
      </c>
      <c r="C22" s="1373">
        <v>29.232935000000001</v>
      </c>
      <c r="D22" s="570">
        <f t="shared" si="30"/>
        <v>22.739042504488459</v>
      </c>
      <c r="E22" s="1373">
        <v>16.156372000000001</v>
      </c>
      <c r="F22" s="570">
        <f t="shared" si="31"/>
        <v>22.505902487847884</v>
      </c>
      <c r="G22" s="1373">
        <v>10.938333999999999</v>
      </c>
      <c r="H22" s="1373">
        <v>14.392683999999999</v>
      </c>
      <c r="I22" s="1373">
        <v>33.287472000000001</v>
      </c>
      <c r="J22" s="1313">
        <f t="shared" si="36"/>
        <v>107.48372071696917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4.6169723663999997</v>
      </c>
      <c r="T22" s="550">
        <f t="shared" si="10"/>
        <v>14.907992063443624</v>
      </c>
      <c r="U22" s="1378"/>
      <c r="W22" s="964">
        <v>2018</v>
      </c>
      <c r="X22" s="1373">
        <f t="shared" si="11"/>
        <v>14.107229426573427</v>
      </c>
      <c r="Y22" s="1373">
        <f t="shared" si="12"/>
        <v>31.09321268181818</v>
      </c>
      <c r="Z22" s="1373">
        <f t="shared" si="13"/>
        <v>21.689076258439453</v>
      </c>
      <c r="AA22" s="1373">
        <f t="shared" si="32"/>
        <v>16.156372000000001</v>
      </c>
      <c r="AB22" s="1373">
        <f t="shared" si="14"/>
        <v>21.487338074433527</v>
      </c>
      <c r="AC22" s="1373">
        <f t="shared" si="33"/>
        <v>10.938333999999999</v>
      </c>
      <c r="AD22" s="1373">
        <f t="shared" si="15"/>
        <v>12.45644848430493</v>
      </c>
      <c r="AE22" s="1373">
        <f t="shared" si="34"/>
        <v>33.287472000000001</v>
      </c>
      <c r="AF22" s="652">
        <f t="shared" si="37"/>
        <v>76.774086226406567</v>
      </c>
      <c r="AG22" s="549">
        <v>2018</v>
      </c>
      <c r="AH22" s="544">
        <f t="shared" si="18"/>
        <v>1.9566727214657342</v>
      </c>
      <c r="AI22" s="544">
        <f t="shared" si="19"/>
        <v>4.3126285989681818</v>
      </c>
      <c r="AJ22" s="544">
        <f t="shared" si="20"/>
        <v>3.0082748770455523</v>
      </c>
      <c r="AK22" s="544">
        <f t="shared" si="21"/>
        <v>2.2408887964000002</v>
      </c>
      <c r="AL22" s="544">
        <f t="shared" si="22"/>
        <v>2.9802937909239304</v>
      </c>
      <c r="AM22" s="544">
        <f t="shared" si="23"/>
        <v>1.5171469257999999</v>
      </c>
      <c r="AN22" s="544">
        <f t="shared" si="24"/>
        <v>1.7277094047730939</v>
      </c>
      <c r="AO22" s="544">
        <f t="shared" si="25"/>
        <v>4.6169723663999997</v>
      </c>
      <c r="AP22" s="550">
        <f t="shared" si="26"/>
        <v>10.648565759602592</v>
      </c>
      <c r="AQ22" s="10"/>
      <c r="AT22" s="3">
        <v>6.4720000000000004</v>
      </c>
      <c r="AU22" s="3">
        <v>2.7948209099999999</v>
      </c>
      <c r="AV22" s="3">
        <v>3.1779999999999999</v>
      </c>
      <c r="AW22" s="3">
        <f t="shared" si="27"/>
        <v>3.1539051953725488</v>
      </c>
      <c r="AX22" s="3">
        <f t="shared" si="35"/>
        <v>3.1215686750645011</v>
      </c>
      <c r="AY22" s="3">
        <f t="shared" si="28"/>
        <v>22.739042504488459</v>
      </c>
      <c r="AZ22" s="3">
        <f t="shared" si="29"/>
        <v>22.505902487847884</v>
      </c>
    </row>
    <row r="23" spans="1:52" x14ac:dyDescent="0.2">
      <c r="A23" s="964">
        <v>2019</v>
      </c>
      <c r="B23" s="491">
        <v>16.634917999999999</v>
      </c>
      <c r="C23" s="491">
        <v>24.537946999999999</v>
      </c>
      <c r="D23" s="491">
        <v>22.170871999999999</v>
      </c>
      <c r="E23" s="491">
        <v>14.641048</v>
      </c>
      <c r="F23" s="491">
        <v>22.110787999999999</v>
      </c>
      <c r="G23" s="491">
        <v>9.5779259999999997</v>
      </c>
      <c r="H23" s="491">
        <v>13.698598</v>
      </c>
      <c r="I23" s="491">
        <v>33.252597999999999</v>
      </c>
      <c r="J23" s="1313">
        <f t="shared" si="36"/>
        <v>107.48372071696917</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4.6121353426000002</v>
      </c>
      <c r="T23" s="550">
        <f t="shared" si="10"/>
        <v>14.907992063443624</v>
      </c>
      <c r="U23" s="1378"/>
      <c r="W23" s="964">
        <v>2019</v>
      </c>
      <c r="X23" s="491">
        <f t="shared" si="11"/>
        <v>13.028746965034966</v>
      </c>
      <c r="Y23" s="491">
        <f t="shared" si="12"/>
        <v>26.099452718181812</v>
      </c>
      <c r="Z23" s="491">
        <f t="shared" si="13"/>
        <v>21.147140801077349</v>
      </c>
      <c r="AA23" s="491">
        <f t="shared" si="32"/>
        <v>14.641048</v>
      </c>
      <c r="AB23" s="491">
        <f t="shared" si="14"/>
        <v>21.110105542519808</v>
      </c>
      <c r="AC23" s="491">
        <f t="shared" si="33"/>
        <v>9.5779259999999997</v>
      </c>
      <c r="AD23" s="491">
        <f t="shared" si="15"/>
        <v>11.85573728251121</v>
      </c>
      <c r="AE23" s="491">
        <f t="shared" si="34"/>
        <v>33.252597999999999</v>
      </c>
      <c r="AF23" s="652">
        <f t="shared" si="37"/>
        <v>76.774086226406567</v>
      </c>
      <c r="AG23" s="549">
        <v>2019</v>
      </c>
      <c r="AH23" s="544">
        <f t="shared" si="18"/>
        <v>1.8070872040503498</v>
      </c>
      <c r="AI23" s="544">
        <f t="shared" si="19"/>
        <v>3.6199940920118174</v>
      </c>
      <c r="AJ23" s="544">
        <f t="shared" si="20"/>
        <v>2.9331084291094283</v>
      </c>
      <c r="AK23" s="544">
        <f t="shared" si="21"/>
        <v>2.0307133575999998</v>
      </c>
      <c r="AL23" s="544">
        <f t="shared" si="22"/>
        <v>2.9279716387474974</v>
      </c>
      <c r="AM23" s="544">
        <f t="shared" si="23"/>
        <v>1.3284583362</v>
      </c>
      <c r="AN23" s="544">
        <f t="shared" si="24"/>
        <v>1.6443907610843049</v>
      </c>
      <c r="AO23" s="544">
        <f t="shared" si="25"/>
        <v>4.6121353426000002</v>
      </c>
      <c r="AP23" s="550">
        <f t="shared" si="26"/>
        <v>10.648565759602592</v>
      </c>
      <c r="AQ23" s="10"/>
      <c r="AT23" s="3">
        <v>6.5890000000000004</v>
      </c>
      <c r="AU23" s="3">
        <v>2.6971813500000001</v>
      </c>
      <c r="AV23" s="3">
        <v>3.056</v>
      </c>
      <c r="AW23" s="3">
        <f t="shared" si="27"/>
        <v>3.0987447049102927</v>
      </c>
      <c r="AX23" s="3">
        <f t="shared" si="35"/>
        <v>3.056</v>
      </c>
      <c r="AY23" s="3">
        <f t="shared" si="28"/>
        <v>22.341346106058349</v>
      </c>
      <c r="AZ23" s="3">
        <f t="shared" si="29"/>
        <v>22.033165104542178</v>
      </c>
    </row>
    <row r="24" spans="1:52" x14ac:dyDescent="0.2">
      <c r="A24" s="965">
        <v>2020</v>
      </c>
      <c r="B24" s="491">
        <v>15.560148999999999</v>
      </c>
      <c r="C24" s="491">
        <v>24.243863999999999</v>
      </c>
      <c r="D24" s="491">
        <v>21.954423999999999</v>
      </c>
      <c r="E24" s="491">
        <v>14.449450000000001</v>
      </c>
      <c r="F24" s="491">
        <v>21.343924999999999</v>
      </c>
      <c r="G24" s="491">
        <v>10.569046</v>
      </c>
      <c r="H24" s="491">
        <v>13.285862</v>
      </c>
      <c r="I24" s="491">
        <v>33.912785</v>
      </c>
      <c r="J24" s="1313">
        <f t="shared" si="36"/>
        <v>107.48372071696917</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ref="S24:S54" si="38">U24*I24*HVDiesel/10^6</f>
        <v>9.407406559</v>
      </c>
      <c r="T24" s="552">
        <f t="shared" si="10"/>
        <v>14.907992063443624</v>
      </c>
      <c r="U24" s="1379">
        <f t="shared" ref="U24:U37" si="39">U25</f>
        <v>2</v>
      </c>
      <c r="W24" s="965">
        <v>2020</v>
      </c>
      <c r="X24" s="491">
        <f t="shared" si="11"/>
        <v>12.186969846153847</v>
      </c>
      <c r="Y24" s="491">
        <f t="shared" si="12"/>
        <v>25.786655345454541</v>
      </c>
      <c r="Z24" s="491">
        <f t="shared" si="13"/>
        <v>20.940687201412366</v>
      </c>
      <c r="AA24" s="491">
        <f t="shared" si="32"/>
        <v>14.449450000000001</v>
      </c>
      <c r="AB24" s="491">
        <f t="shared" si="14"/>
        <v>20.377948965076552</v>
      </c>
      <c r="AC24" s="491">
        <f t="shared" si="33"/>
        <v>10.569046</v>
      </c>
      <c r="AD24" s="491">
        <f t="shared" si="15"/>
        <v>11.498526304932735</v>
      </c>
      <c r="AE24" s="491">
        <f t="shared" si="34"/>
        <v>33.912785</v>
      </c>
      <c r="AF24" s="652">
        <f t="shared" si="37"/>
        <v>76.774086226406567</v>
      </c>
      <c r="AG24" s="551">
        <v>2020</v>
      </c>
      <c r="AH24" s="545">
        <f t="shared" si="18"/>
        <v>1.6903327176615386</v>
      </c>
      <c r="AI24" s="545">
        <f t="shared" si="19"/>
        <v>3.5766090964145447</v>
      </c>
      <c r="AJ24" s="545">
        <f t="shared" si="20"/>
        <v>2.9044733148358954</v>
      </c>
      <c r="AK24" s="545">
        <f t="shared" si="21"/>
        <v>2.0041387150000003</v>
      </c>
      <c r="AL24" s="545">
        <f t="shared" si="22"/>
        <v>2.8264215214561177</v>
      </c>
      <c r="AM24" s="545">
        <f t="shared" si="23"/>
        <v>1.4659266802000002</v>
      </c>
      <c r="AN24" s="545">
        <f t="shared" si="24"/>
        <v>1.5948455984941705</v>
      </c>
      <c r="AO24" s="545">
        <f t="shared" ref="AO24:AO58" si="40">U24*AE24*HVDiesel/10^6</f>
        <v>9.407406559</v>
      </c>
      <c r="AP24" s="552">
        <f t="shared" si="26"/>
        <v>10.648565759602592</v>
      </c>
      <c r="AQ24" s="10"/>
    </row>
    <row r="25" spans="1:52" x14ac:dyDescent="0.2">
      <c r="A25" s="964">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3">
        <f t="shared" si="36"/>
        <v>107.48372071696917</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38"/>
        <v>9.4237110214000008</v>
      </c>
      <c r="T25" s="550">
        <f t="shared" si="10"/>
        <v>14.907992063443624</v>
      </c>
      <c r="U25" s="1379">
        <f t="shared" si="39"/>
        <v>2</v>
      </c>
      <c r="W25" s="964">
        <v>2021</v>
      </c>
      <c r="X25" s="491">
        <f t="shared" si="11"/>
        <v>12.547705398601401</v>
      </c>
      <c r="Y25" s="491">
        <f t="shared" si="12"/>
        <v>31.812847772727267</v>
      </c>
      <c r="Z25" s="491">
        <f t="shared" si="13"/>
        <v>20.963633379003014</v>
      </c>
      <c r="AA25" s="491">
        <f t="shared" si="32"/>
        <v>14.469915</v>
      </c>
      <c r="AB25" s="491">
        <f t="shared" si="14"/>
        <v>20.485171303916431</v>
      </c>
      <c r="AC25" s="491">
        <f t="shared" si="33"/>
        <v>10.419720999999999</v>
      </c>
      <c r="AD25" s="491">
        <f t="shared" si="15"/>
        <v>10.955606919282509</v>
      </c>
      <c r="AE25" s="491">
        <f t="shared" si="34"/>
        <v>33.971561000000001</v>
      </c>
      <c r="AF25" s="652">
        <f t="shared" si="37"/>
        <v>73.703122777350288</v>
      </c>
      <c r="AG25" s="549">
        <v>2021</v>
      </c>
      <c r="AH25" s="544">
        <f t="shared" si="18"/>
        <v>1.7403667387860142</v>
      </c>
      <c r="AI25" s="544">
        <f t="shared" si="19"/>
        <v>4.4124419860772726</v>
      </c>
      <c r="AJ25" s="544">
        <f t="shared" si="20"/>
        <v>2.9076559496677179</v>
      </c>
      <c r="AK25" s="544">
        <f t="shared" si="21"/>
        <v>2.0069772105000001</v>
      </c>
      <c r="AL25" s="544">
        <f t="shared" si="22"/>
        <v>2.841293259853209</v>
      </c>
      <c r="AM25" s="544">
        <f t="shared" si="23"/>
        <v>1.4452153026999999</v>
      </c>
      <c r="AN25" s="544">
        <f t="shared" si="24"/>
        <v>1.519542679704484</v>
      </c>
      <c r="AO25" s="544">
        <f t="shared" si="40"/>
        <v>9.4237110214000008</v>
      </c>
      <c r="AP25" s="550">
        <f t="shared" si="26"/>
        <v>10.222623129218485</v>
      </c>
      <c r="AQ25" s="10"/>
    </row>
    <row r="26" spans="1:52" x14ac:dyDescent="0.2">
      <c r="A26" s="964">
        <v>2022</v>
      </c>
      <c r="B26" s="491">
        <v>16.712645999999999</v>
      </c>
      <c r="C26" s="491">
        <v>28.426769</v>
      </c>
      <c r="D26" s="491">
        <v>21.98358</v>
      </c>
      <c r="E26" s="491">
        <v>14.677915</v>
      </c>
      <c r="F26" s="491">
        <v>21.792422999999999</v>
      </c>
      <c r="G26" s="491">
        <v>10.188439000000001</v>
      </c>
      <c r="H26" s="491">
        <v>12.415777</v>
      </c>
      <c r="I26" s="491">
        <v>34.360657000000003</v>
      </c>
      <c r="J26" s="1313">
        <f t="shared" si="36"/>
        <v>107.48372071696917</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38"/>
        <v>9.5316462517999998</v>
      </c>
      <c r="T26" s="550">
        <f t="shared" si="10"/>
        <v>14.907992063443624</v>
      </c>
      <c r="U26" s="1379">
        <f t="shared" si="39"/>
        <v>2</v>
      </c>
      <c r="W26" s="964">
        <v>2022</v>
      </c>
      <c r="X26" s="491">
        <f t="shared" si="11"/>
        <v>13.089624839160841</v>
      </c>
      <c r="Y26" s="491">
        <f t="shared" si="12"/>
        <v>30.235745209090904</v>
      </c>
      <c r="Z26" s="491">
        <f t="shared" si="13"/>
        <v>20.968496934705502</v>
      </c>
      <c r="AA26" s="491">
        <f t="shared" si="32"/>
        <v>14.677915</v>
      </c>
      <c r="AB26" s="491">
        <f t="shared" si="14"/>
        <v>20.806148996464355</v>
      </c>
      <c r="AC26" s="491">
        <f t="shared" si="33"/>
        <v>10.188439000000001</v>
      </c>
      <c r="AD26" s="491">
        <f t="shared" si="15"/>
        <v>10.745493098654707</v>
      </c>
      <c r="AE26" s="491">
        <f t="shared" si="34"/>
        <v>34.360657000000003</v>
      </c>
      <c r="AF26" s="652">
        <f t="shared" si="37"/>
        <v>68.328936741501849</v>
      </c>
      <c r="AG26" s="549">
        <v>2022</v>
      </c>
      <c r="AH26" s="544">
        <f t="shared" si="18"/>
        <v>1.8155309651916085</v>
      </c>
      <c r="AI26" s="544">
        <f t="shared" si="19"/>
        <v>4.1936978605009081</v>
      </c>
      <c r="AJ26" s="544">
        <f t="shared" si="20"/>
        <v>2.9083305248436533</v>
      </c>
      <c r="AK26" s="544">
        <f t="shared" si="21"/>
        <v>2.0358268105000001</v>
      </c>
      <c r="AL26" s="544">
        <f t="shared" si="22"/>
        <v>2.8858128658096058</v>
      </c>
      <c r="AM26" s="544">
        <f t="shared" si="23"/>
        <v>1.4131364893</v>
      </c>
      <c r="AN26" s="544">
        <f t="shared" si="24"/>
        <v>1.4903998927834079</v>
      </c>
      <c r="AO26" s="544">
        <f t="shared" si="40"/>
        <v>9.5316462517999998</v>
      </c>
      <c r="AP26" s="550">
        <f t="shared" si="26"/>
        <v>9.4772235260463056</v>
      </c>
      <c r="AQ26" s="10"/>
    </row>
    <row r="27" spans="1:52" x14ac:dyDescent="0.2">
      <c r="A27" s="964">
        <v>2023</v>
      </c>
      <c r="B27" s="491">
        <v>17.151492999999999</v>
      </c>
      <c r="C27" s="491">
        <v>28.618099000000001</v>
      </c>
      <c r="D27" s="491">
        <v>21.894874999999999</v>
      </c>
      <c r="E27" s="491">
        <v>14.784328</v>
      </c>
      <c r="F27" s="491">
        <v>21.917566000000001</v>
      </c>
      <c r="G27" s="491">
        <v>8.9142880000000009</v>
      </c>
      <c r="H27" s="491">
        <v>12.426674999999999</v>
      </c>
      <c r="I27" s="491">
        <v>34.89761</v>
      </c>
      <c r="J27" s="1313">
        <f t="shared" si="36"/>
        <v>95.967607783008191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38"/>
        <v>9.6805970139999999</v>
      </c>
      <c r="T27" s="550">
        <f t="shared" si="10"/>
        <v>13.310707199503236</v>
      </c>
      <c r="U27" s="1379">
        <f t="shared" si="39"/>
        <v>2</v>
      </c>
      <c r="W27" s="964">
        <v>2023</v>
      </c>
      <c r="X27" s="491">
        <f t="shared" si="11"/>
        <v>13.433337174825176</v>
      </c>
      <c r="Y27" s="491">
        <f t="shared" si="12"/>
        <v>30.439250754545451</v>
      </c>
      <c r="Z27" s="491">
        <f t="shared" si="13"/>
        <v>20.883887852809238</v>
      </c>
      <c r="AA27" s="491">
        <f t="shared" si="32"/>
        <v>14.784328</v>
      </c>
      <c r="AB27" s="491">
        <f t="shared" si="14"/>
        <v>20.925628317504724</v>
      </c>
      <c r="AC27" s="491">
        <f t="shared" si="33"/>
        <v>8.9142880000000009</v>
      </c>
      <c r="AD27" s="491">
        <f t="shared" si="15"/>
        <v>10.754924999999998</v>
      </c>
      <c r="AE27" s="491">
        <f t="shared" si="34"/>
        <v>34.89761</v>
      </c>
      <c r="AF27" s="652">
        <f t="shared" si="37"/>
        <v>59.116046394333054</v>
      </c>
      <c r="AG27" s="549">
        <v>2023</v>
      </c>
      <c r="AH27" s="544">
        <f t="shared" si="18"/>
        <v>1.863203866148252</v>
      </c>
      <c r="AI27" s="544">
        <f t="shared" si="19"/>
        <v>4.2219240796554542</v>
      </c>
      <c r="AJ27" s="544">
        <f t="shared" si="20"/>
        <v>2.8965952451846415</v>
      </c>
      <c r="AK27" s="544">
        <f t="shared" si="21"/>
        <v>2.0505862935999999</v>
      </c>
      <c r="AL27" s="544">
        <f t="shared" si="22"/>
        <v>2.9023846476379052</v>
      </c>
      <c r="AM27" s="544">
        <f t="shared" si="23"/>
        <v>1.2364117456000001</v>
      </c>
      <c r="AN27" s="544">
        <f t="shared" si="24"/>
        <v>1.4917080974999997</v>
      </c>
      <c r="AO27" s="544">
        <f t="shared" si="40"/>
        <v>9.6805970139999999</v>
      </c>
      <c r="AP27" s="550">
        <f t="shared" si="26"/>
        <v>8.1993956348939943</v>
      </c>
      <c r="AQ27" s="10"/>
    </row>
    <row r="28" spans="1:52" x14ac:dyDescent="0.2">
      <c r="A28" s="964">
        <v>2024</v>
      </c>
      <c r="B28" s="491">
        <v>17.636644</v>
      </c>
      <c r="C28" s="491">
        <v>28.520074999999999</v>
      </c>
      <c r="D28" s="491">
        <v>21.602947</v>
      </c>
      <c r="E28" s="491">
        <v>15.181978000000001</v>
      </c>
      <c r="F28" s="491">
        <v>22.312809000000001</v>
      </c>
      <c r="G28" s="491">
        <v>9.2094129999999996</v>
      </c>
      <c r="H28" s="491">
        <v>12.301192</v>
      </c>
      <c r="I28" s="491">
        <v>35.386074000000001</v>
      </c>
      <c r="J28" s="1313">
        <f t="shared" si="36"/>
        <v>69.096677603765912</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38"/>
        <v>9.8160969276000003</v>
      </c>
      <c r="T28" s="550">
        <f t="shared" si="10"/>
        <v>9.5837091836423323</v>
      </c>
      <c r="U28" s="1379">
        <f t="shared" si="39"/>
        <v>2</v>
      </c>
      <c r="W28" s="964">
        <v>2024</v>
      </c>
      <c r="X28" s="491">
        <f t="shared" si="11"/>
        <v>13.813315580419584</v>
      </c>
      <c r="Y28" s="491">
        <f t="shared" si="12"/>
        <v>30.334988863636358</v>
      </c>
      <c r="Z28" s="491">
        <f t="shared" si="13"/>
        <v>20.605439512131571</v>
      </c>
      <c r="AA28" s="491">
        <f t="shared" si="32"/>
        <v>15.181978000000001</v>
      </c>
      <c r="AB28" s="491">
        <f t="shared" si="14"/>
        <v>21.302983545411671</v>
      </c>
      <c r="AC28" s="491">
        <f t="shared" si="33"/>
        <v>9.2094129999999996</v>
      </c>
      <c r="AD28" s="491">
        <f t="shared" si="15"/>
        <v>10.646323121076232</v>
      </c>
      <c r="AE28" s="491">
        <f t="shared" si="34"/>
        <v>35.386074000000001</v>
      </c>
      <c r="AF28" s="652">
        <f t="shared" si="37"/>
        <v>49.903156047164266</v>
      </c>
      <c r="AG28" s="549">
        <v>2024</v>
      </c>
      <c r="AH28" s="544">
        <f t="shared" si="18"/>
        <v>1.9159068710041964</v>
      </c>
      <c r="AI28" s="544">
        <f t="shared" si="19"/>
        <v>4.2074629553863634</v>
      </c>
      <c r="AJ28" s="544">
        <f t="shared" si="20"/>
        <v>2.8579744603326489</v>
      </c>
      <c r="AK28" s="544">
        <f t="shared" si="21"/>
        <v>2.1057403485999999</v>
      </c>
      <c r="AL28" s="544">
        <f t="shared" si="22"/>
        <v>2.9547238177485986</v>
      </c>
      <c r="AM28" s="544">
        <f t="shared" si="23"/>
        <v>1.2773455831</v>
      </c>
      <c r="AN28" s="544">
        <f t="shared" si="24"/>
        <v>1.4766450168932734</v>
      </c>
      <c r="AO28" s="544">
        <f t="shared" si="40"/>
        <v>9.8160969276000003</v>
      </c>
      <c r="AP28" s="550">
        <f t="shared" si="26"/>
        <v>6.9215677437416838</v>
      </c>
      <c r="AQ28" s="10"/>
    </row>
    <row r="29" spans="1:52" s="48" customFormat="1" x14ac:dyDescent="0.2">
      <c r="A29" s="965">
        <v>2025</v>
      </c>
      <c r="B29" s="491">
        <v>18.329802999999998</v>
      </c>
      <c r="C29" s="491">
        <v>27.862691999999999</v>
      </c>
      <c r="D29" s="491">
        <v>21.847075</v>
      </c>
      <c r="E29" s="491">
        <v>15.254274000000001</v>
      </c>
      <c r="F29" s="491">
        <v>22.445829</v>
      </c>
      <c r="G29" s="491">
        <v>9.4572199999999995</v>
      </c>
      <c r="H29" s="491">
        <v>12.310214999999999</v>
      </c>
      <c r="I29" s="491">
        <v>36.138537999999997</v>
      </c>
      <c r="J29" s="1313">
        <f t="shared" si="36"/>
        <v>53.741860358484587</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38"/>
        <v>10.024830441199999</v>
      </c>
      <c r="T29" s="552">
        <f t="shared" si="10"/>
        <v>7.4539960317218119</v>
      </c>
      <c r="U29" s="1379">
        <f t="shared" si="39"/>
        <v>2</v>
      </c>
      <c r="V29"/>
      <c r="W29" s="965">
        <v>2025</v>
      </c>
      <c r="X29" s="491">
        <f t="shared" si="11"/>
        <v>14.356209342657344</v>
      </c>
      <c r="Y29" s="491">
        <f t="shared" si="12"/>
        <v>29.635772399999993</v>
      </c>
      <c r="Z29" s="491">
        <f t="shared" si="13"/>
        <v>20.838294998802798</v>
      </c>
      <c r="AA29" s="491">
        <f t="shared" si="32"/>
        <v>15.254274000000001</v>
      </c>
      <c r="AB29" s="491">
        <f t="shared" si="14"/>
        <v>21.4299833718885</v>
      </c>
      <c r="AC29" s="491">
        <f t="shared" si="33"/>
        <v>9.4572199999999995</v>
      </c>
      <c r="AD29" s="491">
        <f t="shared" si="15"/>
        <v>10.65413226457399</v>
      </c>
      <c r="AE29" s="491">
        <f t="shared" si="34"/>
        <v>36.138537999999997</v>
      </c>
      <c r="AF29" s="652">
        <f t="shared" si="37"/>
        <v>46.064451735843932</v>
      </c>
      <c r="AG29" s="551">
        <v>2025</v>
      </c>
      <c r="AH29" s="545">
        <f t="shared" si="18"/>
        <v>1.9912062358265736</v>
      </c>
      <c r="AI29" s="545">
        <f t="shared" si="19"/>
        <v>4.110481631879999</v>
      </c>
      <c r="AJ29" s="545">
        <f t="shared" si="20"/>
        <v>2.8902715163339479</v>
      </c>
      <c r="AK29" s="545">
        <f t="shared" si="21"/>
        <v>2.1157678037999998</v>
      </c>
      <c r="AL29" s="545">
        <f t="shared" si="22"/>
        <v>2.9723386936809351</v>
      </c>
      <c r="AM29" s="545">
        <f t="shared" si="23"/>
        <v>1.3117164139999999</v>
      </c>
      <c r="AN29" s="545">
        <f t="shared" si="24"/>
        <v>1.4777281450964124</v>
      </c>
      <c r="AO29" s="545">
        <f t="shared" si="40"/>
        <v>10.024830441199999</v>
      </c>
      <c r="AP29" s="552">
        <f t="shared" si="26"/>
        <v>6.389139455761554</v>
      </c>
      <c r="AQ29" s="10"/>
    </row>
    <row r="30" spans="1:52" x14ac:dyDescent="0.2">
      <c r="A30" s="964">
        <v>2026</v>
      </c>
      <c r="B30" s="491">
        <v>18.998629000000001</v>
      </c>
      <c r="C30" s="491">
        <v>27.936610999999999</v>
      </c>
      <c r="D30" s="491">
        <v>22.031654</v>
      </c>
      <c r="E30" s="491">
        <v>15.71048</v>
      </c>
      <c r="F30" s="491">
        <v>22.857292000000001</v>
      </c>
      <c r="G30" s="491">
        <v>10.104760000000001</v>
      </c>
      <c r="H30" s="491">
        <v>12.265231</v>
      </c>
      <c r="I30" s="491">
        <v>36.758361999999998</v>
      </c>
      <c r="J30" s="1313">
        <f t="shared" si="36"/>
        <v>51.438637771692399</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38"/>
        <v>10.196769618799999</v>
      </c>
      <c r="T30" s="550">
        <f t="shared" si="10"/>
        <v>7.1345390589337354</v>
      </c>
      <c r="U30" s="1379">
        <f t="shared" si="39"/>
        <v>2</v>
      </c>
      <c r="W30" s="964">
        <v>2026</v>
      </c>
      <c r="X30" s="491">
        <f t="shared" si="11"/>
        <v>14.880045090909094</v>
      </c>
      <c r="Y30" s="491">
        <f t="shared" si="12"/>
        <v>29.71439533636363</v>
      </c>
      <c r="Z30" s="491">
        <f t="shared" si="13"/>
        <v>21.014351136870889</v>
      </c>
      <c r="AA30" s="491">
        <f t="shared" si="32"/>
        <v>15.71048</v>
      </c>
      <c r="AB30" s="491">
        <f t="shared" si="14"/>
        <v>21.822824520600246</v>
      </c>
      <c r="AC30" s="491">
        <f t="shared" si="33"/>
        <v>10.104760000000001</v>
      </c>
      <c r="AD30" s="491">
        <f t="shared" si="15"/>
        <v>10.615199923766815</v>
      </c>
      <c r="AE30" s="491">
        <f t="shared" si="34"/>
        <v>36.758361999999998</v>
      </c>
      <c r="AF30" s="652">
        <f t="shared" si="37"/>
        <v>44.682518183768622</v>
      </c>
      <c r="AG30" s="549">
        <v>2026</v>
      </c>
      <c r="AH30" s="544">
        <f t="shared" si="18"/>
        <v>2.0638622541090914</v>
      </c>
      <c r="AI30" s="544">
        <f t="shared" si="19"/>
        <v>4.1213866331536355</v>
      </c>
      <c r="AJ30" s="544">
        <f t="shared" si="20"/>
        <v>2.9146905026839924</v>
      </c>
      <c r="AK30" s="544">
        <f t="shared" si="21"/>
        <v>2.1790435759999998</v>
      </c>
      <c r="AL30" s="544">
        <f t="shared" si="22"/>
        <v>3.0268257610072542</v>
      </c>
      <c r="AM30" s="544">
        <f t="shared" si="23"/>
        <v>1.4015302120000002</v>
      </c>
      <c r="AN30" s="544">
        <f t="shared" si="24"/>
        <v>1.472328229426457</v>
      </c>
      <c r="AO30" s="544">
        <f t="shared" si="40"/>
        <v>10.196769618799999</v>
      </c>
      <c r="AP30" s="550">
        <f t="shared" si="26"/>
        <v>6.1974652720887073</v>
      </c>
      <c r="AQ30" s="10"/>
    </row>
    <row r="31" spans="1:52" x14ac:dyDescent="0.2">
      <c r="A31" s="964">
        <v>2027</v>
      </c>
      <c r="B31" s="491">
        <v>19.332518</v>
      </c>
      <c r="C31" s="491">
        <v>28.162009999999999</v>
      </c>
      <c r="D31" s="491">
        <v>22.300404</v>
      </c>
      <c r="E31" s="491">
        <v>15.739540999999999</v>
      </c>
      <c r="F31" s="491">
        <v>22.914766</v>
      </c>
      <c r="G31" s="491">
        <v>10.913876999999999</v>
      </c>
      <c r="H31" s="491">
        <v>12.143967999999999</v>
      </c>
      <c r="I31" s="491">
        <v>37.028300999999999</v>
      </c>
      <c r="J31" s="1313">
        <f t="shared" si="36"/>
        <v>49.903156047164266</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38"/>
        <v>10.2716506974</v>
      </c>
      <c r="T31" s="550">
        <f t="shared" si="10"/>
        <v>6.9215677437416838</v>
      </c>
      <c r="U31" s="1379">
        <f t="shared" si="39"/>
        <v>2</v>
      </c>
      <c r="W31" s="964">
        <v>2027</v>
      </c>
      <c r="X31" s="491">
        <f t="shared" si="11"/>
        <v>15.141552559440562</v>
      </c>
      <c r="Y31" s="491">
        <f t="shared" si="12"/>
        <v>29.954137909090903</v>
      </c>
      <c r="Z31" s="491">
        <f t="shared" si="13"/>
        <v>21.270691712482421</v>
      </c>
      <c r="AA31" s="491">
        <f t="shared" si="32"/>
        <v>15.739540999999999</v>
      </c>
      <c r="AB31" s="491">
        <f t="shared" si="14"/>
        <v>21.877697382026568</v>
      </c>
      <c r="AC31" s="491">
        <f t="shared" si="33"/>
        <v>10.913876999999999</v>
      </c>
      <c r="AD31" s="491">
        <f t="shared" si="15"/>
        <v>10.510250331838563</v>
      </c>
      <c r="AE31" s="491">
        <f t="shared" si="34"/>
        <v>37.028300999999999</v>
      </c>
      <c r="AF31" s="652">
        <f t="shared" si="37"/>
        <v>43.607680976598928</v>
      </c>
      <c r="AG31" s="549">
        <v>2027</v>
      </c>
      <c r="AH31" s="544">
        <f t="shared" si="18"/>
        <v>2.100133339994406</v>
      </c>
      <c r="AI31" s="544">
        <f t="shared" si="19"/>
        <v>4.1546389279909084</v>
      </c>
      <c r="AJ31" s="544">
        <f t="shared" si="20"/>
        <v>2.950244940521312</v>
      </c>
      <c r="AK31" s="544">
        <f t="shared" si="21"/>
        <v>2.1830743366999998</v>
      </c>
      <c r="AL31" s="544">
        <f t="shared" si="22"/>
        <v>3.0344366268870848</v>
      </c>
      <c r="AM31" s="544">
        <f t="shared" si="23"/>
        <v>1.5137547399</v>
      </c>
      <c r="AN31" s="544">
        <f t="shared" si="24"/>
        <v>1.4577717210260088</v>
      </c>
      <c r="AO31" s="544">
        <f t="shared" si="40"/>
        <v>10.2716506974</v>
      </c>
      <c r="AP31" s="550">
        <f t="shared" si="26"/>
        <v>6.0483853514542707</v>
      </c>
      <c r="AQ31" s="10"/>
    </row>
    <row r="32" spans="1:52" x14ac:dyDescent="0.2">
      <c r="A32" s="964">
        <v>2028</v>
      </c>
      <c r="B32" s="491">
        <v>19.533010000000001</v>
      </c>
      <c r="C32" s="491">
        <v>28.425083000000001</v>
      </c>
      <c r="D32" s="491">
        <v>22.412120999999999</v>
      </c>
      <c r="E32" s="491">
        <v>16.214652999999998</v>
      </c>
      <c r="F32" s="491">
        <v>23.266224000000001</v>
      </c>
      <c r="G32" s="491">
        <v>11.290391</v>
      </c>
      <c r="H32" s="491">
        <v>11.942882000000001</v>
      </c>
      <c r="I32" s="491">
        <v>36.980328</v>
      </c>
      <c r="J32" s="1313">
        <f t="shared" si="36"/>
        <v>47.983803891504095</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38"/>
        <v>10.258342987199999</v>
      </c>
      <c r="T32" s="550">
        <f t="shared" si="10"/>
        <v>6.655353599751618</v>
      </c>
      <c r="U32" s="1379">
        <f t="shared" si="39"/>
        <v>2</v>
      </c>
      <c r="W32" s="964">
        <v>2028</v>
      </c>
      <c r="X32" s="491">
        <f t="shared" si="11"/>
        <v>15.298581258741262</v>
      </c>
      <c r="Y32" s="491">
        <f t="shared" si="12"/>
        <v>30.233951918181816</v>
      </c>
      <c r="Z32" s="491">
        <f t="shared" si="13"/>
        <v>21.377250224428813</v>
      </c>
      <c r="AA32" s="491">
        <f t="shared" si="32"/>
        <v>16.214652999999998</v>
      </c>
      <c r="AB32" s="491">
        <f t="shared" si="14"/>
        <v>22.213249216441646</v>
      </c>
      <c r="AC32" s="491">
        <f t="shared" si="33"/>
        <v>11.290391</v>
      </c>
      <c r="AD32" s="491">
        <f t="shared" si="15"/>
        <v>10.336216260089687</v>
      </c>
      <c r="AE32" s="491">
        <f t="shared" si="34"/>
        <v>36.980328</v>
      </c>
      <c r="AF32" s="652">
        <f t="shared" si="37"/>
        <v>42.532843769429235</v>
      </c>
      <c r="AG32" s="549">
        <v>2028</v>
      </c>
      <c r="AH32" s="544">
        <f t="shared" si="18"/>
        <v>2.1219132205874129</v>
      </c>
      <c r="AI32" s="544">
        <f t="shared" si="19"/>
        <v>4.1934491310518176</v>
      </c>
      <c r="AJ32" s="544">
        <f t="shared" si="20"/>
        <v>2.9650246061282761</v>
      </c>
      <c r="AK32" s="544">
        <f t="shared" si="21"/>
        <v>2.2489723710999998</v>
      </c>
      <c r="AL32" s="544">
        <f t="shared" si="22"/>
        <v>3.080977666320456</v>
      </c>
      <c r="AM32" s="544">
        <f t="shared" si="23"/>
        <v>1.5659772316999998</v>
      </c>
      <c r="AN32" s="544">
        <f t="shared" si="24"/>
        <v>1.4336331952744397</v>
      </c>
      <c r="AO32" s="544">
        <f t="shared" si="40"/>
        <v>10.258342987199999</v>
      </c>
      <c r="AP32" s="550">
        <f t="shared" si="26"/>
        <v>5.8993054308198349</v>
      </c>
      <c r="AQ32" s="10"/>
    </row>
    <row r="33" spans="1:43" x14ac:dyDescent="0.2">
      <c r="A33" s="964">
        <v>2029</v>
      </c>
      <c r="B33" s="491">
        <v>19.624012</v>
      </c>
      <c r="C33" s="491">
        <v>28.713608000000001</v>
      </c>
      <c r="D33" s="491">
        <v>22.707564999999999</v>
      </c>
      <c r="E33" s="491">
        <v>16.425370999999998</v>
      </c>
      <c r="F33" s="491">
        <v>23.483311</v>
      </c>
      <c r="G33" s="491">
        <v>11.574986000000001</v>
      </c>
      <c r="H33" s="491">
        <v>11.674177</v>
      </c>
      <c r="I33" s="491">
        <v>36.851902000000003</v>
      </c>
      <c r="J33" s="1313">
        <f t="shared" si="36"/>
        <v>46.448322166975963</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38"/>
        <v>10.222717614800001</v>
      </c>
      <c r="T33" s="550">
        <f t="shared" si="10"/>
        <v>6.4423822845595655</v>
      </c>
      <c r="U33" s="1379">
        <f t="shared" si="39"/>
        <v>2</v>
      </c>
      <c r="W33" s="964">
        <v>2029</v>
      </c>
      <c r="X33" s="491">
        <f t="shared" si="11"/>
        <v>15.369855552447556</v>
      </c>
      <c r="Y33" s="491">
        <f t="shared" si="12"/>
        <v>30.540837599999996</v>
      </c>
      <c r="Z33" s="491">
        <f t="shared" si="13"/>
        <v>21.659052215204525</v>
      </c>
      <c r="AA33" s="491">
        <f t="shared" si="32"/>
        <v>16.425370999999998</v>
      </c>
      <c r="AB33" s="491">
        <f t="shared" si="14"/>
        <v>22.42051136747439</v>
      </c>
      <c r="AC33" s="491">
        <f t="shared" si="33"/>
        <v>11.574986000000001</v>
      </c>
      <c r="AD33" s="491">
        <f t="shared" si="15"/>
        <v>10.103659914798206</v>
      </c>
      <c r="AE33" s="491">
        <f t="shared" si="34"/>
        <v>36.851902000000003</v>
      </c>
      <c r="AF33" s="652">
        <f t="shared" si="37"/>
        <v>41.91865107961798</v>
      </c>
      <c r="AG33" s="549">
        <v>2029</v>
      </c>
      <c r="AH33" s="544">
        <f t="shared" si="18"/>
        <v>2.1317989651244758</v>
      </c>
      <c r="AI33" s="544">
        <f t="shared" si="19"/>
        <v>4.2360141751200002</v>
      </c>
      <c r="AJ33" s="544">
        <f t="shared" si="20"/>
        <v>3.0041105422488674</v>
      </c>
      <c r="AK33" s="544">
        <f t="shared" si="21"/>
        <v>2.2781989576999995</v>
      </c>
      <c r="AL33" s="544">
        <f t="shared" si="22"/>
        <v>3.1097249266686982</v>
      </c>
      <c r="AM33" s="544">
        <f t="shared" si="23"/>
        <v>1.6054505582</v>
      </c>
      <c r="AN33" s="544">
        <f t="shared" si="24"/>
        <v>1.4013776301825112</v>
      </c>
      <c r="AO33" s="544">
        <f t="shared" si="40"/>
        <v>10.222717614800001</v>
      </c>
      <c r="AP33" s="550">
        <f t="shared" si="26"/>
        <v>5.8141169047430141</v>
      </c>
      <c r="AQ33" s="10"/>
    </row>
    <row r="34" spans="1:43" x14ac:dyDescent="0.2">
      <c r="A34" s="965">
        <v>2030</v>
      </c>
      <c r="B34" s="491">
        <v>20.097501999999999</v>
      </c>
      <c r="C34" s="491">
        <v>30.057896</v>
      </c>
      <c r="D34" s="491">
        <v>23.410488000000001</v>
      </c>
      <c r="E34" s="491">
        <v>16.664819999999999</v>
      </c>
      <c r="F34" s="491">
        <v>23.973053</v>
      </c>
      <c r="G34" s="491">
        <v>11.016311</v>
      </c>
      <c r="H34" s="491">
        <v>12.097020000000001</v>
      </c>
      <c r="I34" s="491">
        <v>36.703060000000001</v>
      </c>
      <c r="J34" s="1313">
        <f t="shared" si="36"/>
        <v>45.450259046032684</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38"/>
        <v>10.181428844000001</v>
      </c>
      <c r="T34" s="552">
        <f t="shared" si="10"/>
        <v>6.3039509296847331</v>
      </c>
      <c r="U34" s="1379">
        <f t="shared" si="39"/>
        <v>2</v>
      </c>
      <c r="W34" s="965">
        <v>2030</v>
      </c>
      <c r="X34" s="491">
        <f t="shared" si="11"/>
        <v>15.740700867132869</v>
      </c>
      <c r="Y34" s="491">
        <f t="shared" si="12"/>
        <v>31.970671199999995</v>
      </c>
      <c r="Z34" s="491">
        <f t="shared" si="13"/>
        <v>22.329518025178789</v>
      </c>
      <c r="AA34" s="491">
        <f t="shared" si="32"/>
        <v>16.664819999999999</v>
      </c>
      <c r="AB34" s="491">
        <f t="shared" si="14"/>
        <v>22.888088792060287</v>
      </c>
      <c r="AC34" s="491">
        <f t="shared" si="33"/>
        <v>11.016311</v>
      </c>
      <c r="AD34" s="491">
        <f t="shared" si="15"/>
        <v>10.469618206278026</v>
      </c>
      <c r="AE34" s="491">
        <f t="shared" si="34"/>
        <v>36.703060000000001</v>
      </c>
      <c r="AF34" s="652">
        <f t="shared" si="37"/>
        <v>41.304458389806726</v>
      </c>
      <c r="AG34" s="551">
        <v>2030</v>
      </c>
      <c r="AH34" s="545">
        <f t="shared" si="18"/>
        <v>2.1832352102713291</v>
      </c>
      <c r="AI34" s="545">
        <f t="shared" si="19"/>
        <v>4.4343320954399994</v>
      </c>
      <c r="AJ34" s="545">
        <f t="shared" si="20"/>
        <v>3.097104150092298</v>
      </c>
      <c r="AK34" s="545">
        <f t="shared" si="21"/>
        <v>2.3114105340000002</v>
      </c>
      <c r="AL34" s="545">
        <f t="shared" si="22"/>
        <v>3.1745779154587619</v>
      </c>
      <c r="AM34" s="545">
        <f t="shared" si="23"/>
        <v>1.5279623356999998</v>
      </c>
      <c r="AN34" s="545">
        <f t="shared" si="24"/>
        <v>1.4521360452107621</v>
      </c>
      <c r="AO34" s="545">
        <f t="shared" si="40"/>
        <v>10.181428844000001</v>
      </c>
      <c r="AP34" s="552">
        <f t="shared" si="26"/>
        <v>5.7289283786661933</v>
      </c>
      <c r="AQ34" s="10"/>
    </row>
    <row r="35" spans="1:43" x14ac:dyDescent="0.2">
      <c r="A35" s="964">
        <v>2031</v>
      </c>
      <c r="B35" s="491">
        <v>20.105340999999999</v>
      </c>
      <c r="C35" s="491">
        <v>30.388204999999999</v>
      </c>
      <c r="D35" s="491">
        <v>23.573322000000001</v>
      </c>
      <c r="E35" s="491">
        <v>17.012841999999999</v>
      </c>
      <c r="F35" s="491">
        <v>24.241781</v>
      </c>
      <c r="G35" s="491">
        <v>11.238101</v>
      </c>
      <c r="H35" s="491">
        <v>11.824804</v>
      </c>
      <c r="I35" s="491">
        <v>36.648471999999998</v>
      </c>
      <c r="J35" s="1313">
        <f t="shared" si="36"/>
        <v>44.145099580183775</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38"/>
        <v>10.1662861328</v>
      </c>
      <c r="T35" s="550">
        <f t="shared" si="10"/>
        <v>6.1229253117714899</v>
      </c>
      <c r="U35" s="1379">
        <f t="shared" si="39"/>
        <v>2</v>
      </c>
      <c r="W35" s="964">
        <v>2031</v>
      </c>
      <c r="X35" s="491">
        <f t="shared" si="11"/>
        <v>15.746840503496506</v>
      </c>
      <c r="Y35" s="491">
        <f t="shared" si="12"/>
        <v>32.321999863636357</v>
      </c>
      <c r="Z35" s="491">
        <f t="shared" si="13"/>
        <v>22.484833229975543</v>
      </c>
      <c r="AA35" s="491">
        <f t="shared" si="32"/>
        <v>17.012841999999999</v>
      </c>
      <c r="AB35" s="491">
        <f t="shared" si="14"/>
        <v>23.144654792432153</v>
      </c>
      <c r="AC35" s="491">
        <f t="shared" si="33"/>
        <v>11.238101</v>
      </c>
      <c r="AD35" s="491">
        <f t="shared" si="15"/>
        <v>10.234023192825111</v>
      </c>
      <c r="AE35" s="491">
        <f t="shared" si="34"/>
        <v>36.648471999999998</v>
      </c>
      <c r="AF35" s="652">
        <f t="shared" si="37"/>
        <v>40.690265699995479</v>
      </c>
      <c r="AG35" s="549">
        <v>2031</v>
      </c>
      <c r="AH35" s="544">
        <f t="shared" si="18"/>
        <v>2.1840867778349655</v>
      </c>
      <c r="AI35" s="544">
        <f t="shared" si="19"/>
        <v>4.4830613810863627</v>
      </c>
      <c r="AJ35" s="544">
        <f t="shared" si="20"/>
        <v>3.1186463689976081</v>
      </c>
      <c r="AK35" s="544">
        <f t="shared" si="21"/>
        <v>2.3596811853999999</v>
      </c>
      <c r="AL35" s="544">
        <f t="shared" si="22"/>
        <v>3.2101636197103396</v>
      </c>
      <c r="AM35" s="544">
        <f t="shared" si="23"/>
        <v>1.5587246087</v>
      </c>
      <c r="AN35" s="544">
        <f t="shared" si="24"/>
        <v>1.4194590168448429</v>
      </c>
      <c r="AO35" s="544">
        <f t="shared" si="40"/>
        <v>10.1662861328</v>
      </c>
      <c r="AP35" s="550">
        <f t="shared" si="26"/>
        <v>5.6437398525893725</v>
      </c>
      <c r="AQ35" s="10"/>
    </row>
    <row r="36" spans="1:43" x14ac:dyDescent="0.2">
      <c r="A36" s="964">
        <v>2032</v>
      </c>
      <c r="B36" s="491">
        <v>20.179995000000002</v>
      </c>
      <c r="C36" s="491">
        <v>30.548780000000001</v>
      </c>
      <c r="D36" s="491">
        <v>23.781666000000001</v>
      </c>
      <c r="E36" s="491">
        <v>17.187419999999999</v>
      </c>
      <c r="F36" s="491">
        <v>24.417619999999999</v>
      </c>
      <c r="G36" s="491">
        <v>11.303734</v>
      </c>
      <c r="H36" s="491">
        <v>11.655065</v>
      </c>
      <c r="I36" s="491">
        <v>36.629832999999998</v>
      </c>
      <c r="J36" s="1313">
        <f t="shared" si="36"/>
        <v>42.609617855655642</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38"/>
        <v>10.1611156742</v>
      </c>
      <c r="T36" s="550">
        <f t="shared" si="10"/>
        <v>5.9099539965794374</v>
      </c>
      <c r="U36" s="1379">
        <f t="shared" si="39"/>
        <v>2</v>
      </c>
      <c r="W36" s="964">
        <v>2032</v>
      </c>
      <c r="X36" s="491">
        <f t="shared" si="11"/>
        <v>15.805310769230774</v>
      </c>
      <c r="Y36" s="491">
        <f t="shared" si="12"/>
        <v>32.492793272727269</v>
      </c>
      <c r="Z36" s="491">
        <f t="shared" si="13"/>
        <v>22.683557028618182</v>
      </c>
      <c r="AA36" s="491">
        <f t="shared" si="32"/>
        <v>17.187419999999999</v>
      </c>
      <c r="AB36" s="491">
        <f t="shared" si="14"/>
        <v>23.31253573129743</v>
      </c>
      <c r="AC36" s="491">
        <f t="shared" si="33"/>
        <v>11.303734</v>
      </c>
      <c r="AD36" s="491">
        <f t="shared" si="15"/>
        <v>10.087119035874439</v>
      </c>
      <c r="AE36" s="491">
        <f t="shared" si="34"/>
        <v>36.629832999999998</v>
      </c>
      <c r="AF36" s="652">
        <f t="shared" si="37"/>
        <v>40.076073010184224</v>
      </c>
      <c r="AG36" s="549">
        <v>2032</v>
      </c>
      <c r="AH36" s="544">
        <f t="shared" si="18"/>
        <v>2.1921966036923086</v>
      </c>
      <c r="AI36" s="544">
        <f t="shared" si="19"/>
        <v>4.5067504269272725</v>
      </c>
      <c r="AJ36" s="544">
        <f t="shared" si="20"/>
        <v>3.1462093598693417</v>
      </c>
      <c r="AK36" s="544">
        <f t="shared" si="21"/>
        <v>2.3838951540000002</v>
      </c>
      <c r="AL36" s="544">
        <f t="shared" si="22"/>
        <v>3.2334487059309533</v>
      </c>
      <c r="AM36" s="544">
        <f t="shared" si="23"/>
        <v>1.5678279058</v>
      </c>
      <c r="AN36" s="544">
        <f t="shared" si="24"/>
        <v>1.3990834102757848</v>
      </c>
      <c r="AO36" s="544">
        <f t="shared" si="40"/>
        <v>10.1611156742</v>
      </c>
      <c r="AP36" s="550">
        <f t="shared" si="26"/>
        <v>5.5585513265125517</v>
      </c>
      <c r="AQ36" s="10"/>
    </row>
    <row r="37" spans="1:43" x14ac:dyDescent="0.2">
      <c r="A37" s="964">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3">
        <f t="shared" si="36"/>
        <v>41.150910217353918</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38"/>
        <v>10.216654205600001</v>
      </c>
      <c r="T37" s="550">
        <f t="shared" si="10"/>
        <v>5.7076312471469883</v>
      </c>
      <c r="U37" s="1379">
        <f t="shared" si="39"/>
        <v>2</v>
      </c>
      <c r="W37" s="964">
        <v>2033</v>
      </c>
      <c r="X37" s="491">
        <f t="shared" si="11"/>
        <v>16.05212900699301</v>
      </c>
      <c r="Y37" s="491">
        <f t="shared" si="12"/>
        <v>33.194531618181813</v>
      </c>
      <c r="Z37" s="491">
        <f t="shared" si="13"/>
        <v>23.086776223384476</v>
      </c>
      <c r="AA37" s="491">
        <f t="shared" si="32"/>
        <v>17.583839000000001</v>
      </c>
      <c r="AB37" s="491">
        <f t="shared" si="14"/>
        <v>23.687610079746754</v>
      </c>
      <c r="AC37" s="491">
        <f t="shared" si="33"/>
        <v>11.559741000000001</v>
      </c>
      <c r="AD37" s="491">
        <f t="shared" si="15"/>
        <v>10.084421363228699</v>
      </c>
      <c r="AE37" s="491">
        <f t="shared" si="34"/>
        <v>36.830044000000001</v>
      </c>
      <c r="AF37" s="652">
        <f t="shared" si="37"/>
        <v>39.46188032037297</v>
      </c>
      <c r="AG37" s="549">
        <v>2033</v>
      </c>
      <c r="AH37" s="544">
        <f t="shared" si="18"/>
        <v>2.2264302932699302</v>
      </c>
      <c r="AI37" s="544">
        <f t="shared" si="19"/>
        <v>4.6040815354418179</v>
      </c>
      <c r="AJ37" s="544">
        <f t="shared" si="20"/>
        <v>3.2021358621834271</v>
      </c>
      <c r="AK37" s="544">
        <f t="shared" si="21"/>
        <v>2.4388784693000001</v>
      </c>
      <c r="AL37" s="544">
        <f t="shared" si="22"/>
        <v>3.2854715180608745</v>
      </c>
      <c r="AM37" s="544">
        <f t="shared" si="23"/>
        <v>1.6033360767</v>
      </c>
      <c r="AN37" s="544">
        <f t="shared" si="24"/>
        <v>1.3987092430798207</v>
      </c>
      <c r="AO37" s="544">
        <f t="shared" si="40"/>
        <v>10.216654205600001</v>
      </c>
      <c r="AP37" s="550">
        <f t="shared" si="26"/>
        <v>5.4733628004357309</v>
      </c>
      <c r="AQ37" s="10"/>
    </row>
    <row r="38" spans="1:43" x14ac:dyDescent="0.2">
      <c r="A38" s="964">
        <v>2034</v>
      </c>
      <c r="B38" s="491">
        <v>20.705454</v>
      </c>
      <c r="C38" s="491">
        <v>31.695506999999999</v>
      </c>
      <c r="D38" s="491">
        <v>24.592258000000001</v>
      </c>
      <c r="E38" s="491">
        <v>17.868292</v>
      </c>
      <c r="F38" s="491">
        <v>25.010679</v>
      </c>
      <c r="G38" s="491">
        <v>11.693218</v>
      </c>
      <c r="H38" s="491">
        <v>11.562685999999999</v>
      </c>
      <c r="I38" s="491">
        <v>36.911639999999998</v>
      </c>
      <c r="J38" s="1313">
        <f t="shared" si="36"/>
        <v>39.692202579052193</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38"/>
        <v>10.239288935999999</v>
      </c>
      <c r="T38" s="550">
        <f t="shared" si="10"/>
        <v>5.5053084977145392</v>
      </c>
      <c r="U38" s="1379">
        <f>U39</f>
        <v>2</v>
      </c>
      <c r="W38" s="964">
        <v>2034</v>
      </c>
      <c r="X38" s="491">
        <f t="shared" si="11"/>
        <v>16.216859076923079</v>
      </c>
      <c r="Y38" s="491">
        <f t="shared" si="12"/>
        <v>33.712493809090901</v>
      </c>
      <c r="Z38" s="491">
        <f t="shared" si="13"/>
        <v>23.456720265329253</v>
      </c>
      <c r="AA38" s="491">
        <f t="shared" si="32"/>
        <v>17.868292</v>
      </c>
      <c r="AB38" s="491">
        <f t="shared" si="14"/>
        <v>23.878754270543578</v>
      </c>
      <c r="AC38" s="491">
        <f t="shared" si="33"/>
        <v>11.693218</v>
      </c>
      <c r="AD38" s="491">
        <f t="shared" si="15"/>
        <v>10.007167704035874</v>
      </c>
      <c r="AE38" s="491">
        <f t="shared" si="34"/>
        <v>36.911639999999998</v>
      </c>
      <c r="AF38" s="652">
        <f t="shared" si="37"/>
        <v>38.92446171678813</v>
      </c>
      <c r="AG38" s="549">
        <v>2034</v>
      </c>
      <c r="AH38" s="544">
        <f t="shared" si="18"/>
        <v>2.2492783539692311</v>
      </c>
      <c r="AI38" s="544">
        <f t="shared" si="19"/>
        <v>4.6759228913209085</v>
      </c>
      <c r="AJ38" s="544">
        <f t="shared" si="20"/>
        <v>3.2534471008011674</v>
      </c>
      <c r="AK38" s="544">
        <f t="shared" si="21"/>
        <v>2.4783321003999998</v>
      </c>
      <c r="AL38" s="544">
        <f t="shared" si="22"/>
        <v>3.3119832173243942</v>
      </c>
      <c r="AM38" s="544">
        <f t="shared" si="23"/>
        <v>1.6218493366</v>
      </c>
      <c r="AN38" s="544">
        <f t="shared" si="24"/>
        <v>1.3879941605497756</v>
      </c>
      <c r="AO38" s="544">
        <f t="shared" si="40"/>
        <v>10.239288935999999</v>
      </c>
      <c r="AP38" s="550">
        <f t="shared" si="26"/>
        <v>5.3988228401185134</v>
      </c>
      <c r="AQ38" s="10"/>
    </row>
    <row r="39" spans="1:43" x14ac:dyDescent="0.2">
      <c r="A39" s="965">
        <v>2035</v>
      </c>
      <c r="B39" s="491">
        <v>20.923535999999999</v>
      </c>
      <c r="C39" s="491">
        <v>32.776066</v>
      </c>
      <c r="D39" s="491">
        <v>24.848427000000001</v>
      </c>
      <c r="E39" s="491">
        <v>18.138349999999999</v>
      </c>
      <c r="F39" s="491">
        <v>25.234774000000002</v>
      </c>
      <c r="G39" s="491">
        <v>12.392016999999999</v>
      </c>
      <c r="H39" s="491">
        <v>11.455206</v>
      </c>
      <c r="I39" s="491">
        <v>36.571807999999997</v>
      </c>
      <c r="J39" s="1313">
        <f t="shared" si="36"/>
        <v>38.387043113203283</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38"/>
        <v>10.145019539199998</v>
      </c>
      <c r="T39" s="552">
        <f t="shared" si="10"/>
        <v>5.324282879801296</v>
      </c>
      <c r="U39" s="1380">
        <f>'S-curves'!AN24</f>
        <v>2</v>
      </c>
      <c r="W39" s="965">
        <v>2035</v>
      </c>
      <c r="X39" s="491">
        <f t="shared" si="11"/>
        <v>16.387664559440562</v>
      </c>
      <c r="Y39" s="491">
        <f t="shared" si="12"/>
        <v>34.861815654545453</v>
      </c>
      <c r="Z39" s="491">
        <f t="shared" si="13"/>
        <v>23.70106076361327</v>
      </c>
      <c r="AA39" s="491">
        <f t="shared" si="32"/>
        <v>18.138349999999999</v>
      </c>
      <c r="AB39" s="491">
        <f t="shared" si="14"/>
        <v>24.092707255916647</v>
      </c>
      <c r="AC39" s="491">
        <f t="shared" si="33"/>
        <v>12.392016999999999</v>
      </c>
      <c r="AD39" s="491">
        <f t="shared" si="15"/>
        <v>9.914146896860986</v>
      </c>
      <c r="AE39" s="491">
        <f t="shared" si="34"/>
        <v>36.571807999999997</v>
      </c>
      <c r="AF39" s="652">
        <f t="shared" si="37"/>
        <v>38.387043113203283</v>
      </c>
      <c r="AG39" s="551">
        <v>2035</v>
      </c>
      <c r="AH39" s="545">
        <f t="shared" si="18"/>
        <v>2.272969074394406</v>
      </c>
      <c r="AI39" s="545">
        <f t="shared" si="19"/>
        <v>4.8353338312854541</v>
      </c>
      <c r="AJ39" s="545">
        <f t="shared" si="20"/>
        <v>3.2873371279131609</v>
      </c>
      <c r="AK39" s="545">
        <f t="shared" si="21"/>
        <v>2.5157891449999998</v>
      </c>
      <c r="AL39" s="545">
        <f t="shared" si="22"/>
        <v>3.3416584963956391</v>
      </c>
      <c r="AM39" s="545">
        <f t="shared" si="23"/>
        <v>1.7187727578999998</v>
      </c>
      <c r="AN39" s="545">
        <f t="shared" si="24"/>
        <v>1.3750921745946187</v>
      </c>
      <c r="AO39" s="545">
        <f t="shared" si="40"/>
        <v>10.145019539199998</v>
      </c>
      <c r="AP39" s="552">
        <f t="shared" si="26"/>
        <v>5.324282879801296</v>
      </c>
      <c r="AQ39" s="10"/>
    </row>
    <row r="40" spans="1:43" x14ac:dyDescent="0.2">
      <c r="A40" s="964">
        <v>2036</v>
      </c>
      <c r="B40" s="491">
        <v>21.173369999999998</v>
      </c>
      <c r="C40" s="491">
        <v>32.661560000000001</v>
      </c>
      <c r="D40" s="491">
        <v>25.145551999999999</v>
      </c>
      <c r="E40" s="491">
        <v>18.383088999999998</v>
      </c>
      <c r="F40" s="491">
        <v>25.49099</v>
      </c>
      <c r="G40" s="491">
        <v>12.827140999999999</v>
      </c>
      <c r="H40" s="491">
        <v>11.366446</v>
      </c>
      <c r="I40" s="491">
        <v>36.300902999999998</v>
      </c>
      <c r="J40" s="1313">
        <f t="shared" si="36"/>
        <v>37.235431819807175</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38"/>
        <v>10.069103147044721</v>
      </c>
      <c r="T40" s="550">
        <f t="shared" si="10"/>
        <v>5.1645543934072551</v>
      </c>
      <c r="U40" s="1380">
        <f>'S-curves'!AN25</f>
        <v>1.9998475958244206</v>
      </c>
      <c r="W40" s="964">
        <v>2036</v>
      </c>
      <c r="X40" s="491">
        <f t="shared" si="11"/>
        <v>16.583338741258743</v>
      </c>
      <c r="Y40" s="491">
        <f t="shared" si="12"/>
        <v>34.740022909090904</v>
      </c>
      <c r="Z40" s="491">
        <f t="shared" si="13"/>
        <v>23.984466134882386</v>
      </c>
      <c r="AA40" s="491">
        <f t="shared" si="32"/>
        <v>18.383088999999998</v>
      </c>
      <c r="AB40" s="491">
        <f t="shared" si="14"/>
        <v>24.337327520091865</v>
      </c>
      <c r="AC40" s="491">
        <f t="shared" si="33"/>
        <v>12.827140999999999</v>
      </c>
      <c r="AD40" s="491">
        <f t="shared" si="15"/>
        <v>9.8373277040358733</v>
      </c>
      <c r="AE40" s="491">
        <f t="shared" si="34"/>
        <v>36.300902999999998</v>
      </c>
      <c r="AF40" s="652">
        <f t="shared" si="37"/>
        <v>37.235431819807175</v>
      </c>
      <c r="AG40" s="549">
        <v>2036</v>
      </c>
      <c r="AH40" s="544">
        <f t="shared" si="18"/>
        <v>2.3001090834125875</v>
      </c>
      <c r="AI40" s="544">
        <f t="shared" si="19"/>
        <v>4.8184411774909091</v>
      </c>
      <c r="AJ40" s="544">
        <f t="shared" si="20"/>
        <v>3.3266454529081866</v>
      </c>
      <c r="AK40" s="544">
        <f t="shared" si="21"/>
        <v>2.5497344442999994</v>
      </c>
      <c r="AL40" s="544">
        <f t="shared" si="22"/>
        <v>3.3755873270367416</v>
      </c>
      <c r="AM40" s="544">
        <f t="shared" si="23"/>
        <v>1.7791244567</v>
      </c>
      <c r="AN40" s="544">
        <f t="shared" si="24"/>
        <v>1.3644373525497757</v>
      </c>
      <c r="AO40" s="544">
        <f t="shared" si="40"/>
        <v>10.069103147044721</v>
      </c>
      <c r="AP40" s="550">
        <f t="shared" si="26"/>
        <v>5.1645543934072551</v>
      </c>
      <c r="AQ40" s="10"/>
    </row>
    <row r="41" spans="1:43" x14ac:dyDescent="0.2">
      <c r="A41" s="964">
        <v>2037</v>
      </c>
      <c r="B41" s="491">
        <v>21.440998</v>
      </c>
      <c r="C41" s="491">
        <v>32.834831000000001</v>
      </c>
      <c r="D41" s="491">
        <v>25.222816000000002</v>
      </c>
      <c r="E41" s="491">
        <v>18.624289999999998</v>
      </c>
      <c r="F41" s="491">
        <v>25.664202</v>
      </c>
      <c r="G41" s="491">
        <v>12.921616999999999</v>
      </c>
      <c r="H41" s="491">
        <v>11.344866</v>
      </c>
      <c r="I41" s="491">
        <v>36.140179000000003</v>
      </c>
      <c r="J41" s="1313">
        <f t="shared" si="36"/>
        <v>36.314142785090304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38"/>
        <v>10.013076452965333</v>
      </c>
      <c r="T41" s="550">
        <f t="shared" si="10"/>
        <v>5.0367716042920252</v>
      </c>
      <c r="U41" s="1380">
        <f>'S-curves'!AN26</f>
        <v>1.997564318453297</v>
      </c>
      <c r="W41" s="964">
        <v>2037</v>
      </c>
      <c r="X41" s="491">
        <f t="shared" si="11"/>
        <v>16.792949482517486</v>
      </c>
      <c r="Y41" s="491">
        <f t="shared" si="12"/>
        <v>34.924320245454545</v>
      </c>
      <c r="Z41" s="491">
        <f t="shared" si="13"/>
        <v>24.058162500404432</v>
      </c>
      <c r="AA41" s="491">
        <f t="shared" si="32"/>
        <v>18.624289999999998</v>
      </c>
      <c r="AB41" s="491">
        <f t="shared" si="14"/>
        <v>24.502700350821865</v>
      </c>
      <c r="AC41" s="491">
        <f t="shared" si="33"/>
        <v>12.921616999999999</v>
      </c>
      <c r="AD41" s="491">
        <f t="shared" si="15"/>
        <v>9.8186508430493262</v>
      </c>
      <c r="AE41" s="491">
        <f t="shared" si="34"/>
        <v>36.140179000000003</v>
      </c>
      <c r="AF41" s="652">
        <f t="shared" si="37"/>
        <v>36.314142785090304</v>
      </c>
      <c r="AG41" s="549">
        <v>2037</v>
      </c>
      <c r="AH41" s="544">
        <f t="shared" si="18"/>
        <v>2.329182093225175</v>
      </c>
      <c r="AI41" s="544">
        <f t="shared" si="19"/>
        <v>4.8440032180445458</v>
      </c>
      <c r="AJ41" s="544">
        <f t="shared" si="20"/>
        <v>3.3368671388060949</v>
      </c>
      <c r="AK41" s="544">
        <f t="shared" si="21"/>
        <v>2.5831890229999996</v>
      </c>
      <c r="AL41" s="544">
        <f t="shared" si="22"/>
        <v>3.3985245386589931</v>
      </c>
      <c r="AM41" s="544">
        <f t="shared" si="23"/>
        <v>1.7922282778999998</v>
      </c>
      <c r="AN41" s="544">
        <f t="shared" si="24"/>
        <v>1.3618468719309416</v>
      </c>
      <c r="AO41" s="544">
        <f t="shared" si="40"/>
        <v>10.013076452965333</v>
      </c>
      <c r="AP41" s="550">
        <f t="shared" si="26"/>
        <v>5.0367716042920252</v>
      </c>
      <c r="AQ41" s="10"/>
    </row>
    <row r="42" spans="1:43" x14ac:dyDescent="0.2">
      <c r="A42" s="964">
        <v>2038</v>
      </c>
      <c r="B42" s="491">
        <v>21.689045</v>
      </c>
      <c r="C42" s="491">
        <v>33.766201000000002</v>
      </c>
      <c r="D42" s="491">
        <v>25.499110999999999</v>
      </c>
      <c r="E42" s="491">
        <v>18.83005</v>
      </c>
      <c r="F42" s="491">
        <v>25.881091999999999</v>
      </c>
      <c r="G42" s="491">
        <v>13.491559000000001</v>
      </c>
      <c r="H42" s="491">
        <v>11.310649</v>
      </c>
      <c r="I42" s="491">
        <v>36.026969999999999</v>
      </c>
      <c r="J42" s="1313">
        <f t="shared" si="36"/>
        <v>35.469627836599827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38"/>
        <v>9.932570095649</v>
      </c>
      <c r="T42" s="550">
        <f t="shared" si="10"/>
        <v>4.919637380936396</v>
      </c>
      <c r="U42" s="1380">
        <f>'S-curves'!AN27</f>
        <v>1.9877302162356105</v>
      </c>
      <c r="W42" s="964">
        <v>2038</v>
      </c>
      <c r="X42" s="491">
        <f t="shared" si="11"/>
        <v>16.987224055944058</v>
      </c>
      <c r="Y42" s="491">
        <f t="shared" si="12"/>
        <v>35.91495924545454</v>
      </c>
      <c r="Z42" s="491">
        <f t="shared" si="13"/>
        <v>24.321699688641036</v>
      </c>
      <c r="AA42" s="491">
        <f t="shared" si="32"/>
        <v>18.83005</v>
      </c>
      <c r="AB42" s="491">
        <f t="shared" si="14"/>
        <v>24.709774417613023</v>
      </c>
      <c r="AC42" s="491">
        <f t="shared" si="33"/>
        <v>13.491559000000001</v>
      </c>
      <c r="AD42" s="491">
        <f t="shared" si="15"/>
        <v>9.7890370269058291</v>
      </c>
      <c r="AE42" s="491">
        <f t="shared" si="34"/>
        <v>36.026969999999999</v>
      </c>
      <c r="AF42" s="652">
        <f t="shared" si="37"/>
        <v>35.469627836599827</v>
      </c>
      <c r="AG42" s="549">
        <v>2038</v>
      </c>
      <c r="AH42" s="544">
        <f t="shared" si="18"/>
        <v>2.3561279765594407</v>
      </c>
      <c r="AI42" s="544">
        <f t="shared" si="19"/>
        <v>4.9814048473445451</v>
      </c>
      <c r="AJ42" s="544">
        <f t="shared" si="20"/>
        <v>3.3734197468145117</v>
      </c>
      <c r="AK42" s="544">
        <f t="shared" si="21"/>
        <v>2.6117279350000002</v>
      </c>
      <c r="AL42" s="544">
        <f t="shared" si="22"/>
        <v>3.427245711722926</v>
      </c>
      <c r="AM42" s="544">
        <f t="shared" si="23"/>
        <v>1.8712792332999999</v>
      </c>
      <c r="AN42" s="544">
        <f t="shared" si="24"/>
        <v>1.3577394356318384</v>
      </c>
      <c r="AO42" s="544">
        <f t="shared" si="40"/>
        <v>9.932570095649</v>
      </c>
      <c r="AP42" s="550">
        <f t="shared" si="26"/>
        <v>4.919637380936396</v>
      </c>
      <c r="AQ42" s="10"/>
    </row>
    <row r="43" spans="1:43" x14ac:dyDescent="0.2">
      <c r="A43" s="964">
        <v>2039</v>
      </c>
      <c r="B43" s="491">
        <v>21.912479000000001</v>
      </c>
      <c r="C43" s="491">
        <v>34.771796999999999</v>
      </c>
      <c r="D43" s="491">
        <v>25.840990000000001</v>
      </c>
      <c r="E43" s="491">
        <v>19.106794000000001</v>
      </c>
      <c r="F43" s="491">
        <v>26.103442999999999</v>
      </c>
      <c r="G43" s="491">
        <v>13.652015</v>
      </c>
      <c r="H43" s="491">
        <v>11.269885</v>
      </c>
      <c r="I43" s="491">
        <v>35.831085000000002</v>
      </c>
      <c r="J43" s="1313">
        <f t="shared" si="36"/>
        <v>34.548338801882956</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38"/>
        <v>9.7493645962684727</v>
      </c>
      <c r="T43" s="550">
        <f t="shared" si="10"/>
        <v>4.7918545918211661</v>
      </c>
      <c r="U43" s="1380">
        <f>'S-curves'!AN28</f>
        <v>1.9617329724046002</v>
      </c>
      <c r="W43" s="964">
        <v>2039</v>
      </c>
      <c r="X43" s="491">
        <f t="shared" si="11"/>
        <v>17.162221314685318</v>
      </c>
      <c r="Y43" s="491">
        <f t="shared" si="12"/>
        <v>36.984547718181815</v>
      </c>
      <c r="Z43" s="491">
        <f t="shared" si="13"/>
        <v>24.647792561755434</v>
      </c>
      <c r="AA43" s="491">
        <f t="shared" si="32"/>
        <v>19.106794000000001</v>
      </c>
      <c r="AB43" s="491">
        <f t="shared" si="14"/>
        <v>24.922062332339753</v>
      </c>
      <c r="AC43" s="491">
        <f t="shared" si="33"/>
        <v>13.652015</v>
      </c>
      <c r="AD43" s="491">
        <f t="shared" si="15"/>
        <v>9.7537569730941698</v>
      </c>
      <c r="AE43" s="491">
        <f t="shared" si="34"/>
        <v>35.831085000000002</v>
      </c>
      <c r="AF43" s="652">
        <f t="shared" si="37"/>
        <v>34.548338801882956</v>
      </c>
      <c r="AG43" s="549">
        <v>2039</v>
      </c>
      <c r="AH43" s="544">
        <f t="shared" si="18"/>
        <v>2.3804000963468539</v>
      </c>
      <c r="AI43" s="544">
        <f t="shared" si="19"/>
        <v>5.1297567685118182</v>
      </c>
      <c r="AJ43" s="544">
        <f t="shared" si="20"/>
        <v>3.4186488283154786</v>
      </c>
      <c r="AK43" s="544">
        <f t="shared" si="21"/>
        <v>2.6501123278000001</v>
      </c>
      <c r="AL43" s="544">
        <f t="shared" si="22"/>
        <v>3.4566900454955234</v>
      </c>
      <c r="AM43" s="544">
        <f t="shared" si="23"/>
        <v>1.8935344805000001</v>
      </c>
      <c r="AN43" s="544">
        <f t="shared" si="24"/>
        <v>1.3528460921681613</v>
      </c>
      <c r="AO43" s="544">
        <f t="shared" si="40"/>
        <v>9.7493645962684727</v>
      </c>
      <c r="AP43" s="550">
        <f t="shared" si="26"/>
        <v>4.7918545918211661</v>
      </c>
      <c r="AQ43" s="10"/>
    </row>
    <row r="44" spans="1:43" x14ac:dyDescent="0.2">
      <c r="A44" s="965">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3">
        <f t="shared" si="36"/>
        <v>33.780597939618893</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38"/>
        <v>9.4302687920638633</v>
      </c>
      <c r="T44" s="552">
        <f t="shared" si="10"/>
        <v>4.6853689342251403</v>
      </c>
      <c r="U44" s="1380">
        <f>'S-curves'!AN29</f>
        <v>1.9091366474068348</v>
      </c>
      <c r="W44" s="965">
        <v>2040</v>
      </c>
      <c r="X44" s="491">
        <f t="shared" si="11"/>
        <v>17.310561006993012</v>
      </c>
      <c r="Y44" s="491">
        <f t="shared" si="12"/>
        <v>37.874732645454536</v>
      </c>
      <c r="Z44" s="491">
        <f t="shared" si="13"/>
        <v>24.735589328130555</v>
      </c>
      <c r="AA44" s="491">
        <f t="shared" si="32"/>
        <v>19.197942999999999</v>
      </c>
      <c r="AB44" s="491">
        <f t="shared" si="14"/>
        <v>24.923169833457731</v>
      </c>
      <c r="AC44" s="491">
        <f t="shared" si="33"/>
        <v>13.829222</v>
      </c>
      <c r="AD44" s="491">
        <f t="shared" si="15"/>
        <v>9.7124419910313904</v>
      </c>
      <c r="AE44" s="491">
        <f t="shared" si="34"/>
        <v>35.613166999999997</v>
      </c>
      <c r="AF44" s="652">
        <f t="shared" si="37"/>
        <v>33.780597939618893</v>
      </c>
      <c r="AG44" s="551">
        <v>2040</v>
      </c>
      <c r="AH44" s="545">
        <f t="shared" si="18"/>
        <v>2.400974811669931</v>
      </c>
      <c r="AI44" s="545">
        <f t="shared" si="19"/>
        <v>5.2532254179245434</v>
      </c>
      <c r="AJ44" s="545">
        <f t="shared" si="20"/>
        <v>3.4308262398117075</v>
      </c>
      <c r="AK44" s="545">
        <f t="shared" si="21"/>
        <v>2.6627546940999998</v>
      </c>
      <c r="AL44" s="545">
        <f t="shared" si="22"/>
        <v>3.4568436559005873</v>
      </c>
      <c r="AM44" s="545">
        <f t="shared" si="23"/>
        <v>1.9181130914</v>
      </c>
      <c r="AN44" s="545">
        <f t="shared" si="24"/>
        <v>1.347115704156054</v>
      </c>
      <c r="AO44" s="545">
        <f t="shared" si="40"/>
        <v>9.4302687920638633</v>
      </c>
      <c r="AP44" s="552">
        <f t="shared" si="26"/>
        <v>4.6853689342251403</v>
      </c>
      <c r="AQ44" s="10"/>
    </row>
    <row r="45" spans="1:43" x14ac:dyDescent="0.2">
      <c r="A45" s="964">
        <v>2041</v>
      </c>
      <c r="B45" s="491">
        <v>22.279131</v>
      </c>
      <c r="C45" s="491">
        <v>35.916091999999999</v>
      </c>
      <c r="D45" s="491">
        <v>26.118065000000001</v>
      </c>
      <c r="E45" s="491">
        <v>19.450199000000001</v>
      </c>
      <c r="F45" s="491">
        <v>26.271511</v>
      </c>
      <c r="G45" s="491">
        <v>13.942467000000001</v>
      </c>
      <c r="H45" s="491">
        <v>11.174136000000001</v>
      </c>
      <c r="I45" s="491">
        <v>35.422935000000003</v>
      </c>
      <c r="J45" s="1313">
        <f t="shared" si="36"/>
        <v>33.012857077354823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38"/>
        <v>8.9456616685473076</v>
      </c>
      <c r="T45" s="550">
        <f t="shared" si="10"/>
        <v>4.5788832766291137</v>
      </c>
      <c r="U45" s="1380">
        <f>'S-curves'!AN30</f>
        <v>1.8207548082982679</v>
      </c>
      <c r="W45" s="964">
        <v>2041</v>
      </c>
      <c r="X45" s="491">
        <f t="shared" si="11"/>
        <v>17.449389314685316</v>
      </c>
      <c r="Y45" s="491">
        <f t="shared" si="12"/>
        <v>38.201661490909082</v>
      </c>
      <c r="Z45" s="491">
        <f t="shared" si="13"/>
        <v>24.912073733802185</v>
      </c>
      <c r="AA45" s="491">
        <f t="shared" si="32"/>
        <v>19.450199000000001</v>
      </c>
      <c r="AB45" s="491">
        <f t="shared" si="14"/>
        <v>25.08252396845694</v>
      </c>
      <c r="AC45" s="491">
        <f t="shared" si="33"/>
        <v>13.942467000000001</v>
      </c>
      <c r="AD45" s="491">
        <f t="shared" si="15"/>
        <v>9.6708890044843052</v>
      </c>
      <c r="AE45" s="491">
        <f t="shared" si="34"/>
        <v>35.422935000000003</v>
      </c>
      <c r="AF45" s="652">
        <f t="shared" si="37"/>
        <v>33.012857077354823</v>
      </c>
      <c r="AG45" s="549">
        <v>2041</v>
      </c>
      <c r="AH45" s="544">
        <f t="shared" si="18"/>
        <v>2.4202302979468535</v>
      </c>
      <c r="AI45" s="544">
        <f t="shared" si="19"/>
        <v>5.2985704487890901</v>
      </c>
      <c r="AJ45" s="544">
        <f t="shared" si="20"/>
        <v>3.4553046268783629</v>
      </c>
      <c r="AK45" s="544">
        <f t="shared" si="21"/>
        <v>2.6977426013000003</v>
      </c>
      <c r="AL45" s="544">
        <f t="shared" si="22"/>
        <v>3.4789460744249774</v>
      </c>
      <c r="AM45" s="544">
        <f t="shared" si="23"/>
        <v>1.9338201729000002</v>
      </c>
      <c r="AN45" s="544">
        <f t="shared" si="24"/>
        <v>1.3413523049219731</v>
      </c>
      <c r="AO45" s="544">
        <f t="shared" si="40"/>
        <v>8.9456616685473076</v>
      </c>
      <c r="AP45" s="550">
        <f t="shared" si="26"/>
        <v>4.5788832766291137</v>
      </c>
      <c r="AQ45" s="10"/>
    </row>
    <row r="46" spans="1:43" x14ac:dyDescent="0.2">
      <c r="A46" s="964">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3">
        <f t="shared" si="36"/>
        <v>32.398664387543569</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38"/>
        <v>8.2809104833630194</v>
      </c>
      <c r="T46" s="550">
        <f t="shared" si="10"/>
        <v>4.4936947505522928</v>
      </c>
      <c r="U46" s="1380">
        <f>'S-curves'!AN31</f>
        <v>1.6935372605193146</v>
      </c>
      <c r="W46" s="964">
        <v>2042</v>
      </c>
      <c r="X46" s="491">
        <f t="shared" si="11"/>
        <v>17.679904895104897</v>
      </c>
      <c r="Y46" s="491">
        <f t="shared" si="12"/>
        <v>39.864867545454544</v>
      </c>
      <c r="Z46" s="491">
        <f t="shared" si="13"/>
        <v>25.296499706759093</v>
      </c>
      <c r="AA46" s="491">
        <f t="shared" si="32"/>
        <v>19.834574</v>
      </c>
      <c r="AB46" s="491">
        <f t="shared" si="14"/>
        <v>25.449459138431482</v>
      </c>
      <c r="AC46" s="491">
        <f t="shared" si="33"/>
        <v>13.968139000000001</v>
      </c>
      <c r="AD46" s="491">
        <f t="shared" si="15"/>
        <v>9.6588944439461883</v>
      </c>
      <c r="AE46" s="491">
        <f t="shared" si="34"/>
        <v>35.253875999999998</v>
      </c>
      <c r="AF46" s="652">
        <f t="shared" si="37"/>
        <v>32.398664387543569</v>
      </c>
      <c r="AG46" s="549">
        <v>2042</v>
      </c>
      <c r="AH46" s="544">
        <f t="shared" si="18"/>
        <v>2.452202808951049</v>
      </c>
      <c r="AI46" s="544">
        <f t="shared" si="19"/>
        <v>5.5292571285545451</v>
      </c>
      <c r="AJ46" s="544">
        <f t="shared" si="20"/>
        <v>3.5086245093274862</v>
      </c>
      <c r="AK46" s="544">
        <f t="shared" si="21"/>
        <v>2.7510554138000001</v>
      </c>
      <c r="AL46" s="544">
        <f t="shared" si="22"/>
        <v>3.5298399825004463</v>
      </c>
      <c r="AM46" s="544">
        <f t="shared" si="23"/>
        <v>1.9373808793000002</v>
      </c>
      <c r="AN46" s="544">
        <f t="shared" si="24"/>
        <v>1.3396886593753363</v>
      </c>
      <c r="AO46" s="544">
        <f t="shared" si="40"/>
        <v>8.2809104833630194</v>
      </c>
      <c r="AP46" s="550">
        <f t="shared" si="26"/>
        <v>4.4936947505522928</v>
      </c>
      <c r="AQ46" s="10"/>
    </row>
    <row r="47" spans="1:43" x14ac:dyDescent="0.2">
      <c r="A47" s="964">
        <v>2043</v>
      </c>
      <c r="B47" s="491">
        <v>22.785976000000002</v>
      </c>
      <c r="C47" s="491">
        <v>37.935295000000004</v>
      </c>
      <c r="D47" s="491">
        <v>26.736353000000001</v>
      </c>
      <c r="E47" s="491">
        <v>20.040814999999998</v>
      </c>
      <c r="F47" s="491">
        <v>26.817506999999999</v>
      </c>
      <c r="G47" s="491">
        <v>14.613647</v>
      </c>
      <c r="H47" s="491">
        <v>11.142837999999999</v>
      </c>
      <c r="I47" s="491">
        <v>34.979267</v>
      </c>
      <c r="J47" s="1313">
        <f t="shared" si="36"/>
        <v>31.861245783958722</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38"/>
        <v>7.4503429550494946</v>
      </c>
      <c r="T47" s="550">
        <f t="shared" si="10"/>
        <v>4.4191547902350754</v>
      </c>
      <c r="U47" s="1380">
        <f>'S-curves'!AN32</f>
        <v>1.5356388796484046</v>
      </c>
      <c r="W47" s="964">
        <v>2043</v>
      </c>
      <c r="X47" s="491">
        <f t="shared" si="11"/>
        <v>17.846358825174828</v>
      </c>
      <c r="Y47" s="491">
        <f t="shared" si="12"/>
        <v>40.349359227272728</v>
      </c>
      <c r="Z47" s="491">
        <f t="shared" si="13"/>
        <v>25.501812531248515</v>
      </c>
      <c r="AA47" s="491">
        <f t="shared" si="32"/>
        <v>20.040814999999998</v>
      </c>
      <c r="AB47" s="491">
        <f t="shared" si="14"/>
        <v>25.603809468810596</v>
      </c>
      <c r="AC47" s="491">
        <f t="shared" si="33"/>
        <v>14.613647</v>
      </c>
      <c r="AD47" s="491">
        <f t="shared" si="15"/>
        <v>9.6438014977578472</v>
      </c>
      <c r="AE47" s="491">
        <f t="shared" si="34"/>
        <v>34.979267</v>
      </c>
      <c r="AF47" s="652">
        <f t="shared" si="37"/>
        <v>31.861245783958722</v>
      </c>
      <c r="AG47" s="549">
        <v>2043</v>
      </c>
      <c r="AH47" s="544">
        <f t="shared" si="18"/>
        <v>2.4752899690517487</v>
      </c>
      <c r="AI47" s="544">
        <f t="shared" si="19"/>
        <v>5.5964561248227271</v>
      </c>
      <c r="AJ47" s="544">
        <f t="shared" si="20"/>
        <v>3.5371013980841686</v>
      </c>
      <c r="AK47" s="544">
        <f t="shared" si="21"/>
        <v>2.7796610404999997</v>
      </c>
      <c r="AL47" s="544">
        <f t="shared" si="22"/>
        <v>3.5512483733240297</v>
      </c>
      <c r="AM47" s="544">
        <f t="shared" si="23"/>
        <v>2.0269128389</v>
      </c>
      <c r="AN47" s="544">
        <f t="shared" si="24"/>
        <v>1.3375952677390133</v>
      </c>
      <c r="AO47" s="544">
        <f t="shared" si="40"/>
        <v>7.4503429550494946</v>
      </c>
      <c r="AP47" s="550">
        <f t="shared" si="26"/>
        <v>4.4191547902350754</v>
      </c>
      <c r="AQ47" s="10"/>
    </row>
    <row r="48" spans="1:43" x14ac:dyDescent="0.2">
      <c r="A48" s="964">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3">
        <f t="shared" si="36"/>
        <v>31.247053094147475</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38"/>
        <v>6.6041169790355356</v>
      </c>
      <c r="T48" s="550">
        <f t="shared" si="10"/>
        <v>4.3339662641582546</v>
      </c>
      <c r="U48" s="1380">
        <f>'S-curves'!AN33</f>
        <v>1.3678794411714423</v>
      </c>
      <c r="W48" s="964">
        <v>2044</v>
      </c>
      <c r="X48" s="491">
        <f t="shared" si="11"/>
        <v>18.011189146853148</v>
      </c>
      <c r="Y48" s="491">
        <f t="shared" si="12"/>
        <v>40.786452081818176</v>
      </c>
      <c r="Z48" s="491">
        <f t="shared" si="13"/>
        <v>25.701756272574713</v>
      </c>
      <c r="AA48" s="491">
        <f t="shared" si="32"/>
        <v>20.276285000000001</v>
      </c>
      <c r="AB48" s="491">
        <f t="shared" si="14"/>
        <v>25.804069539499174</v>
      </c>
      <c r="AC48" s="491">
        <f t="shared" si="33"/>
        <v>14.869235</v>
      </c>
      <c r="AD48" s="491">
        <f t="shared" si="15"/>
        <v>9.6362918071748886</v>
      </c>
      <c r="AE48" s="491">
        <f t="shared" si="34"/>
        <v>34.808914000000001</v>
      </c>
      <c r="AF48" s="652">
        <f t="shared" si="37"/>
        <v>31.247053094147475</v>
      </c>
      <c r="AG48" s="549">
        <v>2044</v>
      </c>
      <c r="AH48" s="544">
        <f t="shared" si="18"/>
        <v>2.4981519346685315</v>
      </c>
      <c r="AI48" s="544">
        <f t="shared" si="19"/>
        <v>5.6570809037481808</v>
      </c>
      <c r="AJ48" s="544">
        <f t="shared" si="20"/>
        <v>3.5648335950061125</v>
      </c>
      <c r="AK48" s="544">
        <f t="shared" si="21"/>
        <v>2.8123207295000006</v>
      </c>
      <c r="AL48" s="544">
        <f t="shared" si="22"/>
        <v>3.5790244451285353</v>
      </c>
      <c r="AM48" s="544">
        <f t="shared" si="23"/>
        <v>2.0623628945000001</v>
      </c>
      <c r="AN48" s="544">
        <f t="shared" si="24"/>
        <v>1.3365536736551569</v>
      </c>
      <c r="AO48" s="544">
        <f t="shared" si="40"/>
        <v>6.6041169790355356</v>
      </c>
      <c r="AP48" s="550">
        <f t="shared" si="26"/>
        <v>4.3339662641582546</v>
      </c>
      <c r="AQ48" s="10"/>
    </row>
    <row r="49" spans="1:43" x14ac:dyDescent="0.2">
      <c r="A49" s="965">
        <v>2045</v>
      </c>
      <c r="B49" s="491">
        <v>23.208030999999998</v>
      </c>
      <c r="C49" s="491">
        <v>38.771312999999999</v>
      </c>
      <c r="D49" s="491">
        <v>27.292883</v>
      </c>
      <c r="E49" s="491">
        <v>20.70055</v>
      </c>
      <c r="F49" s="491">
        <v>27.398430000000001</v>
      </c>
      <c r="G49" s="491">
        <v>14.895740999999999</v>
      </c>
      <c r="H49" s="491">
        <v>11.127587</v>
      </c>
      <c r="I49" s="491">
        <v>34.676597999999998</v>
      </c>
      <c r="J49" s="1313">
        <f t="shared" si="36"/>
        <v>30.709634490562621</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38"/>
        <v>5.8572057614843391</v>
      </c>
      <c r="T49" s="552">
        <f t="shared" si="10"/>
        <v>4.2594263038410354</v>
      </c>
      <c r="U49" s="1380">
        <f>'S-curves'!AN34</f>
        <v>1.2178043921390924</v>
      </c>
      <c r="W49" s="965">
        <v>2045</v>
      </c>
      <c r="X49" s="491">
        <f t="shared" si="11"/>
        <v>18.176919384615385</v>
      </c>
      <c r="Y49" s="491">
        <f t="shared" si="12"/>
        <v>41.238578372727268</v>
      </c>
      <c r="Z49" s="491">
        <f t="shared" si="13"/>
        <v>26.032644979788362</v>
      </c>
      <c r="AA49" s="491">
        <f t="shared" si="32"/>
        <v>20.70055</v>
      </c>
      <c r="AB49" s="491">
        <f t="shared" si="14"/>
        <v>26.158441254981096</v>
      </c>
      <c r="AC49" s="491">
        <f t="shared" si="33"/>
        <v>14.895740999999999</v>
      </c>
      <c r="AD49" s="491">
        <f t="shared" si="15"/>
        <v>9.630602201793721</v>
      </c>
      <c r="AE49" s="491">
        <f t="shared" si="34"/>
        <v>34.676597999999998</v>
      </c>
      <c r="AF49" s="652">
        <f t="shared" si="37"/>
        <v>30.709634490562621</v>
      </c>
      <c r="AG49" s="551">
        <v>2045</v>
      </c>
      <c r="AH49" s="545">
        <f t="shared" si="18"/>
        <v>2.5211387186461538</v>
      </c>
      <c r="AI49" s="545">
        <f t="shared" si="19"/>
        <v>5.7197908202972716</v>
      </c>
      <c r="AJ49" s="545">
        <f t="shared" si="20"/>
        <v>3.6107278586966456</v>
      </c>
      <c r="AK49" s="545">
        <f t="shared" si="21"/>
        <v>2.8711662850000002</v>
      </c>
      <c r="AL49" s="545">
        <f t="shared" si="22"/>
        <v>3.6281758020658783</v>
      </c>
      <c r="AM49" s="545">
        <f t="shared" si="23"/>
        <v>2.0660392766999998</v>
      </c>
      <c r="AN49" s="545">
        <f t="shared" si="24"/>
        <v>1.3357645253887891</v>
      </c>
      <c r="AO49" s="545">
        <f t="shared" si="40"/>
        <v>5.8572057614843391</v>
      </c>
      <c r="AP49" s="552">
        <f t="shared" si="26"/>
        <v>4.2594263038410354</v>
      </c>
      <c r="AQ49" s="10"/>
    </row>
    <row r="50" spans="1:43" x14ac:dyDescent="0.2">
      <c r="A50" s="964">
        <v>2046</v>
      </c>
      <c r="B50" s="491">
        <v>23.411003000000001</v>
      </c>
      <c r="C50" s="491">
        <v>39.264046</v>
      </c>
      <c r="D50" s="491">
        <v>27.377738999999998</v>
      </c>
      <c r="E50" s="491">
        <v>20.752966000000001</v>
      </c>
      <c r="F50" s="491">
        <v>27.414787</v>
      </c>
      <c r="G50" s="491">
        <v>15.526524999999999</v>
      </c>
      <c r="H50" s="491">
        <v>11.152502999999999</v>
      </c>
      <c r="I50" s="491">
        <v>34.547210999999997</v>
      </c>
      <c r="J50" s="1313">
        <f t="shared" si="36"/>
        <v>30.709634490562621</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38"/>
        <v>5.3061595847833702</v>
      </c>
      <c r="T50" s="550">
        <f t="shared" si="10"/>
        <v>4.2594263038410354</v>
      </c>
      <c r="U50" s="1380">
        <f>'S-curves'!AN35</f>
        <v>1.1073651555863839</v>
      </c>
      <c r="W50" s="964">
        <v>2046</v>
      </c>
      <c r="X50" s="491">
        <f t="shared" si="11"/>
        <v>18.335890461538465</v>
      </c>
      <c r="Y50" s="491">
        <f t="shared" si="12"/>
        <v>41.762667109090906</v>
      </c>
      <c r="Z50" s="491">
        <f t="shared" si="13"/>
        <v>26.113582787729168</v>
      </c>
      <c r="AA50" s="491">
        <f t="shared" si="32"/>
        <v>20.752966000000001</v>
      </c>
      <c r="AB50" s="491">
        <f t="shared" si="14"/>
        <v>26.174057975486896</v>
      </c>
      <c r="AC50" s="491">
        <f t="shared" si="33"/>
        <v>15.526524999999999</v>
      </c>
      <c r="AD50" s="491">
        <f t="shared" si="15"/>
        <v>9.6521662735425995</v>
      </c>
      <c r="AE50" s="491">
        <f t="shared" si="34"/>
        <v>34.547210999999997</v>
      </c>
      <c r="AF50" s="652">
        <f t="shared" si="37"/>
        <v>30.709634490562621</v>
      </c>
      <c r="AG50" s="549">
        <v>2046</v>
      </c>
      <c r="AH50" s="544">
        <f t="shared" si="18"/>
        <v>2.5431880070153854</v>
      </c>
      <c r="AI50" s="544">
        <f t="shared" si="19"/>
        <v>5.7924819280309094</v>
      </c>
      <c r="AJ50" s="544">
        <f t="shared" si="20"/>
        <v>3.6219539326580357</v>
      </c>
      <c r="AK50" s="544">
        <f t="shared" si="21"/>
        <v>2.8784363842</v>
      </c>
      <c r="AL50" s="544">
        <f t="shared" si="22"/>
        <v>3.6303418412000323</v>
      </c>
      <c r="AM50" s="544">
        <f t="shared" si="23"/>
        <v>2.1535290174999999</v>
      </c>
      <c r="AN50" s="544">
        <f t="shared" si="24"/>
        <v>1.3387554621403586</v>
      </c>
      <c r="AO50" s="544">
        <f t="shared" si="40"/>
        <v>5.3061595847833702</v>
      </c>
      <c r="AP50" s="550">
        <f t="shared" si="26"/>
        <v>4.2594263038410354</v>
      </c>
      <c r="AQ50" s="10"/>
    </row>
    <row r="51" spans="1:43" x14ac:dyDescent="0.2">
      <c r="A51" s="964">
        <v>2047</v>
      </c>
      <c r="B51" s="491">
        <v>23.683239</v>
      </c>
      <c r="C51" s="491">
        <v>42.460051999999997</v>
      </c>
      <c r="D51" s="491">
        <v>27.854393000000002</v>
      </c>
      <c r="E51" s="491">
        <v>21.175343999999999</v>
      </c>
      <c r="F51" s="491">
        <v>27.670738</v>
      </c>
      <c r="G51" s="491">
        <v>15.824721</v>
      </c>
      <c r="H51" s="491">
        <v>11.190495</v>
      </c>
      <c r="I51" s="491">
        <v>34.415016000000001</v>
      </c>
      <c r="J51" s="1313">
        <f t="shared" si="36"/>
        <v>30.709634490562621</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38"/>
        <v>4.9757761880547049</v>
      </c>
      <c r="T51" s="550">
        <f t="shared" si="10"/>
        <v>4.2594263038410354</v>
      </c>
      <c r="U51" s="1380">
        <f>'S-curves'!AN36</f>
        <v>1.0424047952694926</v>
      </c>
      <c r="W51" s="964">
        <v>2047</v>
      </c>
      <c r="X51" s="491">
        <f t="shared" si="11"/>
        <v>18.549110265734267</v>
      </c>
      <c r="Y51" s="491">
        <f t="shared" si="12"/>
        <v>45.162055309090903</v>
      </c>
      <c r="Z51" s="491">
        <f t="shared" si="13"/>
        <v>26.568227478808382</v>
      </c>
      <c r="AA51" s="491">
        <f t="shared" si="32"/>
        <v>21.175343999999999</v>
      </c>
      <c r="AB51" s="491">
        <f t="shared" si="14"/>
        <v>26.418425232941196</v>
      </c>
      <c r="AC51" s="491">
        <f t="shared" si="33"/>
        <v>15.824721</v>
      </c>
      <c r="AD51" s="491">
        <f t="shared" si="15"/>
        <v>9.685047242152466</v>
      </c>
      <c r="AE51" s="491">
        <f t="shared" si="34"/>
        <v>34.415016000000001</v>
      </c>
      <c r="AF51" s="652">
        <f t="shared" si="37"/>
        <v>30.709634490562621</v>
      </c>
      <c r="AG51" s="549">
        <v>2047</v>
      </c>
      <c r="AH51" s="544">
        <f t="shared" si="18"/>
        <v>2.5727615938573427</v>
      </c>
      <c r="AI51" s="544">
        <f t="shared" si="19"/>
        <v>6.263977071370908</v>
      </c>
      <c r="AJ51" s="544">
        <f t="shared" si="20"/>
        <v>3.6850131513107223</v>
      </c>
      <c r="AK51" s="544">
        <f t="shared" si="21"/>
        <v>2.9370202127999998</v>
      </c>
      <c r="AL51" s="544">
        <f t="shared" si="22"/>
        <v>3.6642355798089441</v>
      </c>
      <c r="AM51" s="544">
        <f t="shared" si="23"/>
        <v>2.1948888027</v>
      </c>
      <c r="AN51" s="544">
        <f t="shared" si="24"/>
        <v>1.3433160524865471</v>
      </c>
      <c r="AO51" s="544">
        <f t="shared" si="40"/>
        <v>4.9757761880547049</v>
      </c>
      <c r="AP51" s="550">
        <f t="shared" si="26"/>
        <v>4.2594263038410354</v>
      </c>
      <c r="AQ51" s="10"/>
    </row>
    <row r="52" spans="1:43" x14ac:dyDescent="0.2">
      <c r="A52" s="964">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3">
        <f t="shared" si="36"/>
        <v>30.709634490562621</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38"/>
        <v>4.8126445337971857</v>
      </c>
      <c r="T52" s="550">
        <f t="shared" si="10"/>
        <v>4.2594263038410354</v>
      </c>
      <c r="U52" s="1380">
        <f>'S-curves'!AN37</f>
        <v>1.0128662537190456</v>
      </c>
      <c r="W52" s="964">
        <v>2048</v>
      </c>
      <c r="X52" s="491">
        <f t="shared" si="11"/>
        <v>18.766499132867136</v>
      </c>
      <c r="Y52" s="491">
        <f t="shared" si="12"/>
        <v>46.315446627272721</v>
      </c>
      <c r="Z52" s="491">
        <f t="shared" si="13"/>
        <v>26.875046402112986</v>
      </c>
      <c r="AA52" s="491">
        <f t="shared" si="32"/>
        <v>21.518598999999998</v>
      </c>
      <c r="AB52" s="491">
        <f t="shared" si="14"/>
        <v>26.642640743760058</v>
      </c>
      <c r="AC52" s="491">
        <f t="shared" si="33"/>
        <v>16.030633999999999</v>
      </c>
      <c r="AD52" s="491">
        <f t="shared" si="15"/>
        <v>9.7018114125560544</v>
      </c>
      <c r="AE52" s="491">
        <f t="shared" si="34"/>
        <v>34.257465000000003</v>
      </c>
      <c r="AF52" s="652">
        <f t="shared" si="37"/>
        <v>30.709634490562621</v>
      </c>
      <c r="AG52" s="549">
        <v>2048</v>
      </c>
      <c r="AH52" s="544">
        <f t="shared" si="18"/>
        <v>2.6029134297286718</v>
      </c>
      <c r="AI52" s="544">
        <f t="shared" si="19"/>
        <v>6.4239524472027263</v>
      </c>
      <c r="AJ52" s="544">
        <f t="shared" si="20"/>
        <v>3.7275689359730708</v>
      </c>
      <c r="AK52" s="544">
        <f t="shared" si="21"/>
        <v>2.9846296812999999</v>
      </c>
      <c r="AL52" s="544">
        <f t="shared" si="22"/>
        <v>3.6953342711595201</v>
      </c>
      <c r="AM52" s="544">
        <f t="shared" si="23"/>
        <v>2.2234489358</v>
      </c>
      <c r="AN52" s="544">
        <f t="shared" si="24"/>
        <v>1.3456412429215248</v>
      </c>
      <c r="AO52" s="544">
        <f t="shared" si="40"/>
        <v>4.8126445337971857</v>
      </c>
      <c r="AP52" s="550">
        <f t="shared" si="26"/>
        <v>4.2594263038410354</v>
      </c>
      <c r="AQ52" s="10"/>
    </row>
    <row r="53" spans="1:43" x14ac:dyDescent="0.2">
      <c r="A53" s="964">
        <v>2049</v>
      </c>
      <c r="B53" s="491">
        <v>24.167490000000001</v>
      </c>
      <c r="C53" s="491">
        <v>43.591911000000003</v>
      </c>
      <c r="D53" s="491">
        <v>28.421361999999998</v>
      </c>
      <c r="E53" s="491">
        <v>21.766680000000001</v>
      </c>
      <c r="F53" s="491">
        <v>28.076466</v>
      </c>
      <c r="G53" s="491">
        <v>16.223696</v>
      </c>
      <c r="H53" s="491">
        <v>11.231529999999999</v>
      </c>
      <c r="I53" s="491">
        <v>34.011459000000002</v>
      </c>
      <c r="J53" s="1313">
        <f t="shared" si="36"/>
        <v>30.709634490562621</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38"/>
        <v>4.7309044396005095</v>
      </c>
      <c r="T53" s="550">
        <f t="shared" si="10"/>
        <v>4.2594263038410354</v>
      </c>
      <c r="U53" s="1380">
        <f>'S-curves'!AN38</f>
        <v>1.0028649482287073</v>
      </c>
      <c r="W53" s="964">
        <v>2049</v>
      </c>
      <c r="X53" s="491">
        <f t="shared" si="11"/>
        <v>18.928383776223779</v>
      </c>
      <c r="Y53" s="491">
        <f t="shared" si="12"/>
        <v>46.3659417</v>
      </c>
      <c r="Z53" s="491">
        <f t="shared" si="13"/>
        <v>27.109016910674029</v>
      </c>
      <c r="AA53" s="491">
        <f t="shared" si="32"/>
        <v>21.766680000000001</v>
      </c>
      <c r="AB53" s="491">
        <f t="shared" si="14"/>
        <v>26.805790934315361</v>
      </c>
      <c r="AC53" s="491">
        <f t="shared" si="33"/>
        <v>16.223696</v>
      </c>
      <c r="AD53" s="491">
        <f t="shared" si="15"/>
        <v>9.7205618385650219</v>
      </c>
      <c r="AE53" s="491">
        <f t="shared" si="34"/>
        <v>34.011459000000002</v>
      </c>
      <c r="AF53" s="652">
        <f t="shared" si="37"/>
        <v>30.709634490562621</v>
      </c>
      <c r="AG53" s="549">
        <v>2049</v>
      </c>
      <c r="AH53" s="544">
        <f t="shared" si="18"/>
        <v>2.6253668297622381</v>
      </c>
      <c r="AI53" s="544">
        <f t="shared" si="19"/>
        <v>6.4309561137899998</v>
      </c>
      <c r="AJ53" s="544">
        <f t="shared" si="20"/>
        <v>3.7600206455104876</v>
      </c>
      <c r="AK53" s="544">
        <f t="shared" si="21"/>
        <v>3.0190385160000002</v>
      </c>
      <c r="AL53" s="544">
        <f t="shared" si="22"/>
        <v>3.7179632025895408</v>
      </c>
      <c r="AM53" s="544">
        <f t="shared" si="23"/>
        <v>2.2502266351999998</v>
      </c>
      <c r="AN53" s="544">
        <f t="shared" si="24"/>
        <v>1.3482419270089685</v>
      </c>
      <c r="AO53" s="544">
        <f t="shared" si="40"/>
        <v>4.7309044396005095</v>
      </c>
      <c r="AP53" s="550">
        <f t="shared" si="26"/>
        <v>4.2594263038410354</v>
      </c>
      <c r="AQ53" s="10"/>
    </row>
    <row r="54" spans="1:43" ht="13.5" thickBot="1" x14ac:dyDescent="0.25">
      <c r="A54" s="966">
        <v>2050</v>
      </c>
      <c r="B54" s="564">
        <v>24.36318</v>
      </c>
      <c r="C54" s="564">
        <v>43.892014000000003</v>
      </c>
      <c r="D54" s="564">
        <v>28.630436</v>
      </c>
      <c r="E54" s="564">
        <v>21.858753</v>
      </c>
      <c r="F54" s="564">
        <v>28.233941999999999</v>
      </c>
      <c r="G54" s="564">
        <v>15.660544</v>
      </c>
      <c r="H54" s="564">
        <v>11.277456000000001</v>
      </c>
      <c r="I54" s="564">
        <v>33.779319999999998</v>
      </c>
      <c r="J54" s="1314">
        <f t="shared" si="36"/>
        <v>30.709634490562621</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38"/>
        <v>4.6872794878531119</v>
      </c>
      <c r="T54" s="555">
        <f t="shared" si="10"/>
        <v>4.2594263038410354</v>
      </c>
      <c r="U54" s="1380">
        <f>'S-curves'!AN39</f>
        <v>1.000445617595592</v>
      </c>
      <c r="W54" s="966">
        <v>2050</v>
      </c>
      <c r="X54" s="564">
        <f t="shared" si="11"/>
        <v>19.081651468531472</v>
      </c>
      <c r="Y54" s="564">
        <f t="shared" si="12"/>
        <v>46.685142163636364</v>
      </c>
      <c r="Z54" s="564">
        <f t="shared" si="13"/>
        <v>27.30843700185693</v>
      </c>
      <c r="AA54" s="564">
        <f t="shared" si="32"/>
        <v>21.858753</v>
      </c>
      <c r="AB54" s="564">
        <f t="shared" si="14"/>
        <v>26.956139939534616</v>
      </c>
      <c r="AC54" s="564">
        <f t="shared" si="33"/>
        <v>15.660544</v>
      </c>
      <c r="AD54" s="564">
        <f t="shared" si="15"/>
        <v>9.7603094529147985</v>
      </c>
      <c r="AE54" s="564">
        <f t="shared" si="34"/>
        <v>33.779319999999998</v>
      </c>
      <c r="AF54" s="653">
        <f t="shared" si="37"/>
        <v>30.709634490562621</v>
      </c>
      <c r="AG54" s="553">
        <v>2050</v>
      </c>
      <c r="AH54" s="554">
        <f t="shared" si="18"/>
        <v>2.6466250586853155</v>
      </c>
      <c r="AI54" s="554">
        <f t="shared" si="19"/>
        <v>6.4752292180963638</v>
      </c>
      <c r="AJ54" s="554">
        <f t="shared" si="20"/>
        <v>3.7876802121575563</v>
      </c>
      <c r="AK54" s="554">
        <f t="shared" si="21"/>
        <v>3.0318090410999998</v>
      </c>
      <c r="AL54" s="554">
        <f t="shared" si="22"/>
        <v>3.7388166096134512</v>
      </c>
      <c r="AM54" s="554">
        <f t="shared" si="23"/>
        <v>2.1721174528000002</v>
      </c>
      <c r="AN54" s="554">
        <f t="shared" si="24"/>
        <v>1.3537549211192825</v>
      </c>
      <c r="AO54" s="554">
        <f t="shared" si="40"/>
        <v>4.6872794878531119</v>
      </c>
      <c r="AP54" s="555">
        <f t="shared" si="26"/>
        <v>4.2594263038410354</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41">+B55/8</f>
        <v>#REF!</v>
      </c>
      <c r="M55" s="66" t="e">
        <f t="shared" ref="M55:M58" si="42">+C55/8</f>
        <v>#REF!</v>
      </c>
      <c r="N55" s="57" t="e">
        <f t="shared" ref="N55:N58" si="43">+D55/8</f>
        <v>#REF!</v>
      </c>
      <c r="O55" s="57" t="e">
        <f t="shared" ref="O55:O58" si="44">+E55/8</f>
        <v>#REF!</v>
      </c>
      <c r="P55" s="57" t="e">
        <f t="shared" ref="P55:P58" si="45">+F55/8</f>
        <v>#REF!</v>
      </c>
      <c r="Q55" s="57"/>
      <c r="R55" s="57"/>
      <c r="S55" s="57" t="e">
        <f>+G55/8</f>
        <v>#REF!</v>
      </c>
      <c r="T55" s="57"/>
      <c r="W55" s="3">
        <v>2051</v>
      </c>
      <c r="X55" s="62" t="e">
        <f t="shared" si="11"/>
        <v>#REF!</v>
      </c>
      <c r="Y55" s="63" t="e">
        <f t="shared" si="12"/>
        <v>#REF!</v>
      </c>
      <c r="Z55" s="64" t="e">
        <f t="shared" si="13"/>
        <v>#REF!</v>
      </c>
      <c r="AA55" s="64" t="e">
        <f>+(#REF!/#REF!)^0.2*#REF!</f>
        <v>#REF!</v>
      </c>
      <c r="AB55" s="64" t="e">
        <f t="shared" si="14"/>
        <v>#REF!</v>
      </c>
      <c r="AC55" s="64" t="e">
        <f>+(#REF!/#REF!)^0.2*#REF!</f>
        <v>#REF!</v>
      </c>
      <c r="AD55" s="64"/>
      <c r="AE55" s="64"/>
      <c r="AF55" s="64"/>
      <c r="AG55" s="63"/>
      <c r="AH55" s="65" t="e">
        <f t="shared" ref="AH55:AL58" si="46">+X55/8</f>
        <v>#REF!</v>
      </c>
      <c r="AI55" s="66" t="e">
        <f t="shared" si="46"/>
        <v>#REF!</v>
      </c>
      <c r="AJ55" s="57" t="e">
        <f t="shared" si="46"/>
        <v>#REF!</v>
      </c>
      <c r="AK55" s="57" t="e">
        <f t="shared" si="46"/>
        <v>#REF!</v>
      </c>
      <c r="AL55" s="57" t="e">
        <f t="shared" si="46"/>
        <v>#REF!</v>
      </c>
      <c r="AM55" s="57"/>
      <c r="AN55" s="57"/>
      <c r="AO55" s="57">
        <f t="shared" si="40"/>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41"/>
        <v>#REF!</v>
      </c>
      <c r="M56" s="60" t="e">
        <f t="shared" si="42"/>
        <v>#REF!</v>
      </c>
      <c r="N56" s="57" t="e">
        <f t="shared" si="43"/>
        <v>#REF!</v>
      </c>
      <c r="O56" s="57" t="e">
        <f t="shared" si="44"/>
        <v>#REF!</v>
      </c>
      <c r="P56" s="57" t="e">
        <f t="shared" si="45"/>
        <v>#REF!</v>
      </c>
      <c r="Q56" s="57"/>
      <c r="R56" s="57"/>
      <c r="S56" s="57" t="e">
        <f>+G56/8</f>
        <v>#REF!</v>
      </c>
      <c r="T56" s="57"/>
      <c r="W56" s="67">
        <v>2052</v>
      </c>
      <c r="X56" s="61" t="e">
        <f t="shared" si="11"/>
        <v>#REF!</v>
      </c>
      <c r="Y56" s="63" t="e">
        <f t="shared" si="12"/>
        <v>#REF!</v>
      </c>
      <c r="Z56" s="64" t="e">
        <f t="shared" si="13"/>
        <v>#REF!</v>
      </c>
      <c r="AA56" s="64" t="e">
        <f>+(#REF!/#REF!)^0.2*AA55</f>
        <v>#REF!</v>
      </c>
      <c r="AB56" s="64" t="e">
        <f t="shared" si="14"/>
        <v>#REF!</v>
      </c>
      <c r="AC56" s="64" t="e">
        <f>+(#REF!/#REF!)^0.2*AC55</f>
        <v>#REF!</v>
      </c>
      <c r="AD56" s="64"/>
      <c r="AE56" s="64"/>
      <c r="AF56" s="64"/>
      <c r="AG56" s="63"/>
      <c r="AH56" s="65" t="e">
        <f t="shared" si="46"/>
        <v>#REF!</v>
      </c>
      <c r="AI56" s="60" t="e">
        <f t="shared" si="46"/>
        <v>#REF!</v>
      </c>
      <c r="AJ56" s="57" t="e">
        <f t="shared" si="46"/>
        <v>#REF!</v>
      </c>
      <c r="AK56" s="57" t="e">
        <f t="shared" si="46"/>
        <v>#REF!</v>
      </c>
      <c r="AL56" s="57" t="e">
        <f t="shared" si="46"/>
        <v>#REF!</v>
      </c>
      <c r="AM56" s="57"/>
      <c r="AN56" s="57"/>
      <c r="AO56" s="57">
        <f t="shared" si="40"/>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41"/>
        <v>#REF!</v>
      </c>
      <c r="M57" s="60" t="e">
        <f t="shared" si="42"/>
        <v>#REF!</v>
      </c>
      <c r="N57" s="57" t="e">
        <f t="shared" si="43"/>
        <v>#REF!</v>
      </c>
      <c r="O57" s="57" t="e">
        <f t="shared" si="44"/>
        <v>#REF!</v>
      </c>
      <c r="P57" s="57" t="e">
        <f t="shared" si="45"/>
        <v>#REF!</v>
      </c>
      <c r="Q57" s="57"/>
      <c r="R57" s="57"/>
      <c r="S57" s="57" t="e">
        <f>+G57/8</f>
        <v>#REF!</v>
      </c>
      <c r="T57" s="57"/>
      <c r="W57" s="3">
        <v>2053</v>
      </c>
      <c r="X57" s="61" t="e">
        <f t="shared" si="11"/>
        <v>#REF!</v>
      </c>
      <c r="Y57" s="63" t="e">
        <f t="shared" si="12"/>
        <v>#REF!</v>
      </c>
      <c r="Z57" s="64" t="e">
        <f t="shared" si="13"/>
        <v>#REF!</v>
      </c>
      <c r="AA57" s="64" t="e">
        <f>+(#REF!/#REF!)^0.2*AA56</f>
        <v>#REF!</v>
      </c>
      <c r="AB57" s="64" t="e">
        <f t="shared" si="14"/>
        <v>#REF!</v>
      </c>
      <c r="AC57" s="64" t="e">
        <f>+(#REF!/#REF!)^0.2*AC56</f>
        <v>#REF!</v>
      </c>
      <c r="AD57" s="64"/>
      <c r="AE57" s="64"/>
      <c r="AF57" s="64"/>
      <c r="AG57" s="63"/>
      <c r="AH57" s="65" t="e">
        <f t="shared" si="46"/>
        <v>#REF!</v>
      </c>
      <c r="AI57" s="60" t="e">
        <f t="shared" si="46"/>
        <v>#REF!</v>
      </c>
      <c r="AJ57" s="57" t="e">
        <f t="shared" si="46"/>
        <v>#REF!</v>
      </c>
      <c r="AK57" s="57" t="e">
        <f t="shared" si="46"/>
        <v>#REF!</v>
      </c>
      <c r="AL57" s="57" t="e">
        <f t="shared" si="46"/>
        <v>#REF!</v>
      </c>
      <c r="AM57" s="57"/>
      <c r="AN57" s="57"/>
      <c r="AO57" s="57">
        <f t="shared" si="40"/>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41"/>
        <v>#REF!</v>
      </c>
      <c r="M58" s="60" t="e">
        <f t="shared" si="42"/>
        <v>#REF!</v>
      </c>
      <c r="N58" s="57" t="e">
        <f t="shared" si="43"/>
        <v>#REF!</v>
      </c>
      <c r="O58" s="57" t="e">
        <f t="shared" si="44"/>
        <v>#REF!</v>
      </c>
      <c r="P58" s="57" t="e">
        <f t="shared" si="45"/>
        <v>#REF!</v>
      </c>
      <c r="Q58" s="57"/>
      <c r="R58" s="57"/>
      <c r="S58" s="57" t="e">
        <f>+G58/8</f>
        <v>#REF!</v>
      </c>
      <c r="T58" s="57"/>
      <c r="W58" s="67">
        <v>2054</v>
      </c>
      <c r="X58" s="61" t="e">
        <f t="shared" si="11"/>
        <v>#REF!</v>
      </c>
      <c r="Y58" s="63" t="e">
        <f t="shared" si="12"/>
        <v>#REF!</v>
      </c>
      <c r="Z58" s="64" t="e">
        <f t="shared" si="13"/>
        <v>#REF!</v>
      </c>
      <c r="AA58" s="64" t="e">
        <f>+(#REF!/#REF!)^0.2*AA57</f>
        <v>#REF!</v>
      </c>
      <c r="AB58" s="64" t="e">
        <f t="shared" si="14"/>
        <v>#REF!</v>
      </c>
      <c r="AC58" s="64" t="e">
        <f>+(#REF!/#REF!)^0.2*AC57</f>
        <v>#REF!</v>
      </c>
      <c r="AD58" s="64"/>
      <c r="AE58" s="64"/>
      <c r="AF58" s="64"/>
      <c r="AG58" s="63"/>
      <c r="AH58" s="65" t="e">
        <f t="shared" si="46"/>
        <v>#REF!</v>
      </c>
      <c r="AI58" s="60" t="e">
        <f t="shared" si="46"/>
        <v>#REF!</v>
      </c>
      <c r="AJ58" s="57" t="e">
        <f t="shared" si="46"/>
        <v>#REF!</v>
      </c>
      <c r="AK58" s="57" t="e">
        <f t="shared" si="46"/>
        <v>#REF!</v>
      </c>
      <c r="AL58" s="57" t="e">
        <f t="shared" si="46"/>
        <v>#REF!</v>
      </c>
      <c r="AM58" s="57"/>
      <c r="AN58" s="57"/>
      <c r="AO58" s="57">
        <f t="shared" si="40"/>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438</v>
      </c>
      <c r="F60" s="64"/>
      <c r="J60" s="56" t="s">
        <v>369</v>
      </c>
      <c r="W60" s="56"/>
      <c r="AA60" s="7"/>
      <c r="AB60" s="64"/>
      <c r="AC60" s="7"/>
      <c r="AD60" s="7"/>
      <c r="AE60" s="7"/>
      <c r="AF60" s="56" t="s">
        <v>369</v>
      </c>
      <c r="AG60" s="53"/>
    </row>
    <row r="61" spans="1:43" ht="13.5" thickBot="1" x14ac:dyDescent="0.25">
      <c r="A61" s="571" t="s">
        <v>439</v>
      </c>
      <c r="F61" s="64"/>
      <c r="K61" s="7" t="s">
        <v>357</v>
      </c>
      <c r="W61" s="571"/>
      <c r="AA61" s="7"/>
      <c r="AB61" s="64"/>
      <c r="AC61" s="7"/>
      <c r="AD61" s="7"/>
      <c r="AF61" s="53"/>
      <c r="AG61" s="7" t="s">
        <v>357</v>
      </c>
    </row>
    <row r="62" spans="1:43" x14ac:dyDescent="0.2">
      <c r="A62" s="69" t="s">
        <v>7</v>
      </c>
      <c r="J62" s="962">
        <v>2007</v>
      </c>
      <c r="K62" s="652">
        <v>10</v>
      </c>
      <c r="W62" s="69"/>
      <c r="AA62" s="7"/>
      <c r="AB62" s="7"/>
      <c r="AC62" s="7"/>
      <c r="AD62" s="7"/>
      <c r="AF62" s="1287">
        <v>2007</v>
      </c>
      <c r="AG62" s="652">
        <v>10</v>
      </c>
    </row>
    <row r="63" spans="1:43" x14ac:dyDescent="0.2">
      <c r="A63" s="3" t="s">
        <v>8</v>
      </c>
      <c r="J63" s="487">
        <v>2008</v>
      </c>
      <c r="K63" s="652">
        <v>10</v>
      </c>
      <c r="AA63" s="7"/>
      <c r="AB63" s="7"/>
      <c r="AC63" s="7"/>
      <c r="AD63" s="7"/>
      <c r="AF63" s="489">
        <v>2008</v>
      </c>
      <c r="AG63" s="652">
        <v>10</v>
      </c>
    </row>
    <row r="64" spans="1:43" x14ac:dyDescent="0.2">
      <c r="J64" s="487">
        <v>2009</v>
      </c>
      <c r="K64" s="652">
        <v>10</v>
      </c>
      <c r="AF64" s="489">
        <v>2009</v>
      </c>
      <c r="AG64" s="652">
        <v>10</v>
      </c>
    </row>
    <row r="65" spans="2:33" x14ac:dyDescent="0.2">
      <c r="J65" s="488">
        <v>2010</v>
      </c>
      <c r="K65" s="652">
        <v>10</v>
      </c>
      <c r="AF65" s="489">
        <v>2010</v>
      </c>
      <c r="AG65" s="652">
        <v>10</v>
      </c>
    </row>
    <row r="66" spans="2:33" x14ac:dyDescent="0.2">
      <c r="J66" s="489">
        <v>2011</v>
      </c>
      <c r="K66" s="652">
        <v>10</v>
      </c>
      <c r="AF66" s="489">
        <v>2011</v>
      </c>
      <c r="AG66" s="652">
        <v>10</v>
      </c>
    </row>
    <row r="67" spans="2:33" x14ac:dyDescent="0.2">
      <c r="J67" s="964">
        <v>2012</v>
      </c>
      <c r="K67" s="652">
        <v>10</v>
      </c>
      <c r="AF67" s="964">
        <v>2012</v>
      </c>
      <c r="AG67" s="652">
        <v>10</v>
      </c>
    </row>
    <row r="68" spans="2:33" x14ac:dyDescent="0.2">
      <c r="J68" s="964">
        <v>2013</v>
      </c>
      <c r="K68" s="652">
        <v>10</v>
      </c>
      <c r="AF68" s="964">
        <v>2013</v>
      </c>
      <c r="AG68" s="652">
        <v>10</v>
      </c>
    </row>
    <row r="69" spans="2:33" x14ac:dyDescent="0.2">
      <c r="J69" s="964">
        <v>2014</v>
      </c>
      <c r="K69" s="652">
        <v>10</v>
      </c>
      <c r="AF69" s="964">
        <v>2014</v>
      </c>
      <c r="AG69" s="652">
        <v>10</v>
      </c>
    </row>
    <row r="70" spans="2:33" x14ac:dyDescent="0.2">
      <c r="J70" s="965">
        <v>2015</v>
      </c>
      <c r="K70" s="652">
        <v>14</v>
      </c>
      <c r="AF70" s="964">
        <v>2015</v>
      </c>
      <c r="AG70" s="652">
        <v>10</v>
      </c>
    </row>
    <row r="71" spans="2:33" x14ac:dyDescent="0.2">
      <c r="B71" s="70"/>
      <c r="D71" s="70"/>
      <c r="J71" s="964">
        <v>2016</v>
      </c>
      <c r="K71" s="651">
        <v>14</v>
      </c>
      <c r="AF71" s="964">
        <v>2016</v>
      </c>
      <c r="AG71" s="651">
        <v>10</v>
      </c>
    </row>
    <row r="72" spans="2:33" x14ac:dyDescent="0.2">
      <c r="B72" s="70"/>
      <c r="D72" s="70"/>
      <c r="J72" s="964">
        <v>2017</v>
      </c>
      <c r="K72" s="652">
        <v>14</v>
      </c>
      <c r="AF72" s="964">
        <v>2017</v>
      </c>
      <c r="AG72" s="652">
        <v>10</v>
      </c>
    </row>
    <row r="73" spans="2:33" x14ac:dyDescent="0.2">
      <c r="B73" s="70"/>
      <c r="D73" s="70"/>
      <c r="J73" s="964">
        <v>2018</v>
      </c>
      <c r="K73" s="652">
        <v>14</v>
      </c>
      <c r="AF73" s="964">
        <v>2018</v>
      </c>
      <c r="AG73" s="652">
        <v>10</v>
      </c>
    </row>
    <row r="74" spans="2:33" x14ac:dyDescent="0.2">
      <c r="B74" s="70"/>
      <c r="D74" s="70"/>
      <c r="J74" s="964">
        <v>2019</v>
      </c>
      <c r="K74" s="652">
        <v>14</v>
      </c>
      <c r="AF74" s="964">
        <v>2019</v>
      </c>
      <c r="AG74" s="652">
        <v>10</v>
      </c>
    </row>
    <row r="75" spans="2:33" x14ac:dyDescent="0.2">
      <c r="B75" s="70"/>
      <c r="D75" s="70"/>
      <c r="J75" s="965">
        <v>2020</v>
      </c>
      <c r="K75" s="652">
        <v>14</v>
      </c>
      <c r="AF75" s="964">
        <v>2020</v>
      </c>
      <c r="AG75" s="652">
        <v>10</v>
      </c>
    </row>
    <row r="76" spans="2:33" x14ac:dyDescent="0.2">
      <c r="B76" s="70"/>
      <c r="D76" s="70"/>
      <c r="J76" s="964">
        <v>2021</v>
      </c>
      <c r="K76" s="652">
        <v>14</v>
      </c>
      <c r="AF76" s="964">
        <v>2021</v>
      </c>
      <c r="AG76" s="652">
        <v>9.6</v>
      </c>
    </row>
    <row r="77" spans="2:33" x14ac:dyDescent="0.2">
      <c r="B77" s="70"/>
      <c r="D77" s="70"/>
      <c r="J77" s="964">
        <v>2022</v>
      </c>
      <c r="K77" s="652">
        <v>14</v>
      </c>
      <c r="AF77" s="964">
        <v>2022</v>
      </c>
      <c r="AG77" s="652">
        <v>8.9</v>
      </c>
    </row>
    <row r="78" spans="2:33" x14ac:dyDescent="0.2">
      <c r="B78" s="70"/>
      <c r="D78" s="70"/>
      <c r="J78" s="964">
        <v>2023</v>
      </c>
      <c r="K78" s="652">
        <v>12.5</v>
      </c>
      <c r="AF78" s="964">
        <v>2023</v>
      </c>
      <c r="AG78" s="652">
        <v>7.7</v>
      </c>
    </row>
    <row r="79" spans="2:33" x14ac:dyDescent="0.2">
      <c r="B79" s="70"/>
      <c r="D79" s="70"/>
      <c r="J79" s="964">
        <v>2024</v>
      </c>
      <c r="K79" s="652">
        <v>9</v>
      </c>
      <c r="AF79" s="964">
        <v>2024</v>
      </c>
      <c r="AG79" s="652">
        <v>6.5</v>
      </c>
    </row>
    <row r="80" spans="2:33" x14ac:dyDescent="0.2">
      <c r="B80" s="70"/>
      <c r="D80" s="70"/>
      <c r="J80" s="965">
        <v>2025</v>
      </c>
      <c r="K80" s="652">
        <v>7</v>
      </c>
      <c r="AF80" s="964">
        <v>2025</v>
      </c>
      <c r="AG80" s="652">
        <v>6</v>
      </c>
    </row>
    <row r="81" spans="2:33" x14ac:dyDescent="0.2">
      <c r="B81" s="70"/>
      <c r="D81" s="70"/>
      <c r="J81" s="964">
        <v>2026</v>
      </c>
      <c r="K81" s="652">
        <v>6.7</v>
      </c>
      <c r="AF81" s="964">
        <v>2026</v>
      </c>
      <c r="AG81" s="652">
        <v>5.82</v>
      </c>
    </row>
    <row r="82" spans="2:33" x14ac:dyDescent="0.2">
      <c r="B82" s="70"/>
      <c r="D82" s="70"/>
      <c r="J82" s="964">
        <v>2027</v>
      </c>
      <c r="K82" s="652">
        <v>6.5</v>
      </c>
      <c r="AF82" s="964">
        <v>2027</v>
      </c>
      <c r="AG82" s="652">
        <v>5.68</v>
      </c>
    </row>
    <row r="83" spans="2:33" x14ac:dyDescent="0.2">
      <c r="B83" s="70"/>
      <c r="D83" s="70"/>
      <c r="J83" s="964">
        <v>2028</v>
      </c>
      <c r="K83" s="652">
        <v>6.25</v>
      </c>
      <c r="AF83" s="964">
        <v>2028</v>
      </c>
      <c r="AG83" s="652">
        <v>5.54</v>
      </c>
    </row>
    <row r="84" spans="2:33" x14ac:dyDescent="0.2">
      <c r="B84" s="70"/>
      <c r="D84" s="70"/>
      <c r="J84" s="964">
        <v>2029</v>
      </c>
      <c r="K84" s="652">
        <v>6.05</v>
      </c>
      <c r="AF84" s="964">
        <v>2029</v>
      </c>
      <c r="AG84" s="652">
        <v>5.46</v>
      </c>
    </row>
    <row r="85" spans="2:33" x14ac:dyDescent="0.2">
      <c r="B85" s="70"/>
      <c r="D85" s="70"/>
      <c r="J85" s="965">
        <v>2030</v>
      </c>
      <c r="K85" s="652">
        <v>5.92</v>
      </c>
      <c r="AF85" s="964">
        <v>2030</v>
      </c>
      <c r="AG85" s="652">
        <v>5.38</v>
      </c>
    </row>
    <row r="86" spans="2:33" x14ac:dyDescent="0.2">
      <c r="B86" s="70"/>
      <c r="D86" s="70"/>
      <c r="J86" s="964">
        <v>2031</v>
      </c>
      <c r="K86" s="652">
        <v>5.75</v>
      </c>
      <c r="AF86" s="964">
        <v>2031</v>
      </c>
      <c r="AG86" s="652">
        <v>5.3</v>
      </c>
    </row>
    <row r="87" spans="2:33" x14ac:dyDescent="0.2">
      <c r="B87" s="70"/>
      <c r="D87" s="70"/>
      <c r="J87" s="964">
        <v>2032</v>
      </c>
      <c r="K87" s="652">
        <v>5.55</v>
      </c>
      <c r="AF87" s="964">
        <v>2032</v>
      </c>
      <c r="AG87" s="652">
        <v>5.22</v>
      </c>
    </row>
    <row r="88" spans="2:33" x14ac:dyDescent="0.2">
      <c r="B88" s="70"/>
      <c r="D88" s="70"/>
      <c r="J88" s="964">
        <v>2033</v>
      </c>
      <c r="K88" s="652">
        <v>5.36</v>
      </c>
      <c r="AF88" s="964">
        <v>2033</v>
      </c>
      <c r="AG88" s="652">
        <v>5.14</v>
      </c>
    </row>
    <row r="89" spans="2:33" x14ac:dyDescent="0.2">
      <c r="B89" s="70"/>
      <c r="D89" s="70"/>
      <c r="J89" s="964">
        <v>2034</v>
      </c>
      <c r="K89" s="652">
        <v>5.17</v>
      </c>
      <c r="AF89" s="964">
        <v>2034</v>
      </c>
      <c r="AG89" s="652">
        <v>5.07</v>
      </c>
    </row>
    <row r="90" spans="2:33" x14ac:dyDescent="0.2">
      <c r="B90" s="70"/>
      <c r="D90" s="70"/>
      <c r="J90" s="965">
        <v>2035</v>
      </c>
      <c r="K90" s="652">
        <v>5</v>
      </c>
      <c r="AF90" s="964">
        <v>2035</v>
      </c>
      <c r="AG90" s="652">
        <v>5</v>
      </c>
    </row>
    <row r="91" spans="2:33" x14ac:dyDescent="0.2">
      <c r="B91" s="70"/>
      <c r="D91" s="70"/>
      <c r="J91" s="964">
        <v>2036</v>
      </c>
      <c r="K91" s="652">
        <v>4.8499999999999996</v>
      </c>
      <c r="AF91" s="964">
        <v>2036</v>
      </c>
      <c r="AG91" s="652">
        <v>4.8499999999999996</v>
      </c>
    </row>
    <row r="92" spans="2:33" x14ac:dyDescent="0.2">
      <c r="B92" s="70"/>
      <c r="D92" s="70"/>
      <c r="J92" s="964">
        <v>2037</v>
      </c>
      <c r="K92" s="652">
        <v>4.7300000000000004</v>
      </c>
      <c r="AF92" s="964">
        <v>2037</v>
      </c>
      <c r="AG92" s="652">
        <v>4.7300000000000004</v>
      </c>
    </row>
    <row r="93" spans="2:33" x14ac:dyDescent="0.2">
      <c r="B93" s="70"/>
      <c r="D93" s="70"/>
      <c r="J93" s="964">
        <v>2038</v>
      </c>
      <c r="K93" s="652">
        <v>4.62</v>
      </c>
      <c r="AF93" s="964">
        <v>2038</v>
      </c>
      <c r="AG93" s="652">
        <v>4.62</v>
      </c>
    </row>
    <row r="94" spans="2:33" x14ac:dyDescent="0.2">
      <c r="B94" s="70"/>
      <c r="D94" s="70"/>
      <c r="J94" s="964">
        <v>2039</v>
      </c>
      <c r="K94" s="652">
        <v>4.5</v>
      </c>
      <c r="AF94" s="964">
        <v>2039</v>
      </c>
      <c r="AG94" s="652">
        <v>4.5</v>
      </c>
    </row>
    <row r="95" spans="2:33" x14ac:dyDescent="0.2">
      <c r="J95" s="965">
        <v>2040</v>
      </c>
      <c r="K95" s="652">
        <v>4.4000000000000004</v>
      </c>
      <c r="AF95" s="964">
        <v>2040</v>
      </c>
      <c r="AG95" s="652">
        <v>4.4000000000000004</v>
      </c>
    </row>
    <row r="96" spans="2:33" x14ac:dyDescent="0.2">
      <c r="J96" s="964">
        <v>2041</v>
      </c>
      <c r="K96" s="652">
        <v>4.3</v>
      </c>
      <c r="AF96" s="964">
        <v>2041</v>
      </c>
      <c r="AG96" s="652">
        <v>4.3</v>
      </c>
    </row>
    <row r="97" spans="10:33" x14ac:dyDescent="0.2">
      <c r="J97" s="964">
        <v>2042</v>
      </c>
      <c r="K97" s="652">
        <v>4.22</v>
      </c>
      <c r="AF97" s="964">
        <v>2042</v>
      </c>
      <c r="AG97" s="652">
        <v>4.22</v>
      </c>
    </row>
    <row r="98" spans="10:33" x14ac:dyDescent="0.2">
      <c r="J98" s="964">
        <v>2043</v>
      </c>
      <c r="K98" s="652">
        <v>4.1500000000000004</v>
      </c>
      <c r="AF98" s="964">
        <v>2043</v>
      </c>
      <c r="AG98" s="652">
        <v>4.1500000000000004</v>
      </c>
    </row>
    <row r="99" spans="10:33" x14ac:dyDescent="0.2">
      <c r="J99" s="964">
        <v>2044</v>
      </c>
      <c r="K99" s="652">
        <v>4.07</v>
      </c>
      <c r="AF99" s="964">
        <v>2044</v>
      </c>
      <c r="AG99" s="652">
        <v>4.07</v>
      </c>
    </row>
    <row r="100" spans="10:33" x14ac:dyDescent="0.2">
      <c r="J100" s="965">
        <v>2045</v>
      </c>
      <c r="K100" s="652">
        <v>4</v>
      </c>
      <c r="AF100" s="964">
        <v>2045</v>
      </c>
      <c r="AG100" s="652">
        <v>4</v>
      </c>
    </row>
    <row r="101" spans="10:33" x14ac:dyDescent="0.2">
      <c r="J101" s="964">
        <v>2046</v>
      </c>
      <c r="K101" s="652">
        <v>4</v>
      </c>
      <c r="AF101" s="964">
        <v>2046</v>
      </c>
      <c r="AG101" s="652">
        <v>4</v>
      </c>
    </row>
    <row r="102" spans="10:33" x14ac:dyDescent="0.2">
      <c r="J102" s="964">
        <v>2047</v>
      </c>
      <c r="K102" s="652">
        <v>4</v>
      </c>
      <c r="AF102" s="964">
        <v>2047</v>
      </c>
      <c r="AG102" s="652">
        <v>4</v>
      </c>
    </row>
    <row r="103" spans="10:33" x14ac:dyDescent="0.2">
      <c r="J103" s="964">
        <v>2048</v>
      </c>
      <c r="K103" s="652">
        <v>4</v>
      </c>
      <c r="AF103" s="964">
        <v>2048</v>
      </c>
      <c r="AG103" s="652">
        <v>4</v>
      </c>
    </row>
    <row r="104" spans="10:33" x14ac:dyDescent="0.2">
      <c r="J104" s="964">
        <v>2049</v>
      </c>
      <c r="K104" s="652">
        <v>4</v>
      </c>
      <c r="AF104" s="964">
        <v>2049</v>
      </c>
      <c r="AG104" s="652">
        <v>4</v>
      </c>
    </row>
    <row r="105" spans="10:33" ht="13.5" thickBot="1" x14ac:dyDescent="0.25">
      <c r="J105" s="966">
        <v>2050</v>
      </c>
      <c r="K105" s="653">
        <v>4</v>
      </c>
      <c r="AF105" s="1288">
        <v>2050</v>
      </c>
      <c r="AG105" s="653">
        <v>4</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9" zoomScale="80" zoomScaleNormal="80" workbookViewId="0">
      <pane xSplit="1" topLeftCell="T1" activePane="topRight" state="frozen"/>
      <selection pane="topRight" activeCell="AD24" sqref="AD24"/>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7109375" style="227" customWidth="1"/>
    <col min="11" max="11" width="10.140625" style="227" customWidth="1"/>
    <col min="12" max="13" width="12.28515625"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ustomWidth="1"/>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10" style="227" customWidth="1"/>
    <col min="29" max="29" width="11.140625" style="227" customWidth="1"/>
    <col min="30" max="30" width="10.5703125" style="227" customWidth="1"/>
    <col min="31" max="31" width="10" style="227" customWidth="1"/>
    <col min="32" max="32" width="11.85546875" style="227" customWidth="1"/>
    <col min="33" max="34" width="8.42578125" style="227" customWidth="1"/>
    <col min="35" max="36" width="8.42578125" style="323" customWidth="1"/>
    <col min="37" max="37" width="9.42578125" style="323" customWidth="1"/>
    <col min="38" max="39" width="8.42578125" style="323" customWidth="1"/>
    <col min="40" max="40" width="9.5703125" style="227" customWidth="1"/>
    <col min="41" max="41" width="10.42578125" style="227" customWidth="1"/>
    <col min="42" max="42" width="9.28515625" style="227" customWidth="1"/>
    <col min="43" max="43" width="9.42578125" style="227" customWidth="1"/>
    <col min="44" max="44" width="8.42578125" style="227"/>
    <col min="45" max="45" width="11.140625" style="227" customWidth="1"/>
    <col min="46" max="46" width="9" style="227" customWidth="1"/>
    <col min="47" max="47" width="8.42578125" style="227"/>
    <col min="48" max="48" width="9" style="227" customWidth="1"/>
    <col min="49" max="50" width="8.42578125" style="227"/>
    <col min="51" max="52" width="8.5703125" style="227" customWidth="1"/>
    <col min="53" max="53" width="9.28515625" style="227" customWidth="1"/>
    <col min="54" max="61" width="8.5703125" style="227" customWidth="1"/>
    <col min="62" max="62" width="13" style="227" customWidth="1"/>
    <col min="63" max="16384" width="8.42578125" style="227"/>
  </cols>
  <sheetData>
    <row r="1" spans="2:64" ht="15.75" x14ac:dyDescent="0.25">
      <c r="B1" s="54" t="s">
        <v>240</v>
      </c>
      <c r="C1" s="232"/>
      <c r="D1" s="232"/>
      <c r="E1" s="232"/>
      <c r="F1" s="232"/>
      <c r="L1" s="227" t="s">
        <v>205</v>
      </c>
      <c r="AI1" s="227"/>
      <c r="AJ1" s="227"/>
      <c r="AK1" s="227"/>
      <c r="AL1" s="227"/>
      <c r="AM1" s="227"/>
    </row>
    <row r="2" spans="2:64" x14ac:dyDescent="0.2">
      <c r="Y2" s="235"/>
      <c r="AI2" s="227"/>
      <c r="AJ2" s="227"/>
      <c r="AK2" s="227"/>
      <c r="AL2" s="227"/>
      <c r="AM2" s="227"/>
    </row>
    <row r="3" spans="2:64" x14ac:dyDescent="0.2">
      <c r="B3" s="1570" t="s">
        <v>53</v>
      </c>
      <c r="C3" s="1571"/>
      <c r="D3" s="236">
        <f>'Run Model'!C6</f>
        <v>7.4999999999999997E-2</v>
      </c>
      <c r="F3"/>
      <c r="G3"/>
      <c r="H3"/>
      <c r="L3" s="227" t="s">
        <v>375</v>
      </c>
      <c r="N3" s="227" t="s">
        <v>127</v>
      </c>
      <c r="P3" s="1553" t="s">
        <v>205</v>
      </c>
      <c r="Q3" s="1554"/>
      <c r="R3" s="1554"/>
      <c r="S3" s="1554"/>
      <c r="T3" s="1554"/>
      <c r="U3" s="1555"/>
      <c r="Y3" s="216"/>
      <c r="AI3" s="227"/>
      <c r="AJ3" s="227"/>
      <c r="AK3" s="227"/>
      <c r="AL3" s="227"/>
      <c r="AM3" s="227"/>
    </row>
    <row r="4" spans="2:64" x14ac:dyDescent="0.2">
      <c r="B4" s="1570" t="s">
        <v>104</v>
      </c>
      <c r="C4" s="1571"/>
      <c r="D4" s="225" t="str">
        <f>'Run Model'!C7</f>
        <v>Moderate</v>
      </c>
      <c r="F4"/>
      <c r="G4"/>
      <c r="H4"/>
      <c r="N4" s="227" t="s">
        <v>126</v>
      </c>
      <c r="P4" s="1567">
        <v>43947.795219907406</v>
      </c>
      <c r="Q4" s="1554"/>
      <c r="R4" s="1554"/>
      <c r="S4" s="1554"/>
      <c r="T4" s="1554"/>
      <c r="U4" s="1555"/>
      <c r="V4" s="227" t="s">
        <v>187</v>
      </c>
      <c r="AI4" s="227"/>
      <c r="AJ4" s="227"/>
      <c r="AK4" s="227"/>
      <c r="AL4" s="227"/>
      <c r="AM4" s="227"/>
    </row>
    <row r="5" spans="2:64" x14ac:dyDescent="0.2">
      <c r="B5" s="1570" t="s">
        <v>118</v>
      </c>
      <c r="C5" s="1571"/>
      <c r="D5" s="225" t="s">
        <v>15</v>
      </c>
      <c r="F5"/>
      <c r="G5"/>
      <c r="H5"/>
      <c r="P5" s="1567">
        <v>43947.795219907406</v>
      </c>
      <c r="Q5" s="1554"/>
      <c r="R5" s="1554"/>
      <c r="S5" s="1554"/>
      <c r="T5" s="1554"/>
      <c r="U5" s="1555"/>
      <c r="V5" s="227" t="s">
        <v>15</v>
      </c>
      <c r="AI5" s="227"/>
      <c r="AJ5" s="227"/>
      <c r="AK5" s="227"/>
      <c r="AL5" s="227"/>
      <c r="AM5" s="227"/>
    </row>
    <row r="6" spans="2:64" x14ac:dyDescent="0.2">
      <c r="B6" s="1570" t="s">
        <v>68</v>
      </c>
      <c r="C6" s="1571"/>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41" t="s">
        <v>76</v>
      </c>
      <c r="K9" s="1542"/>
      <c r="L9" s="1562" t="s">
        <v>83</v>
      </c>
      <c r="M9" s="1563"/>
      <c r="N9" s="1568" t="s">
        <v>109</v>
      </c>
      <c r="O9" s="1568"/>
      <c r="P9" s="1568"/>
      <c r="Q9" s="1569"/>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212</v>
      </c>
      <c r="G10" s="732" t="s">
        <v>211</v>
      </c>
      <c r="H10" s="836" t="s">
        <v>265</v>
      </c>
      <c r="I10" s="741" t="s">
        <v>81</v>
      </c>
      <c r="J10" s="1114" t="s">
        <v>284</v>
      </c>
      <c r="K10" s="1115" t="s">
        <v>285</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1" t="b">
        <f>INDEX(TECH_OPT_PARAMS_Cls1,MATCH($B11,TECH_OPT_ROWS_Cls1,0),MATCH(H$10,TECH_OPT_COLS_Cls1,0))</f>
        <v>0</v>
      </c>
      <c r="I11" s="742">
        <f t="shared" si="1"/>
        <v>0</v>
      </c>
      <c r="J11" s="989">
        <f t="shared" si="1"/>
        <v>0</v>
      </c>
      <c r="K11" s="990">
        <f t="shared" si="1"/>
        <v>0</v>
      </c>
      <c r="L11" s="989">
        <f t="shared" si="1"/>
        <v>0</v>
      </c>
      <c r="M11" s="990">
        <f t="shared" si="1"/>
        <v>0</v>
      </c>
      <c r="N11" s="993">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9" t="b">
        <f t="shared" si="1"/>
        <v>0</v>
      </c>
      <c r="I12" s="743">
        <f t="shared" si="1"/>
        <v>2020</v>
      </c>
      <c r="J12" s="991">
        <f t="shared" si="1"/>
        <v>0</v>
      </c>
      <c r="K12" s="992">
        <f t="shared" si="1"/>
        <v>0.5</v>
      </c>
      <c r="L12" s="991">
        <f t="shared" si="1"/>
        <v>5000</v>
      </c>
      <c r="M12" s="992">
        <f t="shared" si="1"/>
        <v>100</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ISG</v>
      </c>
      <c r="D13" s="585"/>
      <c r="E13" s="585"/>
      <c r="F13" s="725" t="str">
        <f t="shared" si="1"/>
        <v>Diesel</v>
      </c>
      <c r="G13" s="726" t="str">
        <f t="shared" si="1"/>
        <v>N/A</v>
      </c>
      <c r="H13" s="899" t="b">
        <f t="shared" si="1"/>
        <v>0</v>
      </c>
      <c r="I13" s="743">
        <f t="shared" si="1"/>
        <v>2020</v>
      </c>
      <c r="J13" s="1262">
        <f t="shared" si="1"/>
        <v>0</v>
      </c>
      <c r="K13" s="992">
        <f t="shared" si="1"/>
        <v>0.5</v>
      </c>
      <c r="L13" s="991">
        <f t="shared" si="1"/>
        <v>5000</v>
      </c>
      <c r="M13" s="992">
        <f t="shared" si="1"/>
        <v>100</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HEV</v>
      </c>
      <c r="D14" s="585"/>
      <c r="E14" s="585"/>
      <c r="F14" s="725" t="str">
        <f t="shared" si="1"/>
        <v>Diesel</v>
      </c>
      <c r="G14" s="726" t="str">
        <f t="shared" si="1"/>
        <v>N/A</v>
      </c>
      <c r="H14" s="899" t="b">
        <f t="shared" si="1"/>
        <v>0</v>
      </c>
      <c r="I14" s="743">
        <f t="shared" si="1"/>
        <v>2020</v>
      </c>
      <c r="J14" s="1262">
        <f t="shared" si="1"/>
        <v>0</v>
      </c>
      <c r="K14" s="992">
        <f t="shared" si="1"/>
        <v>0.5</v>
      </c>
      <c r="L14" s="991">
        <f t="shared" si="1"/>
        <v>5000</v>
      </c>
      <c r="M14" s="992">
        <f t="shared" si="1"/>
        <v>100</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206</v>
      </c>
      <c r="C15" s="586" t="str">
        <f t="shared" si="0"/>
        <v>PHEV</v>
      </c>
      <c r="D15" s="587"/>
      <c r="E15" s="587"/>
      <c r="F15" s="727" t="str">
        <f t="shared" si="1"/>
        <v>Diesel</v>
      </c>
      <c r="G15" s="728" t="str">
        <f t="shared" si="1"/>
        <v>Electricity</v>
      </c>
      <c r="H15" s="899" t="b">
        <f t="shared" si="1"/>
        <v>0</v>
      </c>
      <c r="I15" s="743">
        <f t="shared" si="1"/>
        <v>2020</v>
      </c>
      <c r="J15" s="1262">
        <f t="shared" si="1"/>
        <v>0</v>
      </c>
      <c r="K15" s="992">
        <f t="shared" si="1"/>
        <v>0.5</v>
      </c>
      <c r="L15" s="991">
        <f t="shared" si="1"/>
        <v>5000</v>
      </c>
      <c r="M15" s="992">
        <f t="shared" si="1"/>
        <v>100</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207</v>
      </c>
      <c r="C16" s="580" t="str">
        <f t="shared" si="0"/>
        <v>FCHEV</v>
      </c>
      <c r="D16" s="581"/>
      <c r="E16" s="581"/>
      <c r="F16" s="263" t="str">
        <f t="shared" si="1"/>
        <v>Hydrogen</v>
      </c>
      <c r="G16" s="262" t="str">
        <f t="shared" si="1"/>
        <v>N/A</v>
      </c>
      <c r="H16" s="900" t="b">
        <f t="shared" si="1"/>
        <v>0</v>
      </c>
      <c r="I16" s="744">
        <f t="shared" si="1"/>
        <v>2020</v>
      </c>
      <c r="J16" s="263">
        <f t="shared" si="1"/>
        <v>0</v>
      </c>
      <c r="K16" s="262">
        <f t="shared" si="1"/>
        <v>0.5</v>
      </c>
      <c r="L16" s="263">
        <f t="shared" si="1"/>
        <v>5000</v>
      </c>
      <c r="M16" s="262">
        <f t="shared" si="1"/>
        <v>100</v>
      </c>
      <c r="N16" s="740">
        <f t="shared" si="1"/>
        <v>0</v>
      </c>
      <c r="O16" s="264">
        <f t="shared" si="1"/>
        <v>350</v>
      </c>
      <c r="P16" s="711">
        <f>$D$6*('Inputs 7&amp;8 SU'!$N13/('Inputs 7&amp;8 SU'!$O13*1000))/12</f>
        <v>0</v>
      </c>
      <c r="Q16" s="712">
        <f>$D$6*('Inputs 7&amp;8 Day'!$N13/('Inputs 7&amp;8 Day'!$O13*1000))/12</f>
        <v>0</v>
      </c>
      <c r="R16" s="260"/>
      <c r="Y16" s="240">
        <f>INDEX(CDRANGE_CLS1,MATCH($A38,$A$24:$A$67,0),MATCH(AB$20,$B$20:$G$20,0))</f>
        <v>257.16885674549303</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234</v>
      </c>
      <c r="AT17" s="800"/>
      <c r="AU17" s="800"/>
      <c r="AV17" s="799"/>
      <c r="AW17" s="789"/>
      <c r="AX17"/>
      <c r="AY17"/>
      <c r="AZ17"/>
      <c r="BA17"/>
      <c r="BB17"/>
      <c r="BC17"/>
      <c r="BD17"/>
      <c r="BE17"/>
      <c r="BF17"/>
      <c r="BG17"/>
      <c r="BH17"/>
    </row>
    <row r="18" spans="1:60" ht="13.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5.75" thickBot="1" x14ac:dyDescent="0.3">
      <c r="A19" s="805"/>
      <c r="B19" s="1564" t="s">
        <v>235</v>
      </c>
      <c r="C19" s="1565"/>
      <c r="D19" s="1565"/>
      <c r="E19" s="1565"/>
      <c r="F19" s="1565"/>
      <c r="G19" s="1566"/>
      <c r="H19" s="1564" t="s">
        <v>221</v>
      </c>
      <c r="I19" s="1565"/>
      <c r="J19" s="1565"/>
      <c r="K19" s="1565"/>
      <c r="L19" s="1565"/>
      <c r="M19" s="1566"/>
      <c r="N19" s="1564" t="s">
        <v>71</v>
      </c>
      <c r="O19" s="1565"/>
      <c r="P19" s="1565"/>
      <c r="Q19" s="1565"/>
      <c r="R19" s="1565"/>
      <c r="S19" s="1566"/>
      <c r="T19" s="1564" t="s">
        <v>107</v>
      </c>
      <c r="U19" s="1565"/>
      <c r="V19" s="1565"/>
      <c r="W19" s="1565"/>
      <c r="X19" s="1566"/>
      <c r="Y19" s="1564" t="s">
        <v>72</v>
      </c>
      <c r="Z19" s="1565"/>
      <c r="AA19" s="1565"/>
      <c r="AB19" s="1565"/>
      <c r="AC19" s="1566"/>
      <c r="AD19" s="1564" t="s">
        <v>92</v>
      </c>
      <c r="AE19" s="1565"/>
      <c r="AF19" s="1565"/>
      <c r="AG19" s="1565"/>
      <c r="AH19" s="1566"/>
      <c r="AI19" s="1564" t="s">
        <v>76</v>
      </c>
      <c r="AJ19" s="1565"/>
      <c r="AK19" s="1565"/>
      <c r="AL19" s="1565"/>
      <c r="AM19" s="1566"/>
      <c r="AN19" s="1564" t="s">
        <v>100</v>
      </c>
      <c r="AO19" s="1565"/>
      <c r="AP19" s="1565"/>
      <c r="AQ19" s="1565"/>
      <c r="AR19" s="1566"/>
      <c r="AS19" s="1564" t="s">
        <v>73</v>
      </c>
      <c r="AT19" s="1565"/>
      <c r="AU19" s="1565"/>
      <c r="AV19" s="1565"/>
      <c r="AW19" s="1566"/>
      <c r="AX19" s="1564" t="s">
        <v>102</v>
      </c>
      <c r="AY19" s="1565"/>
      <c r="AZ19" s="1565"/>
      <c r="BA19" s="1565"/>
      <c r="BB19" s="1566"/>
      <c r="BC19" s="1564" t="s">
        <v>82</v>
      </c>
      <c r="BD19" s="1565"/>
      <c r="BE19" s="1565"/>
      <c r="BF19" s="1565"/>
      <c r="BG19" s="1565"/>
      <c r="BH19" s="1566"/>
    </row>
    <row r="20" spans="1:60" ht="15" customHeight="1" x14ac:dyDescent="0.2">
      <c r="A20" s="272"/>
      <c r="B20" s="1038" t="s">
        <v>69</v>
      </c>
      <c r="C20" s="1039" t="s">
        <v>65</v>
      </c>
      <c r="D20" s="1039" t="s">
        <v>66</v>
      </c>
      <c r="E20" s="1039" t="s">
        <v>67</v>
      </c>
      <c r="F20" s="1039" t="s">
        <v>206</v>
      </c>
      <c r="G20" s="1085" t="s">
        <v>207</v>
      </c>
      <c r="H20" s="1038" t="s">
        <v>69</v>
      </c>
      <c r="I20" s="1039" t="s">
        <v>65</v>
      </c>
      <c r="J20" s="1039" t="s">
        <v>66</v>
      </c>
      <c r="K20" s="1039" t="s">
        <v>67</v>
      </c>
      <c r="L20" s="1039" t="s">
        <v>206</v>
      </c>
      <c r="M20" s="1085" t="s">
        <v>207</v>
      </c>
      <c r="N20" s="1038" t="s">
        <v>69</v>
      </c>
      <c r="O20" s="1039" t="s">
        <v>65</v>
      </c>
      <c r="P20" s="1039" t="s">
        <v>66</v>
      </c>
      <c r="Q20" s="1039" t="s">
        <v>67</v>
      </c>
      <c r="R20" s="1039" t="s">
        <v>206</v>
      </c>
      <c r="S20" s="1085" t="s">
        <v>207</v>
      </c>
      <c r="T20" s="1044" t="s">
        <v>65</v>
      </c>
      <c r="U20" s="1045" t="s">
        <v>66</v>
      </c>
      <c r="V20" s="1045" t="s">
        <v>67</v>
      </c>
      <c r="W20" s="1039" t="s">
        <v>206</v>
      </c>
      <c r="X20" s="1085" t="s">
        <v>207</v>
      </c>
      <c r="Y20" s="1044" t="s">
        <v>65</v>
      </c>
      <c r="Z20" s="1045" t="s">
        <v>66</v>
      </c>
      <c r="AA20" s="1045" t="s">
        <v>67</v>
      </c>
      <c r="AB20" s="1039" t="s">
        <v>206</v>
      </c>
      <c r="AC20" s="1085" t="s">
        <v>207</v>
      </c>
      <c r="AD20" s="1044" t="s">
        <v>65</v>
      </c>
      <c r="AE20" s="1045" t="s">
        <v>66</v>
      </c>
      <c r="AF20" s="1045" t="s">
        <v>67</v>
      </c>
      <c r="AG20" s="1039" t="s">
        <v>206</v>
      </c>
      <c r="AH20" s="1085" t="s">
        <v>207</v>
      </c>
      <c r="AI20" s="1137" t="s">
        <v>65</v>
      </c>
      <c r="AJ20" s="1138" t="s">
        <v>66</v>
      </c>
      <c r="AK20" s="1138" t="s">
        <v>67</v>
      </c>
      <c r="AL20" s="1139" t="s">
        <v>206</v>
      </c>
      <c r="AM20" s="1140" t="s">
        <v>207</v>
      </c>
      <c r="AN20" s="1044" t="s">
        <v>65</v>
      </c>
      <c r="AO20" s="1045" t="s">
        <v>66</v>
      </c>
      <c r="AP20" s="1045" t="s">
        <v>67</v>
      </c>
      <c r="AQ20" s="1039" t="s">
        <v>206</v>
      </c>
      <c r="AR20" s="1085" t="s">
        <v>207</v>
      </c>
      <c r="AS20" s="1044" t="s">
        <v>65</v>
      </c>
      <c r="AT20" s="1045" t="s">
        <v>66</v>
      </c>
      <c r="AU20" s="1045" t="s">
        <v>67</v>
      </c>
      <c r="AV20" s="1039" t="s">
        <v>206</v>
      </c>
      <c r="AW20" s="1085" t="s">
        <v>207</v>
      </c>
      <c r="AX20" s="1044" t="s">
        <v>65</v>
      </c>
      <c r="AY20" s="1045" t="s">
        <v>66</v>
      </c>
      <c r="AZ20" s="1045" t="s">
        <v>67</v>
      </c>
      <c r="BA20" s="1039" t="s">
        <v>206</v>
      </c>
      <c r="BB20" s="1085" t="s">
        <v>207</v>
      </c>
      <c r="BC20" s="1044" t="s">
        <v>69</v>
      </c>
      <c r="BD20" s="1045" t="s">
        <v>65</v>
      </c>
      <c r="BE20" s="1045" t="s">
        <v>66</v>
      </c>
      <c r="BF20" s="1045" t="s">
        <v>67</v>
      </c>
      <c r="BG20" s="1039" t="s">
        <v>206</v>
      </c>
      <c r="BH20" s="1085" t="s">
        <v>207</v>
      </c>
    </row>
    <row r="21" spans="1:60" s="234" customFormat="1" x14ac:dyDescent="0.2">
      <c r="A21" s="767"/>
      <c r="B21" s="1073"/>
      <c r="C21" s="1074"/>
      <c r="D21" s="1074"/>
      <c r="E21" s="1074"/>
      <c r="F21" s="1074"/>
      <c r="G21" s="1075"/>
      <c r="H21" s="1079" t="str">
        <f>IF(INDEX($G$11:$G$16,MATCH(H20,$B$11:$B$16,0))="N/A","Single-fuel","Dual-Fuel")</f>
        <v>Single-fuel</v>
      </c>
      <c r="I21" s="1080" t="str">
        <f t="shared" ref="I21:M21" si="2">IF(INDEX($G$11:$G$16,MATCH(I20,$B$11:$B$16,0))="N/A","Single-fuel","Dual-Fuel")</f>
        <v>Single-fuel</v>
      </c>
      <c r="J21" s="1080" t="str">
        <f t="shared" si="2"/>
        <v>Single-fuel</v>
      </c>
      <c r="K21" s="1080" t="str">
        <f t="shared" si="2"/>
        <v>Single-fuel</v>
      </c>
      <c r="L21" s="1080" t="str">
        <f t="shared" si="2"/>
        <v>Dual-Fuel</v>
      </c>
      <c r="M21" s="1081" t="str">
        <f t="shared" si="2"/>
        <v>Single-fuel</v>
      </c>
      <c r="N21" s="994" t="str">
        <f>INDEX($F$11:$F$16,MATCH(N20,$B$11:$B$16,0))</f>
        <v>Diesel</v>
      </c>
      <c r="O21" s="995" t="str">
        <f>INDEX($F$11:$F$16,MATCH(O20,$B$11:$B$16,0))</f>
        <v>Diesel</v>
      </c>
      <c r="P21" s="995" t="str">
        <f t="shared" ref="P21" si="3">INDEX($F$11:$F$16,MATCH(P20,$B$11:$B$16,0))</f>
        <v>Diesel</v>
      </c>
      <c r="Q21" s="995" t="str">
        <f t="shared" ref="Q21" si="4">INDEX($F$11:$F$16,MATCH(Q20,$B$11:$B$16,0))</f>
        <v>Diesel</v>
      </c>
      <c r="R21" s="995" t="str">
        <f t="shared" ref="R21" si="5">INDEX($F$11:$F$16,MATCH(R20,$B$11:$B$16,0))</f>
        <v>Diesel</v>
      </c>
      <c r="S21" s="996" t="str">
        <f t="shared" ref="S21" si="6">INDEX($F$11:$F$16,MATCH(S20,$B$11:$B$16,0))</f>
        <v>Hydrogen</v>
      </c>
      <c r="T21" s="1575" t="s">
        <v>117</v>
      </c>
      <c r="U21" s="1576"/>
      <c r="V21" s="1576"/>
      <c r="W21" s="1576"/>
      <c r="X21" s="1577"/>
      <c r="Y21" s="994" t="str">
        <f>INDEX($F$11:$F$16,MATCH(Y20,$B$11:$B$16,0))</f>
        <v>Diesel</v>
      </c>
      <c r="Z21" s="995" t="str">
        <f t="shared" ref="Z21:AC21" si="7">INDEX($F$11:$F$16,MATCH(Z20,$B$11:$B$16,0))</f>
        <v>Diesel</v>
      </c>
      <c r="AA21" s="995" t="str">
        <f t="shared" si="7"/>
        <v>Diesel</v>
      </c>
      <c r="AB21" s="995" t="str">
        <f t="shared" si="7"/>
        <v>Diesel</v>
      </c>
      <c r="AC21" s="996" t="str">
        <f t="shared" si="7"/>
        <v>Hydrogen</v>
      </c>
      <c r="AD21" s="1017">
        <f>INDEX($L$11:$L$16,MATCH(AD20,$B$11:$B$16,0))</f>
        <v>5000</v>
      </c>
      <c r="AE21" s="1018">
        <f>INDEX($L$11:$L$16,MATCH(AE20,$B$11:$B$16,0))</f>
        <v>5000</v>
      </c>
      <c r="AF21" s="1018">
        <f>INDEX($L$11:$L$16,MATCH(AF20,$B$11:$B$16,0))</f>
        <v>5000</v>
      </c>
      <c r="AG21" s="1018">
        <f>INDEX($L$11:$L$16,MATCH(AG20,$B$11:$B$16,0))</f>
        <v>5000</v>
      </c>
      <c r="AH21" s="1019">
        <f>INDEX($L$11:$L$16,MATCH(AH20,$B$11:$B$16,0))</f>
        <v>5000</v>
      </c>
      <c r="AI21" s="994">
        <f>INDEX($J$11:$J$16,MATCH(AI20,$B$11:$B$16,0))</f>
        <v>0</v>
      </c>
      <c r="AJ21" s="995">
        <f t="shared" ref="AJ21:AM21" si="8">INDEX($J$11:$J$16,MATCH(AJ20,$B$11:$B$16,0))</f>
        <v>0</v>
      </c>
      <c r="AK21" s="995">
        <f t="shared" si="8"/>
        <v>0</v>
      </c>
      <c r="AL21" s="995">
        <f t="shared" si="8"/>
        <v>0</v>
      </c>
      <c r="AM21" s="996">
        <f t="shared" si="8"/>
        <v>0</v>
      </c>
      <c r="AN21" s="994" t="str">
        <f>INDEX($F$11:$F$16,MATCH(AN20,$B$11:$B$16,0))</f>
        <v>Diesel</v>
      </c>
      <c r="AO21" s="995" t="str">
        <f t="shared" ref="AO21" si="9">INDEX($F$11:$F$16,MATCH(AO20,$B$11:$B$16,0))</f>
        <v>Diesel</v>
      </c>
      <c r="AP21" s="995" t="str">
        <f t="shared" ref="AP21" si="10">INDEX($F$11:$F$16,MATCH(AP20,$B$11:$B$16,0))</f>
        <v>Diesel</v>
      </c>
      <c r="AQ21" s="995" t="str">
        <f t="shared" ref="AQ21" si="11">INDEX($F$11:$F$16,MATCH(AQ20,$B$11:$B$16,0))</f>
        <v>Diesel</v>
      </c>
      <c r="AR21" s="996" t="str">
        <f t="shared" ref="AR21" si="12">INDEX($F$11:$F$16,MATCH(AR20,$B$11:$B$16,0))</f>
        <v>Hydrogen</v>
      </c>
      <c r="AS21" s="994" t="str">
        <f>INDEX($F$11:$F$16,MATCH(AS20,$B$11:$B$16,0))</f>
        <v>Diesel</v>
      </c>
      <c r="AT21" s="995" t="str">
        <f t="shared" ref="AT21:AV21" si="13">INDEX($F$11:$F$16,MATCH(AT20,$B$11:$B$16,0))</f>
        <v>Diesel</v>
      </c>
      <c r="AU21" s="995" t="str">
        <f t="shared" ref="AU21" si="14">INDEX($F$11:$F$16,MATCH(AU20,$B$11:$B$16,0))</f>
        <v>Diesel</v>
      </c>
      <c r="AV21" s="995" t="str">
        <f t="shared" si="13"/>
        <v>Diesel</v>
      </c>
      <c r="AW21" s="996" t="str">
        <f t="shared" ref="AW21" si="15">INDEX($F$11:$F$16,MATCH(AW20,$B$11:$B$16,0))</f>
        <v>Hydrogen</v>
      </c>
      <c r="AX21" s="994" t="str">
        <f>INDEX($F$11:$F$16,MATCH(AX20,$B$11:$B$16,0))</f>
        <v>Diesel</v>
      </c>
      <c r="AY21" s="995" t="str">
        <f t="shared" ref="AY21" si="16">INDEX($F$11:$F$16,MATCH(AY20,$B$11:$B$16,0))</f>
        <v>Diesel</v>
      </c>
      <c r="AZ21" s="995" t="str">
        <f t="shared" ref="AZ21" si="17">INDEX($F$11:$F$16,MATCH(AZ20,$B$11:$B$16,0))</f>
        <v>Diesel</v>
      </c>
      <c r="BA21" s="995" t="str">
        <f t="shared" ref="BA21" si="18">INDEX($F$11:$F$16,MATCH(BA20,$B$11:$B$16,0))</f>
        <v>Diesel</v>
      </c>
      <c r="BB21" s="996" t="str">
        <f t="shared" ref="BB21" si="19">INDEX($F$11:$F$16,MATCH(BB20,$B$11:$B$16,0))</f>
        <v>Hydrogen</v>
      </c>
      <c r="BC21" s="1027" t="str">
        <f>INDEX($F$11:$F$16,MATCH(BC20,$B$11:$B$16,0))</f>
        <v>Diesel</v>
      </c>
      <c r="BD21" s="995" t="str">
        <f>INDEX($F$11:$F$16,MATCH(BD20,$B$11:$B$16,0))</f>
        <v>Diesel</v>
      </c>
      <c r="BE21" s="995" t="str">
        <f t="shared" ref="BE21" si="20">INDEX($F$11:$F$16,MATCH(BE20,$B$11:$B$16,0))</f>
        <v>Diesel</v>
      </c>
      <c r="BF21" s="995" t="str">
        <f t="shared" ref="BF21" si="21">INDEX($F$11:$F$16,MATCH(BF20,$B$11:$B$16,0))</f>
        <v>Diesel</v>
      </c>
      <c r="BG21" s="995" t="str">
        <f t="shared" ref="BG21" si="22">INDEX($F$11:$F$16,MATCH(BG20,$B$11:$B$16,0))</f>
        <v>Diesel</v>
      </c>
      <c r="BH21" s="996" t="str">
        <f t="shared" ref="BH21" si="23">INDEX($F$11:$F$16,MATCH(BH20,$B$11:$B$16,0))</f>
        <v>Hydrogen</v>
      </c>
    </row>
    <row r="22" spans="1:60" x14ac:dyDescent="0.2">
      <c r="A22" s="767"/>
      <c r="B22" s="1073"/>
      <c r="C22" s="1074"/>
      <c r="D22" s="1074"/>
      <c r="E22" s="1074"/>
      <c r="F22" s="1074"/>
      <c r="G22" s="1075"/>
      <c r="H22" s="1079"/>
      <c r="I22" s="1080"/>
      <c r="J22" s="1080"/>
      <c r="K22" s="1080"/>
      <c r="L22" s="1080"/>
      <c r="M22" s="1081"/>
      <c r="N22" s="997"/>
      <c r="O22" s="998"/>
      <c r="P22" s="998"/>
      <c r="Q22" s="998"/>
      <c r="R22" s="998"/>
      <c r="S22" s="999"/>
      <c r="T22" s="1003">
        <f>INDEX($Q$11:$Q$16,MATCH(T20,$B$11:$B$16,0))</f>
        <v>0</v>
      </c>
      <c r="U22" s="1004">
        <f>INDEX($Q$11:$Q$16,MATCH(U20,$B$11:$B$16,0))</f>
        <v>0</v>
      </c>
      <c r="V22" s="1004">
        <f>INDEX($Q$11:$Q$16,MATCH(V20,$B$11:$B$16,0))</f>
        <v>0</v>
      </c>
      <c r="W22" s="1004">
        <f>INDEX($Q$11:$Q$16,MATCH(W20,$B$11:$B$16,0))</f>
        <v>0</v>
      </c>
      <c r="X22" s="1005">
        <f>INDEX($Q$11:$Q$16,MATCH(X20,$B$11:$B$16,0))</f>
        <v>0</v>
      </c>
      <c r="Y22" s="1011" t="b">
        <f>INDEX($H$11:$H$16,MATCH(Y20,$B$11:$B$16,0))</f>
        <v>0</v>
      </c>
      <c r="Z22" s="1012" t="b">
        <f t="shared" ref="Z22:AC22" si="24">INDEX($H$11:$H$16,MATCH(Z20,$B$11:$B$16,0))</f>
        <v>0</v>
      </c>
      <c r="AA22" s="1012" t="b">
        <f t="shared" si="24"/>
        <v>0</v>
      </c>
      <c r="AB22" s="1012" t="b">
        <f t="shared" si="24"/>
        <v>0</v>
      </c>
      <c r="AC22" s="1013" t="b">
        <f t="shared" si="24"/>
        <v>0</v>
      </c>
      <c r="AD22" s="994">
        <f>INDEX($M$11:$M$16,MATCH(AD20,$B$11:$B$16,0))</f>
        <v>100</v>
      </c>
      <c r="AE22" s="1020">
        <f>INDEX($M$11:$M$16,MATCH(AE20,$B$11:$B$16,0))</f>
        <v>100</v>
      </c>
      <c r="AF22" s="1020">
        <f>INDEX($M$11:$M$16,MATCH(AF20,$B$11:$B$16,0))</f>
        <v>100</v>
      </c>
      <c r="AG22" s="1020">
        <f>INDEX($M$11:$M$16,MATCH(AG20,$B$11:$B$16,0))</f>
        <v>100</v>
      </c>
      <c r="AH22" s="1021">
        <f>INDEX($M$11:$M$16,MATCH(AH20,$B$11:$B$16,0))</f>
        <v>100</v>
      </c>
      <c r="AI22" s="994">
        <f>INDEX($K$11:$K$16,MATCH(AI20,$B$11:$B$16,0))</f>
        <v>0.5</v>
      </c>
      <c r="AJ22" s="995">
        <f t="shared" ref="AJ22:AM22" si="25">INDEX($K$11:$K$16,MATCH(AJ20,$B$11:$B$16,0))</f>
        <v>0.5</v>
      </c>
      <c r="AK22" s="995">
        <f t="shared" si="25"/>
        <v>0.5</v>
      </c>
      <c r="AL22" s="995">
        <f t="shared" si="25"/>
        <v>0.5</v>
      </c>
      <c r="AM22" s="996">
        <f t="shared" si="25"/>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3.5" thickBot="1" x14ac:dyDescent="0.25">
      <c r="A23" s="746"/>
      <c r="B23" s="1076"/>
      <c r="C23" s="1077"/>
      <c r="D23" s="1077"/>
      <c r="E23" s="1077"/>
      <c r="F23" s="1077"/>
      <c r="G23" s="1078"/>
      <c r="H23" s="1082"/>
      <c r="I23" s="1083"/>
      <c r="J23" s="1083"/>
      <c r="K23" s="1083"/>
      <c r="L23" s="1083"/>
      <c r="M23" s="1084"/>
      <c r="N23" s="1000"/>
      <c r="O23" s="1001"/>
      <c r="P23" s="1001"/>
      <c r="Q23" s="1001"/>
      <c r="R23" s="1001"/>
      <c r="S23" s="1002"/>
      <c r="T23" s="1006"/>
      <c r="U23" s="1007"/>
      <c r="V23" s="1007"/>
      <c r="W23" s="1007"/>
      <c r="X23" s="1008"/>
      <c r="Y23" s="1014"/>
      <c r="Z23" s="1015"/>
      <c r="AA23" s="1015"/>
      <c r="AB23" s="1015"/>
      <c r="AC23" s="1016"/>
      <c r="AD23" s="1022"/>
      <c r="AE23" s="1023"/>
      <c r="AF23" s="1023"/>
      <c r="AG23" s="1023"/>
      <c r="AH23" s="1024"/>
      <c r="AI23" s="1022">
        <f>INDEX($I$11:$I$16,MATCH(AI20,$B$11:$B$16,0))</f>
        <v>2020</v>
      </c>
      <c r="AJ23" s="1025">
        <f>INDEX($I$11:$I$16,MATCH(AJ20,$B$11:$B$16,0))</f>
        <v>2020</v>
      </c>
      <c r="AK23" s="1025">
        <f>INDEX($I$11:$I$16,MATCH(AK20,$B$11:$B$16,0))</f>
        <v>2020</v>
      </c>
      <c r="AL23" s="1025">
        <f>INDEX($I$11:$I$16,MATCH(AL20,$B$11:$B$16,0))</f>
        <v>2020</v>
      </c>
      <c r="AM23" s="1026">
        <f>INDEX($I$11:$I$16,MATCH(AM20,$B$11:$B$16,0))</f>
        <v>2020</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3.5" thickTop="1" x14ac:dyDescent="0.2">
      <c r="A24" s="609">
        <v>2007</v>
      </c>
      <c r="B24" s="809">
        <f t="shared" ref="B24:G33" si="26">ROUND(INDEX(COST_Cls1,$A24-($A$24-1),MATCH(B$20,TECHOPTS_Cls1,0)),2)</f>
        <v>156000</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43685.866886693555</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43685.866886693555</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192962.15644896321</v>
      </c>
      <c r="T24" s="275">
        <f>$N24-O24+T$22</f>
        <v>-36316.299317944089</v>
      </c>
      <c r="U24" s="276">
        <f t="shared" ref="U24:X24" si="34">$N24-P24+U$22</f>
        <v>-36316.299317944089</v>
      </c>
      <c r="V24" s="276">
        <f t="shared" si="34"/>
        <v>-36316.299317944089</v>
      </c>
      <c r="W24" s="276">
        <f t="shared" si="34"/>
        <v>-36316.299317944089</v>
      </c>
      <c r="X24" s="278">
        <f t="shared" si="34"/>
        <v>-185592.58888021373</v>
      </c>
      <c r="Y24" s="279">
        <f ca="1">IF(AND(Y$22=TRUE,INDEX(CDRANGE_CLS1,MATCH($A24,$A$24:$A$67,0),MATCH(Y$20,$B$20:$G$20,0))&lt;$D$6/OPDAYS_Cls1),86,payback(C24,T24,disc_rate/12,85))</f>
        <v>86</v>
      </c>
      <c r="Z24" s="280">
        <f ca="1">IF(AND(Z$22=TRUE,INDEX(CDRANGE_CLS1,MATCH($A24,$A$24:$A$67,0),MATCH(Z$20,$B$20:$G$20,0))&lt;$D$6/OPDAYS_Cls1),86,payback(D24,U24,disc_rate/12,85))</f>
        <v>86</v>
      </c>
      <c r="AA24" s="280">
        <f ca="1">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1141">
        <f t="shared" ref="AI24:AI67" si="40">IF($A24&lt;AI$23,0,AI$21+VLOOKUP($A24-AI$23,SCdata,2,1)*(AI$22-AI$21))*IF($D$5="Non-Central",INDEX(fuel_avail,$A24-$A$24+1,MATCH(O$21,Fuels,0)),1)</f>
        <v>0</v>
      </c>
      <c r="AJ24" s="1142">
        <f t="shared" ref="AJ24:AJ67" si="41">IF($A24&lt;AJ$23,0,AJ$21+VLOOKUP($A24-AJ$23,SCdata,2,1)*(AJ$22-AJ$21))*IF($D$5="Non-Central",INDEX(fuel_avail,$A24-$A$24+1,MATCH(P$21,Fuels,0)),1)</f>
        <v>0</v>
      </c>
      <c r="AK24" s="1142">
        <f t="shared" ref="AK24:AK67" si="42">IF($A24&lt;AK$23,0,AK$21+VLOOKUP($A24-AK$23,SCdata,2,1)*(AK$22-AK$21))*IF($D$5="Non-Central",INDEX(fuel_avail,$A24-$A$24+1,MATCH(Q$21,Fuels,0)),1)</f>
        <v>0</v>
      </c>
      <c r="AL24" s="1142">
        <f t="shared" ref="AL24:AL67" si="43">IF($A24&lt;AL$23,0,AL$21+VLOOKUP($A24-AL$23,SCdata,2,1)*(AL$22-AL$21))*IF($D$5="Non-Central",INDEX(fuel_avail,$A24-$A$24+1,MATCH(R$21,Fuels,0)),1)</f>
        <v>0</v>
      </c>
      <c r="AM24" s="1143">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MIN(1,MAX(AD24,IF(Y24&gt;85,0,(AI24/0.5)*VLOOKUP(Y24,AdoptDec,$AU$18,0))))</f>
        <v>0</v>
      </c>
      <c r="AT24" s="283">
        <f t="shared" ref="AT24:AT67" ca="1" si="47">MIN(1,MAX(AE24,IF(Z24&gt;85,0,(AJ24/0.5)*VLOOKUP(Z24,AdoptDec,$AU$18,0))))</f>
        <v>0</v>
      </c>
      <c r="AU24" s="806">
        <f t="shared" ref="AU24:AU67" ca="1" si="48">MIN(1,MAX(AF24,IF(AA24&gt;85,0,(AK24/0.5)*VLOOKUP(AA24,AdoptDec,$AU$18,0))))</f>
        <v>0</v>
      </c>
      <c r="AV24" s="806">
        <f t="shared" ref="AV24:AV67" ca="1" si="49">MIN(1,MAX(AG24,IF(AB24&gt;85,0,(AL24/0.5)*VLOOKUP(AB24,AdoptDec,$AU$18,0))))</f>
        <v>0</v>
      </c>
      <c r="AW24" s="807">
        <f t="shared" ref="AW24:AW67" ca="1" si="50">MIN(1,MAX(AH24,IF(AC24&gt;85,0,(AM24/0.5)*VLOOKUP(AC24,AdoptDec,$AU$18,0))))</f>
        <v>0</v>
      </c>
      <c r="AX24" s="756">
        <f t="shared" ref="AX24:AX67" ca="1" si="51">MIN(AS24*AN24,1)</f>
        <v>0</v>
      </c>
      <c r="AY24" s="283">
        <f t="shared" ref="AY24:AY67" ca="1" si="52">MIN(AT24*AO24,1)</f>
        <v>0</v>
      </c>
      <c r="AZ24" s="283">
        <f t="shared" ref="AZ24:AZ67" ca="1"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156000</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59795.670680233598</v>
      </c>
      <c r="R25" s="276">
        <f t="shared" si="32"/>
        <v>59795.670680233598</v>
      </c>
      <c r="S25" s="278">
        <f t="shared" si="33"/>
        <v>192962.15644896321</v>
      </c>
      <c r="T25" s="289">
        <f t="shared" ref="T25:T67" si="61">$N25-O25+T$22</f>
        <v>-49708.467042049699</v>
      </c>
      <c r="U25" s="290">
        <f t="shared" ref="U25:U67" si="62">$N25-P25+U$22</f>
        <v>-49708.467042049699</v>
      </c>
      <c r="V25" s="290">
        <f t="shared" ref="V25:V67" si="63">$N25-Q25+V$22</f>
        <v>-49708.467042049699</v>
      </c>
      <c r="W25" s="290">
        <f t="shared" ref="W25:W67" si="64">$N25-R25+W$22</f>
        <v>-49708.467042049699</v>
      </c>
      <c r="X25" s="292">
        <f t="shared" ref="X25:X67" si="65">$N25-S25+X$22</f>
        <v>-182874.9528107793</v>
      </c>
      <c r="Y25" s="293">
        <f ca="1">IF(AND(Y$22=TRUE,INDEX(CDRANGE_CLS1,MATCH($A25,$A$24:$A$67,0),MATCH(Y$20,$B$20:$G$20,0))&lt;$D$6/OPDAYS_Cls1),86,payback(C25,T25,disc_rate/12,85))</f>
        <v>86</v>
      </c>
      <c r="Z25" s="294">
        <f ca="1">IF(AND(Z$22=TRUE,INDEX(CDRANGE_CLS1,MATCH($A25,$A$24:$A$67,0),MATCH(Z$20,$B$20:$G$20,0))&lt;$D$6/OPDAYS_Cls1),86,payback(D25,U25,disc_rate/12,85))</f>
        <v>86</v>
      </c>
      <c r="AA25" s="294">
        <f ca="1">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4">
        <f t="shared" si="40"/>
        <v>0</v>
      </c>
      <c r="AJ25" s="1145">
        <f t="shared" si="41"/>
        <v>0</v>
      </c>
      <c r="AK25" s="1145">
        <f t="shared" si="42"/>
        <v>0</v>
      </c>
      <c r="AL25" s="1145">
        <f t="shared" si="43"/>
        <v>0</v>
      </c>
      <c r="AM25" s="1146">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ca="1" si="48"/>
        <v>0</v>
      </c>
      <c r="AV25" s="297">
        <f t="shared" ca="1" si="49"/>
        <v>0</v>
      </c>
      <c r="AW25" s="298">
        <f t="shared" ca="1" si="50"/>
        <v>0</v>
      </c>
      <c r="AX25" s="757">
        <f t="shared" ca="1" si="51"/>
        <v>0</v>
      </c>
      <c r="AY25" s="297">
        <f t="shared" ca="1" si="52"/>
        <v>0</v>
      </c>
      <c r="AZ25" s="297">
        <f t="shared" ca="1"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156000</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38649.549005981295</v>
      </c>
      <c r="R26" s="276">
        <f t="shared" si="32"/>
        <v>38649.549005981295</v>
      </c>
      <c r="S26" s="278">
        <f t="shared" si="33"/>
        <v>192962.15644896321</v>
      </c>
      <c r="T26" s="289">
        <f t="shared" si="61"/>
        <v>-32129.5808057387</v>
      </c>
      <c r="U26" s="290">
        <f t="shared" si="62"/>
        <v>-32129.5808057387</v>
      </c>
      <c r="V26" s="290">
        <f t="shared" si="63"/>
        <v>-32129.5808057387</v>
      </c>
      <c r="W26" s="290">
        <f t="shared" si="64"/>
        <v>-32129.5808057387</v>
      </c>
      <c r="X26" s="292">
        <f t="shared" si="65"/>
        <v>-186442.18824872063</v>
      </c>
      <c r="Y26" s="293">
        <f ca="1">IF(AND(Y$22=TRUE,INDEX(CDRANGE_CLS1,MATCH($A26,$A$24:$A$67,0),MATCH(Y$20,$B$20:$G$20,0))&lt;$D$6/OPDAYS_Cls1),86,payback(C26,T26,disc_rate/12,85))</f>
        <v>86</v>
      </c>
      <c r="Z26" s="294">
        <f ca="1">IF(AND(Z$22=TRUE,INDEX(CDRANGE_CLS1,MATCH($A26,$A$24:$A$67,0),MATCH(Z$20,$B$20:$G$20,0))&lt;$D$6/OPDAYS_Cls1),86,payback(D26,U26,disc_rate/12,85))</f>
        <v>86</v>
      </c>
      <c r="AA26" s="294">
        <f ca="1">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4">
        <f t="shared" si="40"/>
        <v>0</v>
      </c>
      <c r="AJ26" s="1145">
        <f t="shared" si="41"/>
        <v>0</v>
      </c>
      <c r="AK26" s="1145">
        <f t="shared" si="42"/>
        <v>0</v>
      </c>
      <c r="AL26" s="1145">
        <f t="shared" si="43"/>
        <v>0</v>
      </c>
      <c r="AM26" s="1146">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ca="1" si="48"/>
        <v>0</v>
      </c>
      <c r="AV26" s="297">
        <f t="shared" ca="1" si="49"/>
        <v>0</v>
      </c>
      <c r="AW26" s="298">
        <f t="shared" ca="1" si="50"/>
        <v>0</v>
      </c>
      <c r="AX26" s="757">
        <f t="shared" ca="1" si="51"/>
        <v>0</v>
      </c>
      <c r="AY26" s="297">
        <f t="shared" ca="1" si="52"/>
        <v>0</v>
      </c>
      <c r="AZ26" s="297">
        <f t="shared" ca="1"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3.5" thickBot="1" x14ac:dyDescent="0.25">
      <c r="A27" s="618">
        <v>2010</v>
      </c>
      <c r="B27" s="814">
        <f t="shared" si="26"/>
        <v>156000</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8038.1246092560496</v>
      </c>
      <c r="O27" s="776">
        <f t="shared" si="29"/>
        <v>47646.016403140064</v>
      </c>
      <c r="P27" s="776">
        <f t="shared" si="30"/>
        <v>47646.016403140064</v>
      </c>
      <c r="Q27" s="776">
        <f t="shared" si="31"/>
        <v>47646.016403140064</v>
      </c>
      <c r="R27" s="776">
        <f t="shared" si="32"/>
        <v>47646.016403140064</v>
      </c>
      <c r="S27" s="777">
        <f t="shared" si="33"/>
        <v>192962.15644896321</v>
      </c>
      <c r="T27" s="303">
        <f t="shared" si="61"/>
        <v>-39607.891793884017</v>
      </c>
      <c r="U27" s="304">
        <f t="shared" si="62"/>
        <v>-39607.891793884017</v>
      </c>
      <c r="V27" s="304">
        <f t="shared" si="63"/>
        <v>-39607.891793884017</v>
      </c>
      <c r="W27" s="304">
        <f t="shared" si="64"/>
        <v>-39607.891793884017</v>
      </c>
      <c r="X27" s="306">
        <f t="shared" si="65"/>
        <v>-184924.03183970717</v>
      </c>
      <c r="Y27" s="307">
        <f ca="1">IF(AND(Y$22=TRUE,INDEX(CDRANGE_CLS1,MATCH($A27,$A$24:$A$67,0),MATCH(Y$20,$B$20:$G$20,0))&lt;$D$6/OPDAYS_Cls1),86,payback(C27,T27,disc_rate/12,85))</f>
        <v>86</v>
      </c>
      <c r="Z27" s="308">
        <f ca="1">IF(AND(Z$22=TRUE,INDEX(CDRANGE_CLS1,MATCH($A27,$A$24:$A$67,0),MATCH(Z$20,$B$20:$G$20,0))&lt;$D$6/OPDAYS_Cls1),86,payback(D27,U27,disc_rate/12,85))</f>
        <v>86</v>
      </c>
      <c r="AA27" s="308">
        <f ca="1">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7">
        <f t="shared" si="40"/>
        <v>0</v>
      </c>
      <c r="AJ27" s="1148">
        <f t="shared" si="41"/>
        <v>0</v>
      </c>
      <c r="AK27" s="1148">
        <f t="shared" si="42"/>
        <v>0</v>
      </c>
      <c r="AL27" s="1148">
        <f t="shared" si="43"/>
        <v>0</v>
      </c>
      <c r="AM27" s="1149">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ca="1" si="48"/>
        <v>0</v>
      </c>
      <c r="AV27" s="311">
        <f t="shared" ca="1" si="49"/>
        <v>0</v>
      </c>
      <c r="AW27" s="312">
        <f t="shared" ca="1" si="50"/>
        <v>0</v>
      </c>
      <c r="AX27" s="758">
        <f t="shared" ca="1" si="51"/>
        <v>0</v>
      </c>
      <c r="AY27" s="625">
        <f t="shared" ca="1" si="52"/>
        <v>0</v>
      </c>
      <c r="AZ27" s="625">
        <f t="shared" ca="1"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156000</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10434.65052906408</v>
      </c>
      <c r="O28" s="632">
        <f t="shared" si="29"/>
        <v>63075.865131559083</v>
      </c>
      <c r="P28" s="632">
        <f t="shared" si="30"/>
        <v>63075.865131559083</v>
      </c>
      <c r="Q28" s="632">
        <f t="shared" si="31"/>
        <v>63075.865131559083</v>
      </c>
      <c r="R28" s="632">
        <f t="shared" si="32"/>
        <v>63075.865131559083</v>
      </c>
      <c r="S28" s="745">
        <f t="shared" si="33"/>
        <v>192962.15644896321</v>
      </c>
      <c r="T28" s="736">
        <f t="shared" si="61"/>
        <v>-52641.214602495005</v>
      </c>
      <c r="U28" s="632">
        <f t="shared" si="62"/>
        <v>-52641.214602495005</v>
      </c>
      <c r="V28" s="632">
        <f t="shared" si="63"/>
        <v>-52641.214602495005</v>
      </c>
      <c r="W28" s="632">
        <f t="shared" si="64"/>
        <v>-52641.214602495005</v>
      </c>
      <c r="X28" s="633">
        <f t="shared" si="65"/>
        <v>-182527.50591989912</v>
      </c>
      <c r="Y28" s="634">
        <f ca="1">IF(AND(Y$22=TRUE,INDEX(CDRANGE_CLS1,MATCH($A28,$A$24:$A$67,0),MATCH(Y$20,$B$20:$G$20,0))&lt;$D$6/OPDAYS_Cls1),86,payback(C28,T28,disc_rate/12,85))</f>
        <v>86</v>
      </c>
      <c r="Z28" s="635">
        <f ca="1">IF(AND(Z$22=TRUE,INDEX(CDRANGE_CLS1,MATCH($A28,$A$24:$A$67,0),MATCH(Z$20,$B$20:$G$20,0))&lt;$D$6/OPDAYS_Cls1),86,payback(D28,U28,disc_rate/12,85))</f>
        <v>86</v>
      </c>
      <c r="AA28" s="635">
        <f ca="1">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50">
        <f t="shared" si="40"/>
        <v>0</v>
      </c>
      <c r="AJ28" s="1151">
        <f t="shared" si="41"/>
        <v>0</v>
      </c>
      <c r="AK28" s="1151">
        <f t="shared" si="42"/>
        <v>0</v>
      </c>
      <c r="AL28" s="1151">
        <f t="shared" si="43"/>
        <v>0</v>
      </c>
      <c r="AM28" s="1152">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ca="1" si="48"/>
        <v>0</v>
      </c>
      <c r="AV28" s="638">
        <f t="shared" ca="1" si="49"/>
        <v>0</v>
      </c>
      <c r="AW28" s="639">
        <f t="shared" ca="1" si="50"/>
        <v>0</v>
      </c>
      <c r="AX28" s="637">
        <f t="shared" ca="1" si="51"/>
        <v>0</v>
      </c>
      <c r="AY28" s="638">
        <f t="shared" ca="1" si="52"/>
        <v>0</v>
      </c>
      <c r="AZ28" s="638">
        <f t="shared" ca="1"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156000</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10918.472825519802</v>
      </c>
      <c r="O29" s="276">
        <f t="shared" si="29"/>
        <v>66527.610335728168</v>
      </c>
      <c r="P29" s="276">
        <f t="shared" si="30"/>
        <v>66527.610335728168</v>
      </c>
      <c r="Q29" s="276">
        <f t="shared" si="31"/>
        <v>66527.610335728168</v>
      </c>
      <c r="R29" s="276">
        <f t="shared" si="32"/>
        <v>66527.610335728168</v>
      </c>
      <c r="S29" s="278">
        <f t="shared" si="33"/>
        <v>192962.15644896321</v>
      </c>
      <c r="T29" s="734">
        <f t="shared" si="61"/>
        <v>-55609.137510208369</v>
      </c>
      <c r="U29" s="290">
        <f t="shared" si="62"/>
        <v>-55609.137510208369</v>
      </c>
      <c r="V29" s="290">
        <f t="shared" si="63"/>
        <v>-55609.137510208369</v>
      </c>
      <c r="W29" s="290">
        <f t="shared" si="64"/>
        <v>-55609.137510208369</v>
      </c>
      <c r="X29" s="291">
        <f t="shared" si="65"/>
        <v>-182043.68362344342</v>
      </c>
      <c r="Y29" s="293">
        <f ca="1">IF(AND(Y$22=TRUE,INDEX(CDRANGE_CLS1,MATCH($A29,$A$24:$A$67,0),MATCH(Y$20,$B$20:$G$20,0))&lt;$D$6/OPDAYS_Cls1),86,payback(C29,T29,disc_rate/12,85))</f>
        <v>86</v>
      </c>
      <c r="Z29" s="294">
        <f ca="1">IF(AND(Z$22=TRUE,INDEX(CDRANGE_CLS1,MATCH($A29,$A$24:$A$67,0),MATCH(Z$20,$B$20:$G$20,0))&lt;$D$6/OPDAYS_Cls1),86,payback(D29,U29,disc_rate/12,85))</f>
        <v>86</v>
      </c>
      <c r="AA29" s="294">
        <f ca="1">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4">
        <f t="shared" si="40"/>
        <v>0</v>
      </c>
      <c r="AJ29" s="1145">
        <f t="shared" si="41"/>
        <v>0</v>
      </c>
      <c r="AK29" s="1145">
        <f t="shared" si="42"/>
        <v>0</v>
      </c>
      <c r="AL29" s="1145">
        <f t="shared" si="43"/>
        <v>0</v>
      </c>
      <c r="AM29" s="1153">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ca="1" si="48"/>
        <v>0</v>
      </c>
      <c r="AV29" s="297">
        <f t="shared" ca="1" si="49"/>
        <v>0</v>
      </c>
      <c r="AW29" s="298">
        <f t="shared" ca="1" si="50"/>
        <v>0</v>
      </c>
      <c r="AX29" s="296">
        <f t="shared" ca="1" si="51"/>
        <v>0</v>
      </c>
      <c r="AY29" s="297">
        <f t="shared" ca="1" si="52"/>
        <v>0</v>
      </c>
      <c r="AZ29" s="297">
        <f t="shared" ca="1"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156000</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10746.490719971036</v>
      </c>
      <c r="O30" s="276">
        <f t="shared" si="29"/>
        <v>66723.214973263486</v>
      </c>
      <c r="P30" s="276">
        <f t="shared" si="30"/>
        <v>66723.214973263486</v>
      </c>
      <c r="Q30" s="276">
        <f t="shared" si="31"/>
        <v>66723.214973263486</v>
      </c>
      <c r="R30" s="276">
        <f t="shared" si="32"/>
        <v>66723.214973263486</v>
      </c>
      <c r="S30" s="278">
        <f t="shared" si="33"/>
        <v>192962.15644896321</v>
      </c>
      <c r="T30" s="734">
        <f t="shared" si="61"/>
        <v>-55976.72425329245</v>
      </c>
      <c r="U30" s="290">
        <f t="shared" si="62"/>
        <v>-55976.72425329245</v>
      </c>
      <c r="V30" s="290">
        <f t="shared" si="63"/>
        <v>-55976.72425329245</v>
      </c>
      <c r="W30" s="290">
        <f t="shared" si="64"/>
        <v>-55976.72425329245</v>
      </c>
      <c r="X30" s="291">
        <f t="shared" si="65"/>
        <v>-182215.66572899217</v>
      </c>
      <c r="Y30" s="293">
        <f ca="1">IF(AND(Y$22=TRUE,INDEX(CDRANGE_CLS1,MATCH($A30,$A$24:$A$67,0),MATCH(Y$20,$B$20:$G$20,0))&lt;$D$6/OPDAYS_Cls1),86,payback(C30,T30,disc_rate/12,85))</f>
        <v>86</v>
      </c>
      <c r="Z30" s="294">
        <f ca="1">IF(AND(Z$22=TRUE,INDEX(CDRANGE_CLS1,MATCH($A30,$A$24:$A$67,0),MATCH(Z$20,$B$20:$G$20,0))&lt;$D$6/OPDAYS_Cls1),86,payback(D30,U30,disc_rate/12,85))</f>
        <v>86</v>
      </c>
      <c r="AA30" s="294">
        <f ca="1">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4">
        <f t="shared" si="40"/>
        <v>0</v>
      </c>
      <c r="AJ30" s="1145">
        <f t="shared" si="41"/>
        <v>0</v>
      </c>
      <c r="AK30" s="1145">
        <f t="shared" si="42"/>
        <v>0</v>
      </c>
      <c r="AL30" s="1145">
        <f t="shared" si="43"/>
        <v>0</v>
      </c>
      <c r="AM30" s="1153">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ca="1" si="48"/>
        <v>0</v>
      </c>
      <c r="AV30" s="297">
        <f t="shared" ca="1" si="49"/>
        <v>0</v>
      </c>
      <c r="AW30" s="298">
        <f t="shared" ca="1" si="50"/>
        <v>0</v>
      </c>
      <c r="AX30" s="296">
        <f t="shared" ca="1" si="51"/>
        <v>0</v>
      </c>
      <c r="AY30" s="297">
        <f t="shared" ca="1" si="52"/>
        <v>0</v>
      </c>
      <c r="AZ30" s="297">
        <f t="shared" ca="1"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156000</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10408.498447444223</v>
      </c>
      <c r="O31" s="276">
        <f t="shared" si="29"/>
        <v>66124.310363758137</v>
      </c>
      <c r="P31" s="276">
        <f t="shared" si="30"/>
        <v>66124.310363758137</v>
      </c>
      <c r="Q31" s="276">
        <f t="shared" si="31"/>
        <v>66124.310363758137</v>
      </c>
      <c r="R31" s="276">
        <f t="shared" si="32"/>
        <v>66124.310363758137</v>
      </c>
      <c r="S31" s="278">
        <f t="shared" si="33"/>
        <v>192962.15644896321</v>
      </c>
      <c r="T31" s="734">
        <f t="shared" si="61"/>
        <v>-55715.811916313913</v>
      </c>
      <c r="U31" s="290">
        <f t="shared" si="62"/>
        <v>-55715.811916313913</v>
      </c>
      <c r="V31" s="290">
        <f t="shared" si="63"/>
        <v>-55715.811916313913</v>
      </c>
      <c r="W31" s="290">
        <f t="shared" si="64"/>
        <v>-55715.811916313913</v>
      </c>
      <c r="X31" s="291">
        <f t="shared" si="65"/>
        <v>-182553.65800151898</v>
      </c>
      <c r="Y31" s="293">
        <f ca="1">IF(AND(Y$22=TRUE,INDEX(CDRANGE_CLS1,MATCH($A31,$A$24:$A$67,0),MATCH(Y$20,$B$20:$G$20,0))&lt;$D$6/OPDAYS_Cls1),86,payback(C31,T31,disc_rate/12,85))</f>
        <v>86</v>
      </c>
      <c r="Z31" s="294">
        <f ca="1">IF(AND(Z$22=TRUE,INDEX(CDRANGE_CLS1,MATCH($A31,$A$24:$A$67,0),MATCH(Z$20,$B$20:$G$20,0))&lt;$D$6/OPDAYS_Cls1),86,payback(D31,U31,disc_rate/12,85))</f>
        <v>86</v>
      </c>
      <c r="AA31" s="294">
        <f ca="1">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4">
        <f t="shared" si="40"/>
        <v>0</v>
      </c>
      <c r="AJ31" s="1145">
        <f t="shared" si="41"/>
        <v>0</v>
      </c>
      <c r="AK31" s="1145">
        <f t="shared" si="42"/>
        <v>0</v>
      </c>
      <c r="AL31" s="1145">
        <f t="shared" si="43"/>
        <v>0</v>
      </c>
      <c r="AM31" s="1153">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ca="1" si="48"/>
        <v>0</v>
      </c>
      <c r="AV31" s="297">
        <f t="shared" ca="1" si="49"/>
        <v>0</v>
      </c>
      <c r="AW31" s="298">
        <f t="shared" ca="1" si="50"/>
        <v>0</v>
      </c>
      <c r="AX31" s="296">
        <f t="shared" ca="1" si="51"/>
        <v>0</v>
      </c>
      <c r="AY31" s="297">
        <f t="shared" ca="1" si="52"/>
        <v>0</v>
      </c>
      <c r="AZ31" s="297">
        <f t="shared" ca="1"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3.5" thickBot="1" x14ac:dyDescent="0.25">
      <c r="A32" s="302">
        <v>2015</v>
      </c>
      <c r="B32" s="823">
        <f t="shared" si="26"/>
        <v>156000</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7138.1256560714073</v>
      </c>
      <c r="O32" s="779">
        <f t="shared" si="29"/>
        <v>46858.358645460277</v>
      </c>
      <c r="P32" s="779">
        <f t="shared" si="30"/>
        <v>46858.358645460277</v>
      </c>
      <c r="Q32" s="779">
        <f t="shared" si="31"/>
        <v>46858.358645460277</v>
      </c>
      <c r="R32" s="779">
        <f t="shared" si="32"/>
        <v>46858.358645460277</v>
      </c>
      <c r="S32" s="780">
        <f t="shared" si="33"/>
        <v>278334.69894889405</v>
      </c>
      <c r="T32" s="737">
        <f t="shared" si="61"/>
        <v>-39720.232989388867</v>
      </c>
      <c r="U32" s="304">
        <f t="shared" si="62"/>
        <v>-39720.232989388867</v>
      </c>
      <c r="V32" s="304">
        <f t="shared" si="63"/>
        <v>-39720.232989388867</v>
      </c>
      <c r="W32" s="304">
        <f t="shared" si="64"/>
        <v>-39720.232989388867</v>
      </c>
      <c r="X32" s="305">
        <f t="shared" si="65"/>
        <v>-271196.57329282264</v>
      </c>
      <c r="Y32" s="307">
        <f ca="1">IF(AND(Y$22=TRUE,INDEX(CDRANGE_CLS1,MATCH($A32,$A$24:$A$67,0),MATCH(Y$20,$B$20:$G$20,0))&lt;$D$6/OPDAYS_Cls1),86,payback(C32,T32,disc_rate/12,85))</f>
        <v>86</v>
      </c>
      <c r="Z32" s="308">
        <f ca="1">IF(AND(Z$22=TRUE,INDEX(CDRANGE_CLS1,MATCH($A32,$A$24:$A$67,0),MATCH(Z$20,$B$20:$G$20,0))&lt;$D$6/OPDAYS_Cls1),86,payback(D32,U32,disc_rate/12,85))</f>
        <v>86</v>
      </c>
      <c r="AA32" s="308">
        <f ca="1">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7">
        <f t="shared" si="40"/>
        <v>0</v>
      </c>
      <c r="AJ32" s="1148">
        <f t="shared" si="41"/>
        <v>0</v>
      </c>
      <c r="AK32" s="1148">
        <f t="shared" si="42"/>
        <v>0</v>
      </c>
      <c r="AL32" s="1148">
        <f t="shared" si="43"/>
        <v>0</v>
      </c>
      <c r="AM32" s="1154">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ca="1" si="48"/>
        <v>0</v>
      </c>
      <c r="AV32" s="311">
        <f t="shared" ca="1" si="49"/>
        <v>0</v>
      </c>
      <c r="AW32" s="312">
        <f t="shared" ca="1" si="50"/>
        <v>0</v>
      </c>
      <c r="AX32" s="310">
        <f t="shared" ca="1" si="51"/>
        <v>0</v>
      </c>
      <c r="AY32" s="311">
        <f t="shared" ca="1" si="52"/>
        <v>0</v>
      </c>
      <c r="AZ32" s="311">
        <f t="shared" ca="1"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156000</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5975.5700574275379</v>
      </c>
      <c r="O33" s="276">
        <f t="shared" si="29"/>
        <v>40385.092465463989</v>
      </c>
      <c r="P33" s="276">
        <f t="shared" si="30"/>
        <v>40385.092465463989</v>
      </c>
      <c r="Q33" s="276">
        <f t="shared" si="31"/>
        <v>40385.092465463989</v>
      </c>
      <c r="R33" s="276">
        <f t="shared" si="32"/>
        <v>40385.092465463989</v>
      </c>
      <c r="S33" s="278">
        <f t="shared" si="33"/>
        <v>278334.69894889405</v>
      </c>
      <c r="T33" s="733">
        <f t="shared" si="61"/>
        <v>-34409.52240803645</v>
      </c>
      <c r="U33" s="276">
        <f t="shared" si="62"/>
        <v>-34409.52240803645</v>
      </c>
      <c r="V33" s="276">
        <f t="shared" si="63"/>
        <v>-34409.52240803645</v>
      </c>
      <c r="W33" s="276">
        <f t="shared" si="64"/>
        <v>-34409.52240803645</v>
      </c>
      <c r="X33" s="277">
        <f t="shared" si="65"/>
        <v>-272359.12889146653</v>
      </c>
      <c r="Y33" s="279">
        <f ca="1">IF(AND(Y$22=TRUE,INDEX(CDRANGE_CLS1,MATCH($A33,$A$24:$A$67,0),MATCH(Y$20,$B$20:$G$20,0))&lt;$D$6/OPDAYS_Cls1),86,payback(C33,T33,disc_rate/12,85))</f>
        <v>86</v>
      </c>
      <c r="Z33" s="280">
        <f ca="1">IF(AND(Z$22=TRUE,INDEX(CDRANGE_CLS1,MATCH($A33,$A$24:$A$67,0),MATCH(Z$20,$B$20:$G$20,0))&lt;$D$6/OPDAYS_Cls1),86,payback(D33,U33,disc_rate/12,85))</f>
        <v>86</v>
      </c>
      <c r="AA33" s="280">
        <f ca="1">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1">
        <f t="shared" si="40"/>
        <v>0</v>
      </c>
      <c r="AJ33" s="1142">
        <f t="shared" si="41"/>
        <v>0</v>
      </c>
      <c r="AK33" s="1142">
        <f t="shared" si="42"/>
        <v>0</v>
      </c>
      <c r="AL33" s="1142">
        <f t="shared" si="43"/>
        <v>0</v>
      </c>
      <c r="AM33" s="1155">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ca="1" si="48"/>
        <v>0</v>
      </c>
      <c r="AV33" s="283">
        <f t="shared" ca="1" si="49"/>
        <v>0</v>
      </c>
      <c r="AW33" s="284">
        <f t="shared" ca="1" si="50"/>
        <v>0</v>
      </c>
      <c r="AX33" s="282">
        <f t="shared" ca="1" si="51"/>
        <v>0</v>
      </c>
      <c r="AY33" s="283">
        <f t="shared" ca="1" si="52"/>
        <v>0</v>
      </c>
      <c r="AZ33" s="283">
        <f t="shared" ca="1"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156000</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6798.3976949070693</v>
      </c>
      <c r="O34" s="276">
        <f t="shared" si="29"/>
        <v>47441.038429456799</v>
      </c>
      <c r="P34" s="276">
        <f t="shared" si="30"/>
        <v>47441.038429456799</v>
      </c>
      <c r="Q34" s="276">
        <f t="shared" si="31"/>
        <v>47441.038429456799</v>
      </c>
      <c r="R34" s="276">
        <f t="shared" si="32"/>
        <v>47441.038429456799</v>
      </c>
      <c r="S34" s="278">
        <f t="shared" si="33"/>
        <v>278334.69894889405</v>
      </c>
      <c r="T34" s="734">
        <f t="shared" si="61"/>
        <v>-40642.640734549728</v>
      </c>
      <c r="U34" s="290">
        <f t="shared" si="62"/>
        <v>-40642.640734549728</v>
      </c>
      <c r="V34" s="290">
        <f t="shared" si="63"/>
        <v>-40642.640734549728</v>
      </c>
      <c r="W34" s="290">
        <f t="shared" si="64"/>
        <v>-40642.640734549728</v>
      </c>
      <c r="X34" s="291">
        <f t="shared" si="65"/>
        <v>-271536.30125398695</v>
      </c>
      <c r="Y34" s="293">
        <f ca="1">IF(AND(Y$22=TRUE,INDEX(CDRANGE_CLS1,MATCH($A34,$A$24:$A$67,0),MATCH(Y$20,$B$20:$G$20,0))&lt;$D$6/OPDAYS_Cls1),86,payback(C34,T34,disc_rate/12,85))</f>
        <v>86</v>
      </c>
      <c r="Z34" s="294">
        <f ca="1">IF(AND(Z$22=TRUE,INDEX(CDRANGE_CLS1,MATCH($A34,$A$24:$A$67,0),MATCH(Z$20,$B$20:$G$20,0))&lt;$D$6/OPDAYS_Cls1),86,payback(D34,U34,disc_rate/12,85))</f>
        <v>86</v>
      </c>
      <c r="AA34" s="294">
        <f ca="1">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4">
        <f t="shared" si="40"/>
        <v>0</v>
      </c>
      <c r="AJ34" s="1145">
        <f t="shared" si="41"/>
        <v>0</v>
      </c>
      <c r="AK34" s="1145">
        <f t="shared" si="42"/>
        <v>0</v>
      </c>
      <c r="AL34" s="1145">
        <f t="shared" si="43"/>
        <v>0</v>
      </c>
      <c r="AM34" s="1153">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ca="1" si="48"/>
        <v>0</v>
      </c>
      <c r="AV34" s="297">
        <f t="shared" ca="1" si="49"/>
        <v>0</v>
      </c>
      <c r="AW34" s="298">
        <f t="shared" ca="1" si="50"/>
        <v>0</v>
      </c>
      <c r="AX34" s="296">
        <f t="shared" ca="1" si="51"/>
        <v>0</v>
      </c>
      <c r="AY34" s="297">
        <f t="shared" ca="1" si="52"/>
        <v>0</v>
      </c>
      <c r="AZ34" s="297">
        <f t="shared" ca="1"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156000</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8115.534194184338</v>
      </c>
      <c r="O35" s="276">
        <f t="shared" si="29"/>
        <v>58280.207939799562</v>
      </c>
      <c r="P35" s="276">
        <f t="shared" si="30"/>
        <v>58280.207939799562</v>
      </c>
      <c r="Q35" s="276">
        <f t="shared" si="31"/>
        <v>58280.207939799562</v>
      </c>
      <c r="R35" s="276">
        <f t="shared" si="32"/>
        <v>58280.207939799562</v>
      </c>
      <c r="S35" s="278">
        <f t="shared" si="33"/>
        <v>278334.69894889405</v>
      </c>
      <c r="T35" s="734">
        <f t="shared" si="61"/>
        <v>-50164.673745615226</v>
      </c>
      <c r="U35" s="290">
        <f t="shared" si="62"/>
        <v>-50164.673745615226</v>
      </c>
      <c r="V35" s="290">
        <f t="shared" si="63"/>
        <v>-50164.673745615226</v>
      </c>
      <c r="W35" s="290">
        <f t="shared" si="64"/>
        <v>-50164.673745615226</v>
      </c>
      <c r="X35" s="291">
        <f t="shared" si="65"/>
        <v>-270219.16475470969</v>
      </c>
      <c r="Y35" s="293">
        <f ca="1">IF(AND(Y$22=TRUE,INDEX(CDRANGE_CLS1,MATCH($A35,$A$24:$A$67,0),MATCH(Y$20,$B$20:$G$20,0))&lt;$D$6/OPDAYS_Cls1),86,payback(C35,T35,disc_rate/12,85))</f>
        <v>86</v>
      </c>
      <c r="Z35" s="294">
        <f ca="1">IF(AND(Z$22=TRUE,INDEX(CDRANGE_CLS1,MATCH($A35,$A$24:$A$67,0),MATCH(Z$20,$B$20:$G$20,0))&lt;$D$6/OPDAYS_Cls1),86,payback(D35,U35,disc_rate/12,85))</f>
        <v>86</v>
      </c>
      <c r="AA35" s="294">
        <f ca="1">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4">
        <f t="shared" si="40"/>
        <v>0</v>
      </c>
      <c r="AJ35" s="1145">
        <f t="shared" si="41"/>
        <v>0</v>
      </c>
      <c r="AK35" s="1145">
        <f t="shared" si="42"/>
        <v>0</v>
      </c>
      <c r="AL35" s="1145">
        <f t="shared" si="43"/>
        <v>0</v>
      </c>
      <c r="AM35" s="1153">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ca="1" si="48"/>
        <v>0</v>
      </c>
      <c r="AV35" s="297">
        <f t="shared" ca="1" si="49"/>
        <v>0</v>
      </c>
      <c r="AW35" s="298">
        <f t="shared" ca="1" si="50"/>
        <v>0</v>
      </c>
      <c r="AX35" s="296">
        <f t="shared" ca="1" si="51"/>
        <v>0</v>
      </c>
      <c r="AY35" s="297">
        <f t="shared" ca="1" si="52"/>
        <v>0</v>
      </c>
      <c r="AZ35" s="297">
        <f t="shared" ca="1"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156000</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7922.5323319688378</v>
      </c>
      <c r="O36" s="276">
        <f t="shared" si="29"/>
        <v>57257.038372427814</v>
      </c>
      <c r="P36" s="276">
        <f t="shared" si="30"/>
        <v>57257.038372427814</v>
      </c>
      <c r="Q36" s="276">
        <f t="shared" si="31"/>
        <v>57257.038372427814</v>
      </c>
      <c r="R36" s="276">
        <f t="shared" si="32"/>
        <v>57257.038372427814</v>
      </c>
      <c r="S36" s="278">
        <f t="shared" si="33"/>
        <v>278334.69894889405</v>
      </c>
      <c r="T36" s="734">
        <f t="shared" si="61"/>
        <v>-49334.506040458975</v>
      </c>
      <c r="U36" s="290">
        <f t="shared" si="62"/>
        <v>-49334.506040458975</v>
      </c>
      <c r="V36" s="290">
        <f t="shared" si="63"/>
        <v>-49334.506040458975</v>
      </c>
      <c r="W36" s="290">
        <f t="shared" si="64"/>
        <v>-49334.506040458975</v>
      </c>
      <c r="X36" s="291">
        <f t="shared" si="65"/>
        <v>-270412.16661692521</v>
      </c>
      <c r="Y36" s="293">
        <f ca="1">IF(AND(Y$22=TRUE,INDEX(CDRANGE_CLS1,MATCH($A36,$A$24:$A$67,0),MATCH(Y$20,$B$20:$G$20,0))&lt;$D$6/OPDAYS_Cls1),86,payback(C36,T36,disc_rate/12,85))</f>
        <v>86</v>
      </c>
      <c r="Z36" s="294">
        <f ca="1">IF(AND(Z$22=TRUE,INDEX(CDRANGE_CLS1,MATCH($A36,$A$24:$A$67,0),MATCH(Z$20,$B$20:$G$20,0))&lt;$D$6/OPDAYS_Cls1),86,payback(D36,U36,disc_rate/12,85))</f>
        <v>86</v>
      </c>
      <c r="AA36" s="294">
        <f ca="1">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4">
        <f t="shared" si="40"/>
        <v>0</v>
      </c>
      <c r="AJ36" s="1145">
        <f t="shared" si="41"/>
        <v>0</v>
      </c>
      <c r="AK36" s="1145">
        <f t="shared" si="42"/>
        <v>0</v>
      </c>
      <c r="AL36" s="1145">
        <f t="shared" si="43"/>
        <v>0</v>
      </c>
      <c r="AM36" s="1153">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ca="1" si="48"/>
        <v>0</v>
      </c>
      <c r="AV36" s="297">
        <f t="shared" ca="1" si="49"/>
        <v>0</v>
      </c>
      <c r="AW36" s="298">
        <f t="shared" ca="1" si="50"/>
        <v>0</v>
      </c>
      <c r="AX36" s="296">
        <f t="shared" ca="1" si="51"/>
        <v>0</v>
      </c>
      <c r="AY36" s="297">
        <f t="shared" ca="1" si="52"/>
        <v>0</v>
      </c>
      <c r="AZ36" s="297">
        <f t="shared" ca="1"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3.5" thickBot="1" x14ac:dyDescent="0.25">
      <c r="A37" s="618">
        <v>2020</v>
      </c>
      <c r="B37" s="814">
        <f t="shared" si="74"/>
        <v>156000</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7582.3081453481063</v>
      </c>
      <c r="O37" s="776">
        <f t="shared" si="29"/>
        <v>55271.206650039851</v>
      </c>
      <c r="P37" s="776">
        <f t="shared" si="30"/>
        <v>55271.206650039851</v>
      </c>
      <c r="Q37" s="776">
        <f t="shared" si="31"/>
        <v>55271.206650039851</v>
      </c>
      <c r="R37" s="776">
        <f t="shared" si="32"/>
        <v>55271.206650039851</v>
      </c>
      <c r="S37" s="777">
        <f t="shared" si="33"/>
        <v>278334.69894889405</v>
      </c>
      <c r="T37" s="735">
        <f t="shared" si="61"/>
        <v>-47688.898504691744</v>
      </c>
      <c r="U37" s="619">
        <f t="shared" si="62"/>
        <v>-47688.898504691744</v>
      </c>
      <c r="V37" s="619">
        <f t="shared" si="63"/>
        <v>-47688.898504691744</v>
      </c>
      <c r="W37" s="619">
        <f t="shared" si="64"/>
        <v>-47688.898504691744</v>
      </c>
      <c r="X37" s="620">
        <f t="shared" si="65"/>
        <v>-270752.39080354595</v>
      </c>
      <c r="Y37" s="621">
        <f ca="1">IF(AND(Y$22=TRUE,INDEX(CDRANGE_CLS1,MATCH($A37,$A$24:$A$67,0),MATCH(Y$20,$B$20:$G$20,0))&lt;$D$6/OPDAYS_Cls1),86,payback(C37,T37,disc_rate/12,85))</f>
        <v>86</v>
      </c>
      <c r="Z37" s="622">
        <f ca="1">IF(AND(Z$22=TRUE,INDEX(CDRANGE_CLS1,MATCH($A37,$A$24:$A$67,0),MATCH(Z$20,$B$20:$G$20,0))&lt;$D$6/OPDAYS_Cls1),86,payback(D37,U37,disc_rate/12,85))</f>
        <v>86</v>
      </c>
      <c r="AA37" s="622">
        <f ca="1">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6">
        <f t="shared" si="40"/>
        <v>0</v>
      </c>
      <c r="AJ37" s="1157">
        <f t="shared" si="41"/>
        <v>0</v>
      </c>
      <c r="AK37" s="1157">
        <f t="shared" si="42"/>
        <v>0</v>
      </c>
      <c r="AL37" s="1157">
        <f t="shared" si="43"/>
        <v>0</v>
      </c>
      <c r="AM37" s="1158">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ca="1" si="48"/>
        <v>0</v>
      </c>
      <c r="AV37" s="625">
        <f t="shared" ca="1" si="49"/>
        <v>0</v>
      </c>
      <c r="AW37" s="626">
        <f t="shared" ca="1" si="50"/>
        <v>0</v>
      </c>
      <c r="AX37" s="624">
        <f t="shared" ca="1" si="51"/>
        <v>0</v>
      </c>
      <c r="AY37" s="625">
        <f t="shared" ca="1" si="52"/>
        <v>0</v>
      </c>
      <c r="AZ37" s="625">
        <f t="shared" ca="1"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156551.26999999999</v>
      </c>
      <c r="C38" s="818">
        <f t="shared" si="74"/>
        <v>730.36</v>
      </c>
      <c r="D38" s="818">
        <f t="shared" si="74"/>
        <v>2705.75</v>
      </c>
      <c r="E38" s="818">
        <f t="shared" si="74"/>
        <v>12559.92</v>
      </c>
      <c r="F38" s="818">
        <f t="shared" si="74"/>
        <v>368339.21</v>
      </c>
      <c r="G38" s="819">
        <f t="shared" si="74"/>
        <v>190187.88</v>
      </c>
      <c r="H38" s="781">
        <f t="shared" si="75"/>
        <v>1</v>
      </c>
      <c r="I38" s="782">
        <f t="shared" si="75"/>
        <v>1</v>
      </c>
      <c r="J38" s="782">
        <f t="shared" si="75"/>
        <v>1</v>
      </c>
      <c r="K38" s="782">
        <f t="shared" si="75"/>
        <v>1</v>
      </c>
      <c r="L38" s="782">
        <f t="shared" si="75"/>
        <v>0.71303499514216828</v>
      </c>
      <c r="M38" s="783">
        <f t="shared" si="75"/>
        <v>1</v>
      </c>
      <c r="N38" s="631">
        <f t="shared" si="28"/>
        <v>7616.0218939157839</v>
      </c>
      <c r="O38" s="632">
        <f t="shared" si="29"/>
        <v>7477.1696285099897</v>
      </c>
      <c r="P38" s="632">
        <f t="shared" si="30"/>
        <v>7441.4965049116281</v>
      </c>
      <c r="Q38" s="632">
        <f t="shared" si="31"/>
        <v>7572.124795041309</v>
      </c>
      <c r="R38" s="632">
        <f t="shared" si="32"/>
        <v>9863.0714155553851</v>
      </c>
      <c r="S38" s="745">
        <f t="shared" si="33"/>
        <v>37313.505261883758</v>
      </c>
      <c r="T38" s="736">
        <f t="shared" si="61"/>
        <v>138.85226540579424</v>
      </c>
      <c r="U38" s="632">
        <f t="shared" si="62"/>
        <v>174.52538900415584</v>
      </c>
      <c r="V38" s="632">
        <f t="shared" si="63"/>
        <v>43.897098874474977</v>
      </c>
      <c r="W38" s="632">
        <f t="shared" si="64"/>
        <v>-2247.0495216396012</v>
      </c>
      <c r="X38" s="633">
        <f t="shared" si="65"/>
        <v>-29697.483367967972</v>
      </c>
      <c r="Y38" s="634">
        <f ca="1">IF(AND(Y$22=TRUE,INDEX(CDRANGE_CLS1,MATCH($A38,$A$24:$A$67,0),MATCH(Y$20,$B$20:$G$20,0))&lt;$D$6/OPDAYS_Cls1),86,payback(C38,T38,disc_rate/12,85))</f>
        <v>6</v>
      </c>
      <c r="Z38" s="635">
        <f ca="1">IF(AND(Z$22=TRUE,INDEX(CDRANGE_CLS1,MATCH($A38,$A$24:$A$67,0),MATCH(Z$20,$B$20:$G$20,0))&lt;$D$6/OPDAYS_Cls1),86,payback(D38,U38,disc_rate/12,85))</f>
        <v>17</v>
      </c>
      <c r="AA38" s="635">
        <f ca="1">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2.3712925281576792E-2</v>
      </c>
      <c r="AE38" s="638">
        <f t="shared" si="36"/>
        <v>2.2501954482207008E-2</v>
      </c>
      <c r="AF38" s="638">
        <f t="shared" si="37"/>
        <v>0</v>
      </c>
      <c r="AG38" s="638">
        <f t="shared" si="38"/>
        <v>0</v>
      </c>
      <c r="AH38" s="639">
        <f t="shared" si="39"/>
        <v>0</v>
      </c>
      <c r="AI38" s="1150">
        <f t="shared" si="40"/>
        <v>2.3712936588783391E-2</v>
      </c>
      <c r="AJ38" s="1151">
        <f t="shared" si="41"/>
        <v>2.3712936588783391E-2</v>
      </c>
      <c r="AK38" s="1151">
        <f t="shared" si="42"/>
        <v>2.3712936588783391E-2</v>
      </c>
      <c r="AL38" s="1151">
        <f t="shared" si="43"/>
        <v>2.3712936588783391E-2</v>
      </c>
      <c r="AM38" s="1152">
        <f t="shared" si="44"/>
        <v>0</v>
      </c>
      <c r="AN38" s="643">
        <f t="shared" si="66"/>
        <v>0.99993954320216516</v>
      </c>
      <c r="AO38" s="641">
        <f t="shared" si="67"/>
        <v>0.99917057050965885</v>
      </c>
      <c r="AP38" s="641">
        <f t="shared" si="68"/>
        <v>0.98227928128181274</v>
      </c>
      <c r="AQ38" s="641">
        <f t="shared" si="69"/>
        <v>2.0975944237111577E-7</v>
      </c>
      <c r="AR38" s="642">
        <f t="shared" si="70"/>
        <v>1.6577975653750521E-2</v>
      </c>
      <c r="AS38" s="637">
        <f t="shared" ca="1" si="46"/>
        <v>4.7425873177566781E-2</v>
      </c>
      <c r="AT38" s="638">
        <f t="shared" ca="1" si="47"/>
        <v>3.7100315361030492E-2</v>
      </c>
      <c r="AU38" s="638">
        <f t="shared" ca="1" si="48"/>
        <v>0</v>
      </c>
      <c r="AV38" s="638">
        <f t="shared" ca="1" si="49"/>
        <v>0</v>
      </c>
      <c r="AW38" s="639">
        <f t="shared" ca="1" si="50"/>
        <v>0</v>
      </c>
      <c r="AX38" s="637">
        <f t="shared" ca="1" si="51"/>
        <v>4.7423005961139943E-2</v>
      </c>
      <c r="AY38" s="638">
        <f t="shared" ca="1" si="52"/>
        <v>3.7069543265369098E-2</v>
      </c>
      <c r="AZ38" s="638">
        <f t="shared" ca="1" si="53"/>
        <v>0</v>
      </c>
      <c r="BA38" s="638">
        <f t="shared" ca="1" si="71"/>
        <v>0</v>
      </c>
      <c r="BB38" s="639">
        <f t="shared" ca="1" si="72"/>
        <v>0</v>
      </c>
      <c r="BC38" s="637">
        <f t="shared" ca="1" si="73"/>
        <v>0.95257699403886009</v>
      </c>
      <c r="BD38" s="638">
        <f t="shared" ca="1" si="56"/>
        <v>2.6617039194323684E-2</v>
      </c>
      <c r="BE38" s="638">
        <f t="shared" ca="1" si="57"/>
        <v>2.0805966766816255E-2</v>
      </c>
      <c r="BF38" s="638">
        <f t="shared" ca="1" si="58"/>
        <v>0</v>
      </c>
      <c r="BG38" s="638">
        <f t="shared" ca="1" si="59"/>
        <v>0</v>
      </c>
      <c r="BH38" s="639">
        <f t="shared" ca="1" si="60"/>
        <v>0</v>
      </c>
    </row>
    <row r="39" spans="1:62" x14ac:dyDescent="0.2">
      <c r="A39" s="317">
        <v>2022</v>
      </c>
      <c r="B39" s="820">
        <f t="shared" si="74"/>
        <v>157102.54999999999</v>
      </c>
      <c r="C39" s="821">
        <f t="shared" si="74"/>
        <v>1460.73</v>
      </c>
      <c r="D39" s="821">
        <f t="shared" si="74"/>
        <v>3132.2</v>
      </c>
      <c r="E39" s="821">
        <f t="shared" si="74"/>
        <v>12815.59</v>
      </c>
      <c r="F39" s="821">
        <f t="shared" si="74"/>
        <v>311856.78999999998</v>
      </c>
      <c r="G39" s="822">
        <f t="shared" si="74"/>
        <v>164412.72</v>
      </c>
      <c r="H39" s="781">
        <f t="shared" si="75"/>
        <v>1</v>
      </c>
      <c r="I39" s="782">
        <f t="shared" si="75"/>
        <v>1</v>
      </c>
      <c r="J39" s="782">
        <f t="shared" si="75"/>
        <v>1</v>
      </c>
      <c r="K39" s="782">
        <f t="shared" si="75"/>
        <v>1</v>
      </c>
      <c r="L39" s="782">
        <f t="shared" si="75"/>
        <v>0.71094818427115392</v>
      </c>
      <c r="M39" s="783">
        <f t="shared" si="75"/>
        <v>1</v>
      </c>
      <c r="N39" s="275">
        <f t="shared" si="28"/>
        <v>7639.0399523345832</v>
      </c>
      <c r="O39" s="276">
        <f t="shared" si="29"/>
        <v>7370.1904864122407</v>
      </c>
      <c r="P39" s="276">
        <f t="shared" si="30"/>
        <v>7333.8919652306722</v>
      </c>
      <c r="Q39" s="276">
        <f t="shared" si="31"/>
        <v>7442.3321503115521</v>
      </c>
      <c r="R39" s="276">
        <f t="shared" si="32"/>
        <v>9610.6540906638111</v>
      </c>
      <c r="S39" s="278">
        <f t="shared" si="33"/>
        <v>36268.441509683966</v>
      </c>
      <c r="T39" s="734">
        <f t="shared" si="61"/>
        <v>268.84946592234246</v>
      </c>
      <c r="U39" s="290">
        <f t="shared" si="62"/>
        <v>305.14798710391096</v>
      </c>
      <c r="V39" s="290">
        <f t="shared" si="63"/>
        <v>196.70780202303104</v>
      </c>
      <c r="W39" s="290">
        <f t="shared" si="64"/>
        <v>-1971.6141383292279</v>
      </c>
      <c r="X39" s="291">
        <f t="shared" si="65"/>
        <v>-28629.401557349382</v>
      </c>
      <c r="Y39" s="293">
        <f ca="1">IF(AND(Y$22=TRUE,INDEX(CDRANGE_CLS1,MATCH($A39,$A$24:$A$67,0),MATCH(Y$20,$B$20:$G$20,0))&lt;$D$6/OPDAYS_Cls1),86,payback(C39,T39,disc_rate/12,85))</f>
        <v>6</v>
      </c>
      <c r="Z39" s="294">
        <f ca="1">IF(AND(Z$22=TRUE,INDEX(CDRANGE_CLS1,MATCH($A39,$A$24:$A$67,0),MATCH(Z$20,$B$20:$G$20,0))&lt;$D$6/OPDAYS_Cls1),86,payback(D39,U39,disc_rate/12,85))</f>
        <v>11</v>
      </c>
      <c r="AA39" s="294">
        <f ca="1">IF(AND(AA$22=TRUE,INDEX(CDRANGE_CLS1,MATCH($A39,$A$24:$A$67,0),MATCH(AA$20,$B$20:$G$20,0))&lt;$D$6/OPDAYS_Cls1),86,payback(E39,V39,disc_rate/12,85))</f>
        <v>84</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5.956766754763039E-2</v>
      </c>
      <c r="AE39" s="297">
        <f t="shared" si="36"/>
        <v>4.9901167707680411E-2</v>
      </c>
      <c r="AF39" s="297">
        <f t="shared" si="37"/>
        <v>0</v>
      </c>
      <c r="AG39" s="297">
        <f t="shared" si="38"/>
        <v>0</v>
      </c>
      <c r="AH39" s="298">
        <f t="shared" si="39"/>
        <v>0</v>
      </c>
      <c r="AI39" s="1144">
        <f t="shared" si="40"/>
        <v>5.9601461011058773E-2</v>
      </c>
      <c r="AJ39" s="1145">
        <f t="shared" si="41"/>
        <v>5.9601461011058773E-2</v>
      </c>
      <c r="AK39" s="1145">
        <f t="shared" si="42"/>
        <v>5.9601461011058773E-2</v>
      </c>
      <c r="AL39" s="1145">
        <f t="shared" si="43"/>
        <v>5.9601461011058773E-2</v>
      </c>
      <c r="AM39" s="1153">
        <f t="shared" si="44"/>
        <v>0</v>
      </c>
      <c r="AN39" s="299">
        <f t="shared" si="66"/>
        <v>0.99975988528123605</v>
      </c>
      <c r="AO39" s="300">
        <f t="shared" si="67"/>
        <v>0.99889645446247832</v>
      </c>
      <c r="AP39" s="300">
        <f t="shared" si="68"/>
        <v>0.98168526833261616</v>
      </c>
      <c r="AQ39" s="300">
        <f t="shared" si="69"/>
        <v>1.7634611365502373E-5</v>
      </c>
      <c r="AR39" s="598">
        <f t="shared" si="70"/>
        <v>4.772505529813087E-2</v>
      </c>
      <c r="AS39" s="296">
        <f t="shared" ca="1" si="46"/>
        <v>0.11920292202211755</v>
      </c>
      <c r="AT39" s="297">
        <f t="shared" ca="1" si="47"/>
        <v>0.11232877871404717</v>
      </c>
      <c r="AU39" s="297">
        <f t="shared" ca="1" si="48"/>
        <v>2.8340159344658287E-5</v>
      </c>
      <c r="AV39" s="297">
        <f t="shared" ca="1" si="49"/>
        <v>0</v>
      </c>
      <c r="AW39" s="298">
        <f t="shared" ca="1" si="50"/>
        <v>0</v>
      </c>
      <c r="AX39" s="296">
        <f t="shared" ca="1" si="51"/>
        <v>0.11917429964602036</v>
      </c>
      <c r="AY39" s="297">
        <f t="shared" ca="1" si="52"/>
        <v>0.11220481879156202</v>
      </c>
      <c r="AZ39" s="297">
        <f t="shared" ca="1" si="53"/>
        <v>2.7821116930849968E-5</v>
      </c>
      <c r="BA39" s="297">
        <f t="shared" ca="1" si="71"/>
        <v>0</v>
      </c>
      <c r="BB39" s="298">
        <f t="shared" ca="1" si="72"/>
        <v>0</v>
      </c>
      <c r="BC39" s="296">
        <f t="shared" ca="1" si="73"/>
        <v>0.88082570035397967</v>
      </c>
      <c r="BD39" s="297">
        <f t="shared" ca="1" si="56"/>
        <v>6.1374623092380162E-2</v>
      </c>
      <c r="BE39" s="297">
        <f t="shared" ca="1" si="57"/>
        <v>5.7785348711389711E-2</v>
      </c>
      <c r="BF39" s="297">
        <f t="shared" ca="1" si="58"/>
        <v>1.4327842250482844E-5</v>
      </c>
      <c r="BG39" s="297">
        <f t="shared" ca="1" si="59"/>
        <v>0</v>
      </c>
      <c r="BH39" s="298">
        <f t="shared" ca="1" si="60"/>
        <v>0</v>
      </c>
      <c r="BI39" s="227">
        <f ca="1">(AK39*AZ39/SUMPRODUCT($AI39:$AM39,$AX39:$BB39))</f>
        <v>1.2022594043380476E-4</v>
      </c>
    </row>
    <row r="40" spans="1:62" x14ac:dyDescent="0.2">
      <c r="A40" s="317">
        <v>2023</v>
      </c>
      <c r="B40" s="820">
        <f t="shared" si="74"/>
        <v>157653.82</v>
      </c>
      <c r="C40" s="821">
        <f t="shared" si="74"/>
        <v>2191.09</v>
      </c>
      <c r="D40" s="821">
        <f t="shared" si="74"/>
        <v>3558.64</v>
      </c>
      <c r="E40" s="821">
        <f t="shared" si="74"/>
        <v>13071.26</v>
      </c>
      <c r="F40" s="821">
        <f t="shared" si="74"/>
        <v>255374.37</v>
      </c>
      <c r="G40" s="822">
        <f t="shared" si="74"/>
        <v>138637.56</v>
      </c>
      <c r="H40" s="781">
        <f t="shared" si="75"/>
        <v>1</v>
      </c>
      <c r="I40" s="782">
        <f t="shared" si="75"/>
        <v>1</v>
      </c>
      <c r="J40" s="782">
        <f t="shared" si="75"/>
        <v>1</v>
      </c>
      <c r="K40" s="782">
        <f t="shared" si="75"/>
        <v>1</v>
      </c>
      <c r="L40" s="782">
        <f t="shared" si="75"/>
        <v>0.70886137340013955</v>
      </c>
      <c r="M40" s="783">
        <f t="shared" si="75"/>
        <v>1</v>
      </c>
      <c r="N40" s="275">
        <f t="shared" si="28"/>
        <v>7581.9224584067942</v>
      </c>
      <c r="O40" s="276">
        <f t="shared" si="29"/>
        <v>7195.1255534818356</v>
      </c>
      <c r="P40" s="276">
        <f t="shared" si="30"/>
        <v>7158.6553200804965</v>
      </c>
      <c r="Q40" s="276">
        <f t="shared" si="31"/>
        <v>7246.1254775437701</v>
      </c>
      <c r="R40" s="276">
        <f t="shared" si="32"/>
        <v>9327.0567176225886</v>
      </c>
      <c r="S40" s="278">
        <f t="shared" si="33"/>
        <v>31478.414024992715</v>
      </c>
      <c r="T40" s="734">
        <f t="shared" si="61"/>
        <v>386.79690492495865</v>
      </c>
      <c r="U40" s="290">
        <f t="shared" si="62"/>
        <v>423.26713832629775</v>
      </c>
      <c r="V40" s="290">
        <f t="shared" si="63"/>
        <v>335.79698086302415</v>
      </c>
      <c r="W40" s="290">
        <f t="shared" si="64"/>
        <v>-1745.1342592157944</v>
      </c>
      <c r="X40" s="291">
        <f t="shared" si="65"/>
        <v>-23896.491566585923</v>
      </c>
      <c r="Y40" s="293">
        <f ca="1">IF(AND(Y$22=TRUE,INDEX(CDRANGE_CLS1,MATCH($A40,$A$24:$A$67,0),MATCH(Y$20,$B$20:$G$20,0))&lt;$D$6/OPDAYS_Cls1),86,payback(C40,T40,disc_rate/12,85))</f>
        <v>6</v>
      </c>
      <c r="Z40" s="294">
        <f ca="1">IF(AND(Z$22=TRUE,INDEX(CDRANGE_CLS1,MATCH($A40,$A$24:$A$67,0),MATCH(Z$20,$B$20:$G$20,0))&lt;$D$6/OPDAYS_Cls1),86,payback(D40,U40,disc_rate/12,85))</f>
        <v>9</v>
      </c>
      <c r="AA40" s="294">
        <f ca="1">IF(AND(AA$22=TRUE,INDEX(CDRANGE_CLS1,MATCH($A40,$A$24:$A$67,0),MATCH(AA$20,$B$20:$G$20,0))&lt;$D$6/OPDAYS_Cls1),86,payback(E40,V40,disc_rate/12,85))</f>
        <v>45</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0.13287435516889268</v>
      </c>
      <c r="AE40" s="297">
        <f t="shared" si="36"/>
        <v>9.0799202917391603E-2</v>
      </c>
      <c r="AF40" s="297">
        <f t="shared" si="37"/>
        <v>0</v>
      </c>
      <c r="AG40" s="297">
        <f t="shared" si="38"/>
        <v>0</v>
      </c>
      <c r="AH40" s="298">
        <f t="shared" si="39"/>
        <v>0</v>
      </c>
      <c r="AI40" s="1144">
        <f t="shared" si="40"/>
        <v>0.13447071068499755</v>
      </c>
      <c r="AJ40" s="1145">
        <f t="shared" si="41"/>
        <v>0.13447071068499755</v>
      </c>
      <c r="AK40" s="1145">
        <f t="shared" si="42"/>
        <v>0.13447071068499755</v>
      </c>
      <c r="AL40" s="1145">
        <f t="shared" si="43"/>
        <v>0.13447071068499755</v>
      </c>
      <c r="AM40" s="1153">
        <f t="shared" si="44"/>
        <v>0</v>
      </c>
      <c r="AN40" s="299">
        <f t="shared" si="66"/>
        <v>0.99946359547679142</v>
      </c>
      <c r="AO40" s="300">
        <f t="shared" si="67"/>
        <v>0.99858567467906389</v>
      </c>
      <c r="AP40" s="300">
        <f t="shared" si="68"/>
        <v>0.98108599302088029</v>
      </c>
      <c r="AQ40" s="300">
        <f t="shared" si="69"/>
        <v>6.8329542048228831E-4</v>
      </c>
      <c r="AR40" s="598">
        <f t="shared" si="70"/>
        <v>0.1167081009463673</v>
      </c>
      <c r="AS40" s="296">
        <f t="shared" ca="1" si="46"/>
        <v>0.2689414213699951</v>
      </c>
      <c r="AT40" s="297">
        <f t="shared" ca="1" si="47"/>
        <v>0.2626468935812345</v>
      </c>
      <c r="AU40" s="297">
        <f t="shared" ca="1" si="48"/>
        <v>2.4488947615803246E-2</v>
      </c>
      <c r="AV40" s="297">
        <f t="shared" ca="1" si="49"/>
        <v>0</v>
      </c>
      <c r="AW40" s="298">
        <f t="shared" ca="1" si="50"/>
        <v>0</v>
      </c>
      <c r="AX40" s="296">
        <f t="shared" ca="1" si="51"/>
        <v>0.26879715997509407</v>
      </c>
      <c r="AY40" s="297">
        <f t="shared" ca="1" si="52"/>
        <v>0.26227542542917737</v>
      </c>
      <c r="AZ40" s="297">
        <f t="shared" ca="1" si="53"/>
        <v>2.4025763489686647E-2</v>
      </c>
      <c r="BA40" s="297">
        <f t="shared" ca="1" si="71"/>
        <v>0</v>
      </c>
      <c r="BB40" s="298">
        <f t="shared" ca="1" si="72"/>
        <v>0</v>
      </c>
      <c r="BC40" s="296">
        <f t="shared" ca="1" si="73"/>
        <v>0.73120284002490599</v>
      </c>
      <c r="BD40" s="297">
        <f t="shared" ca="1" si="56"/>
        <v>0.13016056227628733</v>
      </c>
      <c r="BE40" s="297">
        <f t="shared" ca="1" si="57"/>
        <v>0.12700252059313913</v>
      </c>
      <c r="BF40" s="297">
        <f t="shared" ca="1" si="58"/>
        <v>1.1634077105667585E-2</v>
      </c>
      <c r="BG40" s="297">
        <f t="shared" ca="1" si="59"/>
        <v>0</v>
      </c>
      <c r="BH40" s="298">
        <f t="shared" ca="1" si="60"/>
        <v>0</v>
      </c>
    </row>
    <row r="41" spans="1:62" x14ac:dyDescent="0.2">
      <c r="A41" s="317">
        <v>2024</v>
      </c>
      <c r="B41" s="820">
        <f t="shared" si="74"/>
        <v>158205.09</v>
      </c>
      <c r="C41" s="821">
        <f t="shared" si="74"/>
        <v>2921.45</v>
      </c>
      <c r="D41" s="821">
        <f t="shared" si="74"/>
        <v>3985.09</v>
      </c>
      <c r="E41" s="821">
        <f t="shared" si="74"/>
        <v>13326.93</v>
      </c>
      <c r="F41" s="821">
        <f t="shared" si="74"/>
        <v>198891.94</v>
      </c>
      <c r="G41" s="822">
        <f t="shared" si="74"/>
        <v>112862.39999999999</v>
      </c>
      <c r="H41" s="781">
        <f t="shared" si="75"/>
        <v>1</v>
      </c>
      <c r="I41" s="782">
        <f t="shared" si="75"/>
        <v>1</v>
      </c>
      <c r="J41" s="782">
        <f t="shared" si="75"/>
        <v>1</v>
      </c>
      <c r="K41" s="782">
        <f t="shared" si="75"/>
        <v>1</v>
      </c>
      <c r="L41" s="782">
        <f t="shared" si="75"/>
        <v>0.70677456252912518</v>
      </c>
      <c r="M41" s="783">
        <f t="shared" si="75"/>
        <v>1</v>
      </c>
      <c r="N41" s="275">
        <f t="shared" si="28"/>
        <v>7567.199878135265</v>
      </c>
      <c r="O41" s="276">
        <f t="shared" si="29"/>
        <v>7069.2207519504727</v>
      </c>
      <c r="P41" s="276">
        <f t="shared" si="30"/>
        <v>7032.4392473361495</v>
      </c>
      <c r="Q41" s="276">
        <f t="shared" si="31"/>
        <v>7101.574381367197</v>
      </c>
      <c r="R41" s="276">
        <f t="shared" si="32"/>
        <v>9076.3682928082853</v>
      </c>
      <c r="S41" s="278">
        <f t="shared" si="33"/>
        <v>21903.099541168896</v>
      </c>
      <c r="T41" s="734">
        <f t="shared" si="61"/>
        <v>497.97912618479222</v>
      </c>
      <c r="U41" s="290">
        <f t="shared" si="62"/>
        <v>534.76063079911546</v>
      </c>
      <c r="V41" s="290">
        <f t="shared" si="63"/>
        <v>465.62549676806793</v>
      </c>
      <c r="W41" s="290">
        <f t="shared" si="64"/>
        <v>-1509.1684146730204</v>
      </c>
      <c r="X41" s="291">
        <f t="shared" si="65"/>
        <v>-14335.899663033631</v>
      </c>
      <c r="Y41" s="293">
        <f ca="1">IF(AND(Y$22=TRUE,INDEX(CDRANGE_CLS1,MATCH($A41,$A$24:$A$67,0),MATCH(Y$20,$B$20:$G$20,0))&lt;$D$6/OPDAYS_Cls1),86,payback(C41,T41,disc_rate/12,85))</f>
        <v>6</v>
      </c>
      <c r="Z41" s="294">
        <f ca="1">IF(AND(Z$22=TRUE,INDEX(CDRANGE_CLS1,MATCH($A41,$A$24:$A$67,0),MATCH(Z$20,$B$20:$G$20,0))&lt;$D$6/OPDAYS_Cls1),86,payback(D41,U41,disc_rate/12,85))</f>
        <v>8</v>
      </c>
      <c r="AA41" s="294">
        <f ca="1">IF(AND(AA$22=TRUE,INDEX(CDRANGE_CLS1,MATCH($A41,$A$24:$A$67,0),MATCH(AA$20,$B$20:$G$20,0))&lt;$D$6/OPDAYS_Cls1),86,payback(E41,V41,disc_rate/12,85))</f>
        <v>32</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0.22641451474035781</v>
      </c>
      <c r="AE41" s="297">
        <f t="shared" si="36"/>
        <v>0.11225111517918399</v>
      </c>
      <c r="AF41" s="297">
        <f t="shared" si="37"/>
        <v>0</v>
      </c>
      <c r="AG41" s="297">
        <f t="shared" si="38"/>
        <v>0</v>
      </c>
      <c r="AH41" s="298">
        <f t="shared" si="39"/>
        <v>0</v>
      </c>
      <c r="AI41" s="1144">
        <f t="shared" si="40"/>
        <v>0.25</v>
      </c>
      <c r="AJ41" s="1145">
        <f t="shared" si="41"/>
        <v>0.25</v>
      </c>
      <c r="AK41" s="1145">
        <f t="shared" si="42"/>
        <v>0.25</v>
      </c>
      <c r="AL41" s="1145">
        <f t="shared" si="43"/>
        <v>0.25</v>
      </c>
      <c r="AM41" s="1153">
        <f t="shared" si="44"/>
        <v>0</v>
      </c>
      <c r="AN41" s="299">
        <f t="shared" si="66"/>
        <v>0.99905322269401986</v>
      </c>
      <c r="AO41" s="300">
        <f t="shared" si="67"/>
        <v>0.99823903715027296</v>
      </c>
      <c r="AP41" s="300">
        <f t="shared" si="68"/>
        <v>0.98048162808013239</v>
      </c>
      <c r="AQ41" s="300">
        <f t="shared" si="69"/>
        <v>1.2397414965663489E-2</v>
      </c>
      <c r="AR41" s="598">
        <f t="shared" si="70"/>
        <v>0.24324328531438355</v>
      </c>
      <c r="AS41" s="296">
        <f t="shared" ca="1" si="46"/>
        <v>0.5</v>
      </c>
      <c r="AT41" s="297">
        <f t="shared" ca="1" si="47"/>
        <v>0.49432498000690822</v>
      </c>
      <c r="AU41" s="297">
        <f t="shared" ca="1" si="48"/>
        <v>0.15753303875506397</v>
      </c>
      <c r="AV41" s="297">
        <f t="shared" ca="1" si="49"/>
        <v>0</v>
      </c>
      <c r="AW41" s="298">
        <f t="shared" ca="1" si="50"/>
        <v>0</v>
      </c>
      <c r="AX41" s="296">
        <f t="shared" ca="1" si="51"/>
        <v>0.49952661134700993</v>
      </c>
      <c r="AY41" s="297">
        <f t="shared" ca="1" si="52"/>
        <v>0.493454492081424</v>
      </c>
      <c r="AZ41" s="297">
        <f t="shared" ca="1" si="53"/>
        <v>0.1544582503149757</v>
      </c>
      <c r="BA41" s="297">
        <f t="shared" ca="1" si="71"/>
        <v>0</v>
      </c>
      <c r="BB41" s="298">
        <f t="shared" ca="1" si="72"/>
        <v>0</v>
      </c>
      <c r="BC41" s="296">
        <f t="shared" ca="1" si="73"/>
        <v>0.50047338865299007</v>
      </c>
      <c r="BD41" s="297">
        <f t="shared" ca="1" si="56"/>
        <v>0.21746407305080623</v>
      </c>
      <c r="BE41" s="297">
        <f t="shared" ca="1" si="57"/>
        <v>0.21482063472830357</v>
      </c>
      <c r="BF41" s="297">
        <f t="shared" ca="1" si="58"/>
        <v>6.7241903567900177E-2</v>
      </c>
      <c r="BG41" s="297">
        <f t="shared" ca="1" si="59"/>
        <v>0</v>
      </c>
      <c r="BH41" s="298">
        <f t="shared" ca="1" si="60"/>
        <v>0</v>
      </c>
    </row>
    <row r="42" spans="1:62" ht="13.5" thickBot="1" x14ac:dyDescent="0.25">
      <c r="A42" s="302">
        <v>2025</v>
      </c>
      <c r="B42" s="823">
        <f t="shared" si="74"/>
        <v>158756.37</v>
      </c>
      <c r="C42" s="824">
        <f t="shared" si="74"/>
        <v>3651.82</v>
      </c>
      <c r="D42" s="824">
        <f t="shared" si="74"/>
        <v>4411.53</v>
      </c>
      <c r="E42" s="824">
        <f t="shared" si="74"/>
        <v>13582.6</v>
      </c>
      <c r="F42" s="824">
        <f t="shared" si="74"/>
        <v>142409.51999999999</v>
      </c>
      <c r="G42" s="825">
        <f t="shared" si="74"/>
        <v>87087.23</v>
      </c>
      <c r="H42" s="781">
        <f t="shared" si="75"/>
        <v>1</v>
      </c>
      <c r="I42" s="782">
        <f t="shared" si="75"/>
        <v>1</v>
      </c>
      <c r="J42" s="782">
        <f t="shared" si="75"/>
        <v>1</v>
      </c>
      <c r="K42" s="782">
        <f t="shared" si="75"/>
        <v>1</v>
      </c>
      <c r="L42" s="782">
        <f t="shared" si="75"/>
        <v>0.70468775165811071</v>
      </c>
      <c r="M42" s="783">
        <f t="shared" si="75"/>
        <v>1</v>
      </c>
      <c r="N42" s="778">
        <f t="shared" si="28"/>
        <v>7437.4460532708117</v>
      </c>
      <c r="O42" s="779">
        <f t="shared" si="29"/>
        <v>6844.9255490263267</v>
      </c>
      <c r="P42" s="779">
        <f t="shared" si="30"/>
        <v>6808.4499052233832</v>
      </c>
      <c r="Q42" s="779">
        <f t="shared" si="31"/>
        <v>6860.2231730735302</v>
      </c>
      <c r="R42" s="779">
        <f t="shared" si="32"/>
        <v>8768.5392863462585</v>
      </c>
      <c r="S42" s="780">
        <f t="shared" si="33"/>
        <v>16418.349214733851</v>
      </c>
      <c r="T42" s="737">
        <f t="shared" si="61"/>
        <v>592.52050424448498</v>
      </c>
      <c r="U42" s="304">
        <f t="shared" si="62"/>
        <v>628.99614804742851</v>
      </c>
      <c r="V42" s="304">
        <f t="shared" si="63"/>
        <v>577.22288019728148</v>
      </c>
      <c r="W42" s="304">
        <f t="shared" si="64"/>
        <v>-1331.0932330754467</v>
      </c>
      <c r="X42" s="305">
        <f t="shared" si="65"/>
        <v>-8980.9031614630403</v>
      </c>
      <c r="Y42" s="307">
        <f ca="1">IF(AND(Y$22=TRUE,INDEX(CDRANGE_CLS1,MATCH($A42,$A$24:$A$67,0),MATCH(Y$20,$B$20:$G$20,0))&lt;$D$6/OPDAYS_Cls1),86,payback(C42,T42,disc_rate/12,85))</f>
        <v>7</v>
      </c>
      <c r="Z42" s="308">
        <f ca="1">IF(AND(Z$22=TRUE,INDEX(CDRANGE_CLS1,MATCH($A42,$A$24:$A$67,0),MATCH(Z$20,$B$20:$G$20,0))&lt;$D$6/OPDAYS_Cls1),86,payback(D42,U42,disc_rate/12,85))</f>
        <v>8</v>
      </c>
      <c r="AA42" s="308">
        <f ca="1">IF(AND(AA$22=TRUE,INDEX(CDRANGE_CLS1,MATCH($A42,$A$24:$A$67,0),MATCH(AA$20,$B$20:$G$20,0))&lt;$D$6/OPDAYS_Cls1),86,payback(E42,V42,disc_rate/12,85))</f>
        <v>26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0.22125346292571568</v>
      </c>
      <c r="AE42" s="311">
        <f t="shared" si="36"/>
        <v>5.6194923461241698E-2</v>
      </c>
      <c r="AF42" s="311">
        <f t="shared" si="37"/>
        <v>0</v>
      </c>
      <c r="AG42" s="311">
        <f t="shared" si="38"/>
        <v>0</v>
      </c>
      <c r="AH42" s="312">
        <f t="shared" si="39"/>
        <v>0</v>
      </c>
      <c r="AI42" s="1147">
        <f t="shared" si="40"/>
        <v>0.36552928931500245</v>
      </c>
      <c r="AJ42" s="1148">
        <f t="shared" si="41"/>
        <v>0.36552928931500245</v>
      </c>
      <c r="AK42" s="1148">
        <f t="shared" si="42"/>
        <v>0.36552928931500245</v>
      </c>
      <c r="AL42" s="1148">
        <f t="shared" si="43"/>
        <v>0.36552928931500245</v>
      </c>
      <c r="AM42" s="1154">
        <f t="shared" si="44"/>
        <v>5.848468161162576E-8</v>
      </c>
      <c r="AN42" s="313">
        <f t="shared" si="66"/>
        <v>0.9985312942880703</v>
      </c>
      <c r="AO42" s="314">
        <f t="shared" si="67"/>
        <v>0.99785736610962006</v>
      </c>
      <c r="AP42" s="314">
        <f t="shared" si="68"/>
        <v>0.97987234256158429</v>
      </c>
      <c r="AQ42" s="314">
        <f t="shared" si="69"/>
        <v>0.10697247579379587</v>
      </c>
      <c r="AR42" s="599">
        <f t="shared" si="70"/>
        <v>0.43349267368492483</v>
      </c>
      <c r="AS42" s="310">
        <f t="shared" ca="1" si="46"/>
        <v>0.72866603255140638</v>
      </c>
      <c r="AT42" s="311">
        <f t="shared" ca="1" si="47"/>
        <v>0.72276103453031182</v>
      </c>
      <c r="AU42" s="311">
        <f t="shared" ca="1" si="48"/>
        <v>0.35576107317139183</v>
      </c>
      <c r="AV42" s="311">
        <f t="shared" ca="1" si="49"/>
        <v>0</v>
      </c>
      <c r="AW42" s="312">
        <f t="shared" ca="1" si="50"/>
        <v>0</v>
      </c>
      <c r="AX42" s="310">
        <f t="shared" ca="1" si="51"/>
        <v>0.72759583658730898</v>
      </c>
      <c r="AY42" s="311">
        <f t="shared" ca="1" si="52"/>
        <v>0.72121242224308113</v>
      </c>
      <c r="AZ42" s="311">
        <f t="shared" ca="1" si="53"/>
        <v>0.34860043616067493</v>
      </c>
      <c r="BA42" s="311">
        <f t="shared" ca="1" si="71"/>
        <v>0</v>
      </c>
      <c r="BB42" s="312">
        <f t="shared" ca="1" si="72"/>
        <v>0</v>
      </c>
      <c r="BC42" s="310">
        <f t="shared" ca="1" si="73"/>
        <v>0.27240416341269102</v>
      </c>
      <c r="BD42" s="311">
        <f t="shared" ca="1" si="56"/>
        <v>0.29453273643021832</v>
      </c>
      <c r="BE42" s="311">
        <f t="shared" ca="1" si="57"/>
        <v>0.29194871326786515</v>
      </c>
      <c r="BF42" s="311">
        <f t="shared" ca="1" si="58"/>
        <v>0.14111438688922551</v>
      </c>
      <c r="BG42" s="311">
        <f t="shared" ca="1" si="59"/>
        <v>0</v>
      </c>
      <c r="BH42" s="312">
        <f t="shared" ca="1" si="60"/>
        <v>0</v>
      </c>
      <c r="BJ42" s="540"/>
    </row>
    <row r="43" spans="1:62" x14ac:dyDescent="0.2">
      <c r="A43" s="316">
        <v>2026</v>
      </c>
      <c r="B43" s="826">
        <f t="shared" si="74"/>
        <v>159487.32999999999</v>
      </c>
      <c r="C43" s="827">
        <f t="shared" si="74"/>
        <v>3749.16</v>
      </c>
      <c r="D43" s="827">
        <f t="shared" si="74"/>
        <v>4423.53</v>
      </c>
      <c r="E43" s="827">
        <f t="shared" si="74"/>
        <v>13199.28</v>
      </c>
      <c r="F43" s="827">
        <f t="shared" si="74"/>
        <v>128389.75999999999</v>
      </c>
      <c r="G43" s="828">
        <f t="shared" si="74"/>
        <v>75720.08</v>
      </c>
      <c r="H43" s="781">
        <f t="shared" si="75"/>
        <v>1</v>
      </c>
      <c r="I43" s="782">
        <f t="shared" si="75"/>
        <v>1</v>
      </c>
      <c r="J43" s="782">
        <f t="shared" si="75"/>
        <v>1</v>
      </c>
      <c r="K43" s="782">
        <f t="shared" si="75"/>
        <v>1</v>
      </c>
      <c r="L43" s="782">
        <f t="shared" si="75"/>
        <v>0.7038406574849676</v>
      </c>
      <c r="M43" s="783">
        <f t="shared" si="75"/>
        <v>1</v>
      </c>
      <c r="N43" s="275">
        <f t="shared" si="28"/>
        <v>7384.2633149334242</v>
      </c>
      <c r="O43" s="276">
        <f t="shared" si="29"/>
        <v>6699.8899563908735</v>
      </c>
      <c r="P43" s="276">
        <f t="shared" si="30"/>
        <v>6663.3959725418918</v>
      </c>
      <c r="Q43" s="276">
        <f t="shared" si="31"/>
        <v>6700.1987180605065</v>
      </c>
      <c r="R43" s="276">
        <f t="shared" si="32"/>
        <v>8518.8550388667427</v>
      </c>
      <c r="S43" s="278">
        <f t="shared" si="33"/>
        <v>15122.916024579623</v>
      </c>
      <c r="T43" s="733">
        <f t="shared" si="61"/>
        <v>684.3733585425507</v>
      </c>
      <c r="U43" s="276">
        <f t="shared" si="62"/>
        <v>720.86734239153247</v>
      </c>
      <c r="V43" s="276">
        <f t="shared" si="63"/>
        <v>684.06459687291772</v>
      </c>
      <c r="W43" s="276">
        <f t="shared" si="64"/>
        <v>-1134.5917239333185</v>
      </c>
      <c r="X43" s="277">
        <f t="shared" si="65"/>
        <v>-7738.6527096461987</v>
      </c>
      <c r="Y43" s="279">
        <f ca="1">IF(AND(Y$22=TRUE,INDEX(CDRANGE_CLS1,MATCH($A43,$A$24:$A$67,0),MATCH(Y$20,$B$20:$G$20,0))&lt;$D$6/OPDAYS_Cls1),86,payback(C43,T43,disc_rate/12,85))</f>
        <v>6</v>
      </c>
      <c r="Z43" s="280">
        <f ca="1">IF(AND(Z$22=TRUE,INDEX(CDRANGE_CLS1,MATCH($A43,$A$24:$A$67,0),MATCH(Z$20,$B$20:$G$20,0))&lt;$D$6/OPDAYS_Cls1),86,payback(D43,U43,disc_rate/12,85))</f>
        <v>7</v>
      </c>
      <c r="AA43" s="280">
        <f ca="1">IF(AND(AA$22=TRUE,INDEX(CDRANGE_CLS1,MATCH($A43,$A$24:$A$67,0),MATCH(AA$20,$B$20:$G$20,0))&lt;$D$6/OPDAYS_Cls1),86,payback(E43,V43,disc_rate/12,85))</f>
        <v>21</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0.26657152974343012</v>
      </c>
      <c r="AE43" s="283">
        <f t="shared" si="36"/>
        <v>6.7705004535488736E-2</v>
      </c>
      <c r="AF43" s="283">
        <f t="shared" si="37"/>
        <v>0</v>
      </c>
      <c r="AG43" s="283">
        <f t="shared" si="38"/>
        <v>0</v>
      </c>
      <c r="AH43" s="284">
        <f t="shared" si="39"/>
        <v>0</v>
      </c>
      <c r="AI43" s="1141">
        <f t="shared" si="40"/>
        <v>0.44039853898894116</v>
      </c>
      <c r="AJ43" s="1142">
        <f t="shared" si="41"/>
        <v>0.44039853898894116</v>
      </c>
      <c r="AK43" s="1142">
        <f t="shared" si="42"/>
        <v>0.44039853898894116</v>
      </c>
      <c r="AL43" s="1142">
        <f t="shared" si="43"/>
        <v>0.44039853898894116</v>
      </c>
      <c r="AM43" s="1155">
        <f t="shared" si="44"/>
        <v>1.127418816714989E-6</v>
      </c>
      <c r="AN43" s="285">
        <f t="shared" si="66"/>
        <v>0.99846616094410323</v>
      </c>
      <c r="AO43" s="286">
        <f t="shared" si="67"/>
        <v>0.99786538704906957</v>
      </c>
      <c r="AP43" s="286">
        <f t="shared" si="68"/>
        <v>0.98115393292071562</v>
      </c>
      <c r="AQ43" s="286">
        <f t="shared" si="69"/>
        <v>0.16527601106268797</v>
      </c>
      <c r="AR43" s="611">
        <f t="shared" si="70"/>
        <v>0.53465481291300365</v>
      </c>
      <c r="AS43" s="282">
        <f t="shared" ca="1" si="46"/>
        <v>0.88079707797788231</v>
      </c>
      <c r="AT43" s="283">
        <f t="shared" ca="1" si="47"/>
        <v>0.87791448052733856</v>
      </c>
      <c r="AU43" s="283">
        <f t="shared" ca="1" si="48"/>
        <v>0.57346795322265032</v>
      </c>
      <c r="AV43" s="283">
        <f t="shared" ca="1" si="49"/>
        <v>0</v>
      </c>
      <c r="AW43" s="284">
        <f t="shared" ca="1" si="50"/>
        <v>0</v>
      </c>
      <c r="AX43" s="282">
        <f t="shared" ca="1" si="51"/>
        <v>0.87944607701936006</v>
      </c>
      <c r="AY43" s="283">
        <f t="shared" ca="1" si="52"/>
        <v>0.87604047290739551</v>
      </c>
      <c r="AZ43" s="283">
        <f t="shared" ca="1" si="53"/>
        <v>0.5626603377083963</v>
      </c>
      <c r="BA43" s="283">
        <f t="shared" ca="1" si="71"/>
        <v>0</v>
      </c>
      <c r="BB43" s="284">
        <f t="shared" ca="1" si="72"/>
        <v>0</v>
      </c>
      <c r="BC43" s="282">
        <f t="shared" ca="1" si="73"/>
        <v>0.12055392298063994</v>
      </c>
      <c r="BD43" s="283">
        <f t="shared" ca="1" si="56"/>
        <v>0.33363951460977048</v>
      </c>
      <c r="BE43" s="283">
        <f t="shared" ca="1" si="57"/>
        <v>0.33234751486975245</v>
      </c>
      <c r="BF43" s="283">
        <f t="shared" ca="1" si="58"/>
        <v>0.21345904753983716</v>
      </c>
      <c r="BG43" s="283">
        <f t="shared" ca="1" si="59"/>
        <v>0</v>
      </c>
      <c r="BH43" s="284">
        <f t="shared" ca="1" si="60"/>
        <v>0</v>
      </c>
    </row>
    <row r="44" spans="1:62" x14ac:dyDescent="0.2">
      <c r="A44" s="317">
        <v>2027</v>
      </c>
      <c r="B44" s="820">
        <f t="shared" ref="B44:G53" si="76">ROUND(INDEX(COST_Cls1,$A44-($A$24-1),MATCH(B$20,TECHOPTS_Cls1,0)),2)</f>
        <v>160218.29</v>
      </c>
      <c r="C44" s="821">
        <f t="shared" si="76"/>
        <v>3846.5</v>
      </c>
      <c r="D44" s="821">
        <f t="shared" si="76"/>
        <v>4435.53</v>
      </c>
      <c r="E44" s="821">
        <f t="shared" si="76"/>
        <v>12815.96</v>
      </c>
      <c r="F44" s="821">
        <f t="shared" si="76"/>
        <v>114370</v>
      </c>
      <c r="G44" s="822">
        <f t="shared" si="76"/>
        <v>64352.93</v>
      </c>
      <c r="H44" s="781">
        <f t="shared" ref="H44:M53" si="77">IF(H$21="Single-fuel",1,1-MIN(INDEX(CDRANGE_CLS1,$A44-($A$24-1),MATCH(H$20,TECHOPTS_Cls1,0))*OPDAYS_Cls1/$D$6,1))</f>
        <v>1</v>
      </c>
      <c r="I44" s="782">
        <f t="shared" si="77"/>
        <v>1</v>
      </c>
      <c r="J44" s="782">
        <f t="shared" si="77"/>
        <v>1</v>
      </c>
      <c r="K44" s="782">
        <f t="shared" si="77"/>
        <v>1</v>
      </c>
      <c r="L44" s="782">
        <f t="shared" si="77"/>
        <v>0.70299356331182461</v>
      </c>
      <c r="M44" s="783">
        <f t="shared" si="77"/>
        <v>1</v>
      </c>
      <c r="N44" s="275">
        <f t="shared" si="28"/>
        <v>7231.4116882665639</v>
      </c>
      <c r="O44" s="276">
        <f t="shared" si="29"/>
        <v>6472.6830960737134</v>
      </c>
      <c r="P44" s="276">
        <f t="shared" si="30"/>
        <v>6436.707800536713</v>
      </c>
      <c r="Q44" s="276">
        <f t="shared" si="31"/>
        <v>6459.7103292796319</v>
      </c>
      <c r="R44" s="276">
        <f t="shared" si="32"/>
        <v>8190.6708848077778</v>
      </c>
      <c r="S44" s="278">
        <f t="shared" si="33"/>
        <v>14154.33147317956</v>
      </c>
      <c r="T44" s="734">
        <f t="shared" si="61"/>
        <v>758.72859219285056</v>
      </c>
      <c r="U44" s="290">
        <f t="shared" si="62"/>
        <v>794.70388772985098</v>
      </c>
      <c r="V44" s="290">
        <f t="shared" si="63"/>
        <v>771.70135898693206</v>
      </c>
      <c r="W44" s="290">
        <f t="shared" si="64"/>
        <v>-959.2591965412139</v>
      </c>
      <c r="X44" s="291">
        <f t="shared" si="65"/>
        <v>-6922.919784912996</v>
      </c>
      <c r="Y44" s="293">
        <f ca="1">IF(AND(Y$22=TRUE,INDEX(CDRANGE_CLS1,MATCH($A44,$A$24:$A$67,0),MATCH(Y$20,$B$20:$G$20,0))&lt;$D$6/OPDAYS_Cls1),86,payback(C44,T44,disc_rate/12,85))</f>
        <v>6</v>
      </c>
      <c r="Z44" s="294">
        <f ca="1">IF(AND(Z$22=TRUE,INDEX(CDRANGE_CLS1,MATCH($A44,$A$24:$A$67,0),MATCH(Z$20,$B$20:$G$20,0))&lt;$D$6/OPDAYS_Cls1),86,payback(D44,U44,disc_rate/12,85))</f>
        <v>6</v>
      </c>
      <c r="AA44" s="294">
        <f ca="1">IF(AND(AA$22=TRUE,INDEX(CDRANGE_CLS1,MATCH($A44,$A$24:$A$67,0),MATCH(AA$20,$B$20:$G$20,0))&lt;$D$6/OPDAYS_Cls1),86,payback(E44,V44,disc_rate/12,85))</f>
        <v>18</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0.25202290462741517</v>
      </c>
      <c r="AE44" s="297">
        <f t="shared" si="36"/>
        <v>7.3222354148774302E-2</v>
      </c>
      <c r="AF44" s="297">
        <f t="shared" si="37"/>
        <v>0</v>
      </c>
      <c r="AG44" s="297">
        <f t="shared" si="38"/>
        <v>0</v>
      </c>
      <c r="AH44" s="298">
        <f t="shared" si="39"/>
        <v>0</v>
      </c>
      <c r="AI44" s="1144">
        <f t="shared" si="40"/>
        <v>0.47628706341121668</v>
      </c>
      <c r="AJ44" s="1145">
        <f t="shared" si="41"/>
        <v>0.47628706341121668</v>
      </c>
      <c r="AK44" s="1145">
        <f t="shared" si="42"/>
        <v>0.47628706341121668</v>
      </c>
      <c r="AL44" s="1145">
        <f t="shared" si="43"/>
        <v>0.47628706341121668</v>
      </c>
      <c r="AM44" s="1153">
        <f t="shared" si="44"/>
        <v>1.2192933216365979E-6</v>
      </c>
      <c r="AN44" s="299">
        <f t="shared" si="66"/>
        <v>0.99840023138919487</v>
      </c>
      <c r="AO44" s="300">
        <f t="shared" si="67"/>
        <v>0.99787332001247075</v>
      </c>
      <c r="AP44" s="300">
        <f t="shared" si="68"/>
        <v>0.98238341077715796</v>
      </c>
      <c r="AQ44" s="300">
        <f t="shared" si="69"/>
        <v>0.24281392817915792</v>
      </c>
      <c r="AR44" s="598">
        <f t="shared" si="70"/>
        <v>0.63881771203782201</v>
      </c>
      <c r="AS44" s="296">
        <f t="shared" ca="1" si="46"/>
        <v>0.95257412682243336</v>
      </c>
      <c r="AT44" s="297">
        <f t="shared" ca="1" si="47"/>
        <v>0.95257412682243336</v>
      </c>
      <c r="AU44" s="297">
        <f t="shared" ca="1" si="48"/>
        <v>0.7147932490131178</v>
      </c>
      <c r="AV44" s="297">
        <f t="shared" ca="1" si="49"/>
        <v>0</v>
      </c>
      <c r="AW44" s="298">
        <f t="shared" ca="1" si="50"/>
        <v>0</v>
      </c>
      <c r="AX44" s="296">
        <f t="shared" ca="1" si="51"/>
        <v>0.95105022863487776</v>
      </c>
      <c r="AY44" s="297">
        <f t="shared" ca="1" si="52"/>
        <v>0.95054830649028199</v>
      </c>
      <c r="AZ44" s="297">
        <f t="shared" ca="1" si="53"/>
        <v>0.7022010299659931</v>
      </c>
      <c r="BA44" s="297">
        <f t="shared" ca="1" si="71"/>
        <v>0</v>
      </c>
      <c r="BB44" s="298">
        <f t="shared" ca="1" si="72"/>
        <v>0</v>
      </c>
      <c r="BC44" s="296">
        <f t="shared" ca="1" si="73"/>
        <v>4.8949771365122241E-2</v>
      </c>
      <c r="BD44" s="297">
        <f t="shared" ca="1" si="56"/>
        <v>0.34737563885981715</v>
      </c>
      <c r="BE44" s="297">
        <f t="shared" ca="1" si="57"/>
        <v>0.34719230939898821</v>
      </c>
      <c r="BF44" s="297">
        <f t="shared" ca="1" si="58"/>
        <v>0.25648228037607235</v>
      </c>
      <c r="BG44" s="297">
        <f t="shared" ca="1" si="59"/>
        <v>0</v>
      </c>
      <c r="BH44" s="298">
        <f t="shared" ca="1" si="60"/>
        <v>0</v>
      </c>
    </row>
    <row r="45" spans="1:62" x14ac:dyDescent="0.2">
      <c r="A45" s="317">
        <v>2028</v>
      </c>
      <c r="B45" s="820">
        <f t="shared" si="76"/>
        <v>160949.25</v>
      </c>
      <c r="C45" s="821">
        <f t="shared" si="76"/>
        <v>3943.83</v>
      </c>
      <c r="D45" s="821">
        <f t="shared" si="76"/>
        <v>4447.53</v>
      </c>
      <c r="E45" s="821">
        <f t="shared" si="76"/>
        <v>12432.65</v>
      </c>
      <c r="F45" s="821">
        <f t="shared" si="76"/>
        <v>100350.24</v>
      </c>
      <c r="G45" s="822">
        <f t="shared" si="76"/>
        <v>52985.78</v>
      </c>
      <c r="H45" s="781">
        <f t="shared" si="77"/>
        <v>1</v>
      </c>
      <c r="I45" s="782">
        <f t="shared" si="77"/>
        <v>1</v>
      </c>
      <c r="J45" s="782">
        <f t="shared" si="77"/>
        <v>1</v>
      </c>
      <c r="K45" s="782">
        <f t="shared" si="77"/>
        <v>1</v>
      </c>
      <c r="L45" s="782">
        <f t="shared" si="77"/>
        <v>0.70214646913868151</v>
      </c>
      <c r="M45" s="783">
        <f t="shared" si="77"/>
        <v>1</v>
      </c>
      <c r="N45" s="275">
        <f t="shared" si="28"/>
        <v>7270.0062121012124</v>
      </c>
      <c r="O45" s="276">
        <f t="shared" si="29"/>
        <v>6423.3588039715523</v>
      </c>
      <c r="P45" s="276">
        <f t="shared" si="30"/>
        <v>6386.9854618873605</v>
      </c>
      <c r="Q45" s="276">
        <f t="shared" si="31"/>
        <v>6398.1226626504895</v>
      </c>
      <c r="R45" s="276">
        <f t="shared" si="32"/>
        <v>8032.2073465599806</v>
      </c>
      <c r="S45" s="278">
        <f t="shared" si="33"/>
        <v>13316.342530417409</v>
      </c>
      <c r="T45" s="734">
        <f t="shared" si="61"/>
        <v>846.64740812966011</v>
      </c>
      <c r="U45" s="290">
        <f t="shared" si="62"/>
        <v>883.0207502138519</v>
      </c>
      <c r="V45" s="290">
        <f t="shared" si="63"/>
        <v>871.88354945072297</v>
      </c>
      <c r="W45" s="290">
        <f t="shared" si="64"/>
        <v>-762.20113445876814</v>
      </c>
      <c r="X45" s="291">
        <f t="shared" si="65"/>
        <v>-6046.3363183161964</v>
      </c>
      <c r="Y45" s="293">
        <f ca="1">IF(AND(Y$22=TRUE,INDEX(CDRANGE_CLS1,MATCH($A45,$A$24:$A$67,0),MATCH(Y$20,$B$20:$G$20,0))&lt;$D$6/OPDAYS_Cls1),86,payback(C45,T45,disc_rate/12,85))</f>
        <v>5</v>
      </c>
      <c r="Z45" s="294">
        <f ca="1">IF(AND(Z$22=TRUE,INDEX(CDRANGE_CLS1,MATCH($A45,$A$24:$A$67,0),MATCH(Z$20,$B$20:$G$20,0))&lt;$D$6/OPDAYS_Cls1),86,payback(D45,U45,disc_rate/12,85))</f>
        <v>6</v>
      </c>
      <c r="AA45" s="294">
        <f ca="1">IF(AND(AA$22=TRUE,INDEX(CDRANGE_CLS1,MATCH($A45,$A$24:$A$67,0),MATCH(AA$20,$B$20:$G$20,0))&lt;$D$6/OPDAYS_Cls1),86,payback(E45,V45,disc_rate/12,85))</f>
        <v>15</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0.22046428610618451</v>
      </c>
      <c r="AE45" s="297">
        <f t="shared" si="36"/>
        <v>7.5485318662806278E-2</v>
      </c>
      <c r="AF45" s="297">
        <f t="shared" si="37"/>
        <v>0</v>
      </c>
      <c r="AG45" s="297">
        <f t="shared" si="38"/>
        <v>0</v>
      </c>
      <c r="AH45" s="298">
        <f t="shared" si="39"/>
        <v>0</v>
      </c>
      <c r="AI45" s="1144">
        <f t="shared" si="40"/>
        <v>0.49100689501895423</v>
      </c>
      <c r="AJ45" s="1145">
        <f t="shared" si="41"/>
        <v>0.49100689501895423</v>
      </c>
      <c r="AK45" s="1145">
        <f t="shared" si="42"/>
        <v>0.49100689501895423</v>
      </c>
      <c r="AL45" s="1145">
        <f t="shared" si="43"/>
        <v>0.49100689501895423</v>
      </c>
      <c r="AM45" s="1153">
        <f t="shared" si="44"/>
        <v>2.0111230539163156E-5</v>
      </c>
      <c r="AN45" s="299">
        <f t="shared" si="66"/>
        <v>0.99833354404575014</v>
      </c>
      <c r="AO45" s="300">
        <f t="shared" si="67"/>
        <v>0.99788116639869495</v>
      </c>
      <c r="AP45" s="300">
        <f t="shared" si="68"/>
        <v>0.98356185488737546</v>
      </c>
      <c r="AQ45" s="300">
        <f t="shared" si="69"/>
        <v>0.33965239470610764</v>
      </c>
      <c r="AR45" s="598">
        <f t="shared" si="70"/>
        <v>0.740040966253798</v>
      </c>
      <c r="AS45" s="296">
        <f t="shared" ca="1" si="46"/>
        <v>0.98201379003790845</v>
      </c>
      <c r="AT45" s="297">
        <f t="shared" ca="1" si="47"/>
        <v>0.98201379003790845</v>
      </c>
      <c r="AU45" s="297">
        <f t="shared" ca="1" si="48"/>
        <v>0.82757760051089257</v>
      </c>
      <c r="AV45" s="297">
        <f t="shared" ca="1" si="49"/>
        <v>0</v>
      </c>
      <c r="AW45" s="298">
        <f t="shared" ca="1" si="50"/>
        <v>0</v>
      </c>
      <c r="AX45" s="296">
        <f t="shared" ca="1" si="51"/>
        <v>0.98037730731034434</v>
      </c>
      <c r="AY45" s="297">
        <f t="shared" ca="1" si="52"/>
        <v>0.97993306622263121</v>
      </c>
      <c r="AZ45" s="297">
        <f t="shared" ca="1" si="53"/>
        <v>0.81397375982173692</v>
      </c>
      <c r="BA45" s="297">
        <f t="shared" ca="1" si="71"/>
        <v>0</v>
      </c>
      <c r="BB45" s="298">
        <f t="shared" ca="1" si="72"/>
        <v>0</v>
      </c>
      <c r="BC45" s="296">
        <f t="shared" ca="1" si="73"/>
        <v>1.9622692689655885E-2</v>
      </c>
      <c r="BD45" s="297">
        <f t="shared" ca="1" si="56"/>
        <v>0.34644600858775576</v>
      </c>
      <c r="BE45" s="297">
        <f t="shared" ca="1" si="57"/>
        <v>0.3462890225472372</v>
      </c>
      <c r="BF45" s="297">
        <f t="shared" ca="1" si="58"/>
        <v>0.28764227617535126</v>
      </c>
      <c r="BG45" s="297">
        <f t="shared" ca="1" si="59"/>
        <v>0</v>
      </c>
      <c r="BH45" s="298">
        <f t="shared" ca="1" si="60"/>
        <v>0</v>
      </c>
    </row>
    <row r="46" spans="1:62" x14ac:dyDescent="0.2">
      <c r="A46" s="317">
        <v>2029</v>
      </c>
      <c r="B46" s="820">
        <f t="shared" si="76"/>
        <v>161680.21</v>
      </c>
      <c r="C46" s="821">
        <f t="shared" si="76"/>
        <v>4041.17</v>
      </c>
      <c r="D46" s="821">
        <f t="shared" si="76"/>
        <v>4459.53</v>
      </c>
      <c r="E46" s="821">
        <f t="shared" si="76"/>
        <v>12049.33</v>
      </c>
      <c r="F46" s="821">
        <f t="shared" si="76"/>
        <v>86330.48</v>
      </c>
      <c r="G46" s="822">
        <f t="shared" si="76"/>
        <v>41618.629999999997</v>
      </c>
      <c r="H46" s="781">
        <f t="shared" si="77"/>
        <v>1</v>
      </c>
      <c r="I46" s="782">
        <f t="shared" si="77"/>
        <v>1</v>
      </c>
      <c r="J46" s="782">
        <f t="shared" si="77"/>
        <v>1</v>
      </c>
      <c r="K46" s="782">
        <f t="shared" si="77"/>
        <v>1</v>
      </c>
      <c r="L46" s="782">
        <f t="shared" si="77"/>
        <v>0.70129937496553851</v>
      </c>
      <c r="M46" s="783">
        <f t="shared" si="77"/>
        <v>1</v>
      </c>
      <c r="N46" s="275">
        <f t="shared" si="28"/>
        <v>7328.3758871977197</v>
      </c>
      <c r="O46" s="276">
        <f t="shared" si="29"/>
        <v>6395.1200640747975</v>
      </c>
      <c r="P46" s="276">
        <f t="shared" si="30"/>
        <v>6358.2749791737224</v>
      </c>
      <c r="Q46" s="276">
        <f t="shared" si="31"/>
        <v>6358.4193526255522</v>
      </c>
      <c r="R46" s="276">
        <f t="shared" si="32"/>
        <v>7913.7090048995233</v>
      </c>
      <c r="S46" s="278">
        <f t="shared" si="33"/>
        <v>12685.644221747891</v>
      </c>
      <c r="T46" s="734">
        <f t="shared" si="61"/>
        <v>933.25582312292227</v>
      </c>
      <c r="U46" s="290">
        <f t="shared" si="62"/>
        <v>970.10090802399736</v>
      </c>
      <c r="V46" s="290">
        <f t="shared" si="63"/>
        <v>969.95653457216758</v>
      </c>
      <c r="W46" s="290">
        <f t="shared" si="64"/>
        <v>-585.33311770180353</v>
      </c>
      <c r="X46" s="291">
        <f t="shared" si="65"/>
        <v>-5357.2683345501709</v>
      </c>
      <c r="Y46" s="293">
        <f ca="1">IF(AND(Y$22=TRUE,INDEX(CDRANGE_CLS1,MATCH($A46,$A$24:$A$67,0),MATCH(Y$20,$B$20:$G$20,0))&lt;$D$6/OPDAYS_Cls1),86,payback(C46,T46,disc_rate/12,85))</f>
        <v>5</v>
      </c>
      <c r="Z46" s="294">
        <f ca="1">IF(AND(Z$22=TRUE,INDEX(CDRANGE_CLS1,MATCH($A46,$A$24:$A$67,0),MATCH(Z$20,$B$20:$G$20,0))&lt;$D$6/OPDAYS_Cls1),86,payback(D46,U46,disc_rate/12,85))</f>
        <v>5</v>
      </c>
      <c r="AA46" s="294">
        <f ca="1">IF(AND(AA$22=TRUE,INDEX(CDRANGE_CLS1,MATCH($A46,$A$24:$A$67,0),MATCH(AA$20,$B$20:$G$20,0))&lt;$D$6/OPDAYS_Cls1),86,payback(E46,V46,disc_rate/12,85))</f>
        <v>13</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0.18270863945678634</v>
      </c>
      <c r="AE46" s="297">
        <f t="shared" si="36"/>
        <v>7.6353415235777433E-2</v>
      </c>
      <c r="AF46" s="297">
        <f t="shared" si="37"/>
        <v>0</v>
      </c>
      <c r="AG46" s="297">
        <f t="shared" si="38"/>
        <v>0</v>
      </c>
      <c r="AH46" s="298">
        <f t="shared" si="39"/>
        <v>0</v>
      </c>
      <c r="AI46" s="1144">
        <f t="shared" si="40"/>
        <v>0.49665357453785763</v>
      </c>
      <c r="AJ46" s="1145">
        <f t="shared" si="41"/>
        <v>0.49665357453785763</v>
      </c>
      <c r="AK46" s="1145">
        <f t="shared" si="42"/>
        <v>0.49665357453785763</v>
      </c>
      <c r="AL46" s="1145">
        <f t="shared" si="43"/>
        <v>0.49665357453785763</v>
      </c>
      <c r="AM46" s="1153">
        <f t="shared" si="44"/>
        <v>4.9662874268686648E-5</v>
      </c>
      <c r="AN46" s="299">
        <f t="shared" si="66"/>
        <v>0.99826611124831033</v>
      </c>
      <c r="AO46" s="300">
        <f t="shared" si="67"/>
        <v>0.99788892757771863</v>
      </c>
      <c r="AP46" s="300">
        <f t="shared" si="68"/>
        <v>0.98469040410032749</v>
      </c>
      <c r="AQ46" s="300">
        <f t="shared" si="69"/>
        <v>0.45294883360658611</v>
      </c>
      <c r="AR46" s="598">
        <f t="shared" si="70"/>
        <v>0.83188592005894602</v>
      </c>
      <c r="AS46" s="296">
        <f t="shared" ca="1" si="46"/>
        <v>0.99330714907571527</v>
      </c>
      <c r="AT46" s="297">
        <f t="shared" ca="1" si="47"/>
        <v>0.99330714907571527</v>
      </c>
      <c r="AU46" s="297">
        <f t="shared" ca="1" si="48"/>
        <v>0.89086954248917027</v>
      </c>
      <c r="AV46" s="297">
        <f t="shared" ca="1" si="49"/>
        <v>0</v>
      </c>
      <c r="AW46" s="298">
        <f t="shared" ca="1" si="50"/>
        <v>0</v>
      </c>
      <c r="AX46" s="296">
        <f t="shared" ca="1" si="51"/>
        <v>0.99158486498295995</v>
      </c>
      <c r="AY46" s="297">
        <f t="shared" ca="1" si="52"/>
        <v>0.99121020574644658</v>
      </c>
      <c r="AZ46" s="297">
        <f t="shared" ca="1" si="53"/>
        <v>0.87723068979433494</v>
      </c>
      <c r="BA46" s="297">
        <f t="shared" ca="1" si="71"/>
        <v>0</v>
      </c>
      <c r="BB46" s="298">
        <f t="shared" ca="1" si="72"/>
        <v>0</v>
      </c>
      <c r="BC46" s="296">
        <f t="shared" ca="1" si="73"/>
        <v>8.4151350170400541E-3</v>
      </c>
      <c r="BD46" s="297">
        <f t="shared" ca="1" si="56"/>
        <v>0.34378730360918819</v>
      </c>
      <c r="BE46" s="297">
        <f t="shared" ca="1" si="57"/>
        <v>0.34365740742658019</v>
      </c>
      <c r="BF46" s="297">
        <f t="shared" ca="1" si="58"/>
        <v>0.30414015394719157</v>
      </c>
      <c r="BG46" s="297">
        <f t="shared" ca="1" si="59"/>
        <v>0</v>
      </c>
      <c r="BH46" s="298">
        <f t="shared" ca="1" si="60"/>
        <v>0</v>
      </c>
    </row>
    <row r="47" spans="1:62" ht="13.5" thickBot="1" x14ac:dyDescent="0.25">
      <c r="A47" s="618">
        <v>2030</v>
      </c>
      <c r="B47" s="814">
        <f t="shared" si="76"/>
        <v>162352.82999999999</v>
      </c>
      <c r="C47" s="815">
        <f t="shared" si="76"/>
        <v>4138.51</v>
      </c>
      <c r="D47" s="815">
        <f t="shared" si="76"/>
        <v>4471.53</v>
      </c>
      <c r="E47" s="815">
        <f t="shared" si="76"/>
        <v>11666.01</v>
      </c>
      <c r="F47" s="815">
        <f t="shared" si="76"/>
        <v>72310.73</v>
      </c>
      <c r="G47" s="816">
        <f t="shared" si="76"/>
        <v>30251.48</v>
      </c>
      <c r="H47" s="781">
        <f t="shared" si="77"/>
        <v>1</v>
      </c>
      <c r="I47" s="782">
        <f t="shared" si="77"/>
        <v>1</v>
      </c>
      <c r="J47" s="782">
        <f t="shared" si="77"/>
        <v>1</v>
      </c>
      <c r="K47" s="782">
        <f t="shared" si="77"/>
        <v>1</v>
      </c>
      <c r="L47" s="782">
        <f t="shared" si="77"/>
        <v>0.7004522807923953</v>
      </c>
      <c r="M47" s="783">
        <f t="shared" si="77"/>
        <v>1</v>
      </c>
      <c r="N47" s="775">
        <f t="shared" si="28"/>
        <v>7471.5723410466744</v>
      </c>
      <c r="O47" s="776">
        <f t="shared" si="29"/>
        <v>6443.1407987838757</v>
      </c>
      <c r="P47" s="776">
        <f t="shared" si="30"/>
        <v>6405.4174193537974</v>
      </c>
      <c r="Q47" s="776">
        <f t="shared" si="31"/>
        <v>6395.1759805976408</v>
      </c>
      <c r="R47" s="776">
        <f t="shared" si="32"/>
        <v>7858.9064933908412</v>
      </c>
      <c r="S47" s="777">
        <f t="shared" si="33"/>
        <v>12219.135284683551</v>
      </c>
      <c r="T47" s="735">
        <f t="shared" si="61"/>
        <v>1028.4315422627988</v>
      </c>
      <c r="U47" s="619">
        <f t="shared" si="62"/>
        <v>1066.154921692877</v>
      </c>
      <c r="V47" s="619">
        <f t="shared" si="63"/>
        <v>1076.3963604490336</v>
      </c>
      <c r="W47" s="619">
        <f t="shared" si="64"/>
        <v>-387.3341523441668</v>
      </c>
      <c r="X47" s="620">
        <f t="shared" si="65"/>
        <v>-4747.5629436368763</v>
      </c>
      <c r="Y47" s="621">
        <f ca="1">IF(AND(Y$22=TRUE,INDEX(CDRANGE_CLS1,MATCH($A47,$A$24:$A$67,0),MATCH(Y$20,$B$20:$G$20,0))&lt;$D$6/OPDAYS_Cls1),86,payback(C47,T47,disc_rate/12,85))</f>
        <v>5</v>
      </c>
      <c r="Z47" s="622">
        <f ca="1">IF(AND(Z$22=TRUE,INDEX(CDRANGE_CLS1,MATCH($A47,$A$24:$A$67,0),MATCH(Z$20,$B$20:$G$20,0))&lt;$D$6/OPDAYS_Cls1),86,payback(D47,U47,disc_rate/12,85))</f>
        <v>5</v>
      </c>
      <c r="AA47" s="622">
        <f ca="1">IF(AND(AA$22=TRUE,INDEX(CDRANGE_CLS1,MATCH($A47,$A$24:$A$67,0),MATCH(AA$20,$B$20:$G$20,0))&lt;$D$6/OPDAYS_Cls1),86,payback(E47,V47,disc_rate/12,85))</f>
        <v>12</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0.14428239773949031</v>
      </c>
      <c r="AE47" s="625">
        <f t="shared" si="36"/>
        <v>7.6677815199507476E-2</v>
      </c>
      <c r="AF47" s="625">
        <f t="shared" si="37"/>
        <v>0</v>
      </c>
      <c r="AG47" s="625">
        <f t="shared" si="38"/>
        <v>0</v>
      </c>
      <c r="AH47" s="626">
        <f t="shared" si="39"/>
        <v>0</v>
      </c>
      <c r="AI47" s="1156">
        <f t="shared" si="40"/>
        <v>0.49876368842168267</v>
      </c>
      <c r="AJ47" s="1157">
        <f t="shared" si="41"/>
        <v>0.49876368842168267</v>
      </c>
      <c r="AK47" s="1157">
        <f t="shared" si="42"/>
        <v>0.49876368842168267</v>
      </c>
      <c r="AL47" s="1157">
        <f t="shared" si="43"/>
        <v>0.49876368842168267</v>
      </c>
      <c r="AM47" s="1158">
        <f t="shared" si="44"/>
        <v>1.9156825975678672E-4</v>
      </c>
      <c r="AN47" s="630">
        <f t="shared" si="66"/>
        <v>0.9981966753922622</v>
      </c>
      <c r="AO47" s="628">
        <f t="shared" si="67"/>
        <v>0.99789509454064651</v>
      </c>
      <c r="AP47" s="628">
        <f t="shared" si="68"/>
        <v>0.9857599417234898</v>
      </c>
      <c r="AQ47" s="628">
        <f t="shared" si="69"/>
        <v>0.57634999282684884</v>
      </c>
      <c r="AR47" s="629">
        <f t="shared" si="70"/>
        <v>0.90806159220613536</v>
      </c>
      <c r="AS47" s="624">
        <f t="shared" ca="1" si="46"/>
        <v>0.99752737684336534</v>
      </c>
      <c r="AT47" s="625">
        <f t="shared" ca="1" si="47"/>
        <v>0.99752737684336534</v>
      </c>
      <c r="AU47" s="625">
        <f t="shared" ca="1" si="48"/>
        <v>0.91856286866898906</v>
      </c>
      <c r="AV47" s="625">
        <f t="shared" ca="1" si="49"/>
        <v>0</v>
      </c>
      <c r="AW47" s="626">
        <f t="shared" ca="1" si="50"/>
        <v>0</v>
      </c>
      <c r="AX47" s="624">
        <f t="shared" ca="1" si="51"/>
        <v>0.99572851117781158</v>
      </c>
      <c r="AY47" s="625">
        <f t="shared" ca="1" si="52"/>
        <v>0.99542767602199322</v>
      </c>
      <c r="AZ47" s="625">
        <f t="shared" ca="1" si="53"/>
        <v>0.90548247988850428</v>
      </c>
      <c r="BA47" s="625">
        <f t="shared" ca="1" si="71"/>
        <v>0</v>
      </c>
      <c r="BB47" s="626">
        <f t="shared" ca="1" si="72"/>
        <v>0</v>
      </c>
      <c r="BC47" s="624">
        <f t="shared" ca="1" si="73"/>
        <v>4.2714888221884184E-3</v>
      </c>
      <c r="BD47" s="625">
        <f t="shared" ca="1" si="56"/>
        <v>0.34228475896477922</v>
      </c>
      <c r="BE47" s="625">
        <f t="shared" ca="1" si="57"/>
        <v>0.34218134594843846</v>
      </c>
      <c r="BF47" s="625">
        <f t="shared" ca="1" si="58"/>
        <v>0.31126240626459395</v>
      </c>
      <c r="BG47" s="625">
        <f t="shared" ca="1" si="59"/>
        <v>0</v>
      </c>
      <c r="BH47" s="626">
        <f t="shared" ca="1" si="60"/>
        <v>0</v>
      </c>
    </row>
    <row r="48" spans="1:62" x14ac:dyDescent="0.2">
      <c r="A48" s="318">
        <v>2031</v>
      </c>
      <c r="B48" s="817">
        <f t="shared" si="76"/>
        <v>162352.82999999999</v>
      </c>
      <c r="C48" s="818">
        <f t="shared" si="76"/>
        <v>4138.51</v>
      </c>
      <c r="D48" s="818">
        <f t="shared" si="76"/>
        <v>4471.53</v>
      </c>
      <c r="E48" s="818">
        <f t="shared" si="76"/>
        <v>12448.26</v>
      </c>
      <c r="F48" s="818">
        <f t="shared" si="76"/>
        <v>66808.679999999993</v>
      </c>
      <c r="G48" s="819">
        <f t="shared" si="76"/>
        <v>27282.04</v>
      </c>
      <c r="H48" s="781">
        <f t="shared" si="77"/>
        <v>1</v>
      </c>
      <c r="I48" s="782">
        <f t="shared" si="77"/>
        <v>1</v>
      </c>
      <c r="J48" s="782">
        <f t="shared" si="77"/>
        <v>1</v>
      </c>
      <c r="K48" s="782">
        <f t="shared" si="77"/>
        <v>1</v>
      </c>
      <c r="L48" s="782">
        <f t="shared" si="77"/>
        <v>0.69980828768360892</v>
      </c>
      <c r="M48" s="783">
        <f t="shared" si="77"/>
        <v>1</v>
      </c>
      <c r="N48" s="631">
        <f t="shared" si="28"/>
        <v>7545.6065664413063</v>
      </c>
      <c r="O48" s="632">
        <f t="shared" si="29"/>
        <v>6506.9845141857804</v>
      </c>
      <c r="P48" s="632">
        <f t="shared" si="30"/>
        <v>6468.88734179113</v>
      </c>
      <c r="Q48" s="632">
        <f t="shared" si="31"/>
        <v>6346.338787286667</v>
      </c>
      <c r="R48" s="632">
        <f t="shared" si="32"/>
        <v>7762.8114755012011</v>
      </c>
      <c r="S48" s="745">
        <f t="shared" si="33"/>
        <v>11685.686606729947</v>
      </c>
      <c r="T48" s="736">
        <f t="shared" si="61"/>
        <v>1038.6220522555259</v>
      </c>
      <c r="U48" s="632">
        <f t="shared" si="62"/>
        <v>1076.7192246501763</v>
      </c>
      <c r="V48" s="632">
        <f t="shared" si="63"/>
        <v>1199.2677791546394</v>
      </c>
      <c r="W48" s="632">
        <f t="shared" si="64"/>
        <v>-217.20490905989482</v>
      </c>
      <c r="X48" s="633">
        <f t="shared" si="65"/>
        <v>-4140.0800402886407</v>
      </c>
      <c r="Y48" s="634">
        <f ca="1">IF(AND(Y$22=TRUE,INDEX(CDRANGE_CLS1,MATCH($A48,$A$24:$A$67,0),MATCH(Y$20,$B$20:$G$20,0))&lt;$D$6/OPDAYS_Cls1),86,payback(C48,T48,disc_rate/12,85))</f>
        <v>5</v>
      </c>
      <c r="Z48" s="635">
        <f ca="1">IF(AND(Z$22=TRUE,INDEX(CDRANGE_CLS1,MATCH($A48,$A$24:$A$67,0),MATCH(Z$20,$B$20:$G$20,0))&lt;$D$6/OPDAYS_Cls1),86,payback(D48,U48,disc_rate/12,85))</f>
        <v>5</v>
      </c>
      <c r="AA48" s="635">
        <f ca="1">IF(AND(AA$22=TRUE,INDEX(CDRANGE_CLS1,MATCH($A48,$A$24:$A$67,0),MATCH(AA$20,$B$20:$G$20,0))&lt;$D$6/OPDAYS_Cls1),86,payback(E48,V48,disc_rate/12,85))</f>
        <v>11</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0.14450826356752089</v>
      </c>
      <c r="AE48" s="638">
        <f t="shared" si="36"/>
        <v>7.6797849926493938E-2</v>
      </c>
      <c r="AF48" s="638">
        <f t="shared" si="37"/>
        <v>0</v>
      </c>
      <c r="AG48" s="638">
        <f t="shared" si="38"/>
        <v>0</v>
      </c>
      <c r="AH48" s="639">
        <f t="shared" si="39"/>
        <v>0</v>
      </c>
      <c r="AI48" s="1150">
        <f t="shared" si="40"/>
        <v>0.4995444744027997</v>
      </c>
      <c r="AJ48" s="1151">
        <f t="shared" si="41"/>
        <v>0.4995444744027997</v>
      </c>
      <c r="AK48" s="1151">
        <f t="shared" si="42"/>
        <v>0.4995444744027997</v>
      </c>
      <c r="AL48" s="1151">
        <f t="shared" si="43"/>
        <v>0.4995444744027997</v>
      </c>
      <c r="AM48" s="1152">
        <f t="shared" si="44"/>
        <v>3.2727421381663498E-4</v>
      </c>
      <c r="AN48" s="643">
        <f t="shared" si="66"/>
        <v>0.9981966753922622</v>
      </c>
      <c r="AO48" s="641">
        <f t="shared" si="67"/>
        <v>0.99789509454064651</v>
      </c>
      <c r="AP48" s="641">
        <f t="shared" si="68"/>
        <v>0.98380228278757431</v>
      </c>
      <c r="AQ48" s="641">
        <f t="shared" si="69"/>
        <v>0.62476839414190222</v>
      </c>
      <c r="AR48" s="642">
        <f t="shared" si="70"/>
        <v>0.92455855529823472</v>
      </c>
      <c r="AS48" s="637">
        <f t="shared" ca="1" si="46"/>
        <v>0.9990889488055994</v>
      </c>
      <c r="AT48" s="638">
        <f t="shared" ca="1" si="47"/>
        <v>0.9990889488055994</v>
      </c>
      <c r="AU48" s="638">
        <f t="shared" ca="1" si="48"/>
        <v>0.94147391307413664</v>
      </c>
      <c r="AV48" s="638">
        <f t="shared" ca="1" si="49"/>
        <v>0</v>
      </c>
      <c r="AW48" s="639">
        <f t="shared" ca="1" si="50"/>
        <v>0</v>
      </c>
      <c r="AX48" s="637">
        <f t="shared" ca="1" si="51"/>
        <v>0.99728726711889937</v>
      </c>
      <c r="AY48" s="638">
        <f t="shared" ca="1" si="52"/>
        <v>0.99698596102287873</v>
      </c>
      <c r="AZ48" s="638">
        <f t="shared" ca="1" si="53"/>
        <v>0.92622418486728597</v>
      </c>
      <c r="BA48" s="638">
        <f t="shared" ca="1" si="71"/>
        <v>0</v>
      </c>
      <c r="BB48" s="639">
        <f t="shared" ca="1" si="72"/>
        <v>0</v>
      </c>
      <c r="BC48" s="637">
        <f t="shared" ca="1" si="73"/>
        <v>2.7127328811007434E-3</v>
      </c>
      <c r="BD48" s="638">
        <f t="shared" ca="1" si="56"/>
        <v>0.34055222535969976</v>
      </c>
      <c r="BE48" s="638">
        <f t="shared" ca="1" si="57"/>
        <v>0.34044933578625647</v>
      </c>
      <c r="BF48" s="638">
        <f t="shared" ca="1" si="58"/>
        <v>0.31628570597294309</v>
      </c>
      <c r="BG48" s="638">
        <f t="shared" ca="1" si="59"/>
        <v>0</v>
      </c>
      <c r="BH48" s="639">
        <f t="shared" ca="1" si="60"/>
        <v>0</v>
      </c>
    </row>
    <row r="49" spans="1:60" x14ac:dyDescent="0.2">
      <c r="A49" s="317">
        <v>2032</v>
      </c>
      <c r="B49" s="820">
        <f t="shared" si="76"/>
        <v>162352.82999999999</v>
      </c>
      <c r="C49" s="821">
        <f t="shared" si="76"/>
        <v>4138.51</v>
      </c>
      <c r="D49" s="821">
        <f t="shared" si="76"/>
        <v>4471.53</v>
      </c>
      <c r="E49" s="821">
        <f t="shared" si="76"/>
        <v>13230.52</v>
      </c>
      <c r="F49" s="821">
        <f t="shared" si="76"/>
        <v>61306.63</v>
      </c>
      <c r="G49" s="822">
        <f t="shared" si="76"/>
        <v>24312.59</v>
      </c>
      <c r="H49" s="781">
        <f t="shared" si="77"/>
        <v>1</v>
      </c>
      <c r="I49" s="782">
        <f t="shared" si="77"/>
        <v>1</v>
      </c>
      <c r="J49" s="782">
        <f t="shared" si="77"/>
        <v>1</v>
      </c>
      <c r="K49" s="782">
        <f t="shared" si="77"/>
        <v>1</v>
      </c>
      <c r="L49" s="782">
        <f t="shared" si="77"/>
        <v>0.69916429457482265</v>
      </c>
      <c r="M49" s="783">
        <f t="shared" si="77"/>
        <v>1</v>
      </c>
      <c r="N49" s="275">
        <f t="shared" si="28"/>
        <v>7590.5746589098917</v>
      </c>
      <c r="O49" s="276">
        <f t="shared" si="29"/>
        <v>6545.7629316329494</v>
      </c>
      <c r="P49" s="276">
        <f t="shared" si="30"/>
        <v>6507.4387188862793</v>
      </c>
      <c r="Q49" s="276">
        <f t="shared" si="31"/>
        <v>6275.1405142010653</v>
      </c>
      <c r="R49" s="276">
        <f t="shared" si="32"/>
        <v>7648.2356401743564</v>
      </c>
      <c r="S49" s="278">
        <f t="shared" si="33"/>
        <v>11034.767132122088</v>
      </c>
      <c r="T49" s="734">
        <f t="shared" si="61"/>
        <v>1044.8117272769423</v>
      </c>
      <c r="U49" s="290">
        <f t="shared" si="62"/>
        <v>1083.1359400236124</v>
      </c>
      <c r="V49" s="290">
        <f t="shared" si="63"/>
        <v>1315.4341447088264</v>
      </c>
      <c r="W49" s="290">
        <f t="shared" si="64"/>
        <v>-57.660981264464681</v>
      </c>
      <c r="X49" s="291">
        <f t="shared" si="65"/>
        <v>-3444.1924732121961</v>
      </c>
      <c r="Y49" s="293">
        <f ca="1">IF(AND(Y$22=TRUE,INDEX(CDRANGE_CLS1,MATCH($A49,$A$24:$A$67,0),MATCH(Y$20,$B$20:$G$20,0))&lt;$D$6/OPDAYS_Cls1),86,payback(C49,T49,disc_rate/12,85))</f>
        <v>5</v>
      </c>
      <c r="Z49" s="294">
        <f ca="1">IF(AND(Z$22=TRUE,INDEX(CDRANGE_CLS1,MATCH($A49,$A$24:$A$67,0),MATCH(Z$20,$B$20:$G$20,0))&lt;$D$6/OPDAYS_Cls1),86,payback(D49,U49,disc_rate/12,85))</f>
        <v>5</v>
      </c>
      <c r="AA49" s="294">
        <f ca="1">IF(AND(AA$22=TRUE,INDEX(CDRANGE_CLS1,MATCH($A49,$A$24:$A$67,0),MATCH(AA$20,$B$20:$G$20,0))&lt;$D$6/OPDAYS_Cls1),86,payback(E49,V49,disc_rate/12,85))</f>
        <v>11</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0.144591532991312</v>
      </c>
      <c r="AE49" s="297">
        <f t="shared" si="36"/>
        <v>7.6842102847080637E-2</v>
      </c>
      <c r="AF49" s="297">
        <f t="shared" si="37"/>
        <v>0</v>
      </c>
      <c r="AG49" s="297">
        <f t="shared" si="38"/>
        <v>0</v>
      </c>
      <c r="AH49" s="298">
        <f t="shared" si="39"/>
        <v>0</v>
      </c>
      <c r="AI49" s="1144">
        <f t="shared" si="40"/>
        <v>0.49983232493476681</v>
      </c>
      <c r="AJ49" s="1145">
        <f t="shared" si="41"/>
        <v>0.49983232493476681</v>
      </c>
      <c r="AK49" s="1145">
        <f t="shared" si="42"/>
        <v>0.49983232493476681</v>
      </c>
      <c r="AL49" s="1145">
        <f t="shared" si="43"/>
        <v>0.49983232493476681</v>
      </c>
      <c r="AM49" s="1153">
        <f t="shared" si="44"/>
        <v>7.9909227560213318E-4</v>
      </c>
      <c r="AN49" s="299">
        <f t="shared" si="66"/>
        <v>0.9981966753922622</v>
      </c>
      <c r="AO49" s="300">
        <f t="shared" si="67"/>
        <v>0.99789509454064651</v>
      </c>
      <c r="AP49" s="300">
        <f t="shared" si="68"/>
        <v>0.98172186045188237</v>
      </c>
      <c r="AQ49" s="300">
        <f t="shared" si="69"/>
        <v>0.67294687545504683</v>
      </c>
      <c r="AR49" s="598">
        <f t="shared" si="70"/>
        <v>0.93960740956422517</v>
      </c>
      <c r="AS49" s="296">
        <f t="shared" ca="1" si="46"/>
        <v>0.99966464986953363</v>
      </c>
      <c r="AT49" s="297">
        <f t="shared" ca="1" si="47"/>
        <v>0.99966464986953363</v>
      </c>
      <c r="AU49" s="297">
        <f t="shared" ca="1" si="48"/>
        <v>0.94201641485445464</v>
      </c>
      <c r="AV49" s="297">
        <f t="shared" ca="1" si="49"/>
        <v>0</v>
      </c>
      <c r="AW49" s="298">
        <f t="shared" ca="1" si="50"/>
        <v>0</v>
      </c>
      <c r="AX49" s="296">
        <f t="shared" ca="1" si="51"/>
        <v>0.99786193000693835</v>
      </c>
      <c r="AY49" s="297">
        <f t="shared" ca="1" si="52"/>
        <v>0.99756045029050056</v>
      </c>
      <c r="AZ49" s="297">
        <f t="shared" ca="1" si="53"/>
        <v>0.92479810736712742</v>
      </c>
      <c r="BA49" s="297">
        <f t="shared" ca="1" si="71"/>
        <v>0</v>
      </c>
      <c r="BB49" s="298">
        <f t="shared" ca="1" si="72"/>
        <v>0</v>
      </c>
      <c r="BC49" s="296">
        <f t="shared" ca="1" si="73"/>
        <v>2.1380699930615421E-3</v>
      </c>
      <c r="BD49" s="297">
        <f t="shared" ca="1" si="56"/>
        <v>0.34097714044650834</v>
      </c>
      <c r="BE49" s="297">
        <f t="shared" ca="1" si="57"/>
        <v>0.34087412249530458</v>
      </c>
      <c r="BF49" s="297">
        <f t="shared" ca="1" si="58"/>
        <v>0.31601066706512548</v>
      </c>
      <c r="BG49" s="297">
        <f t="shared" ca="1" si="59"/>
        <v>0</v>
      </c>
      <c r="BH49" s="298">
        <f t="shared" ca="1" si="60"/>
        <v>0</v>
      </c>
    </row>
    <row r="50" spans="1:60" x14ac:dyDescent="0.2">
      <c r="A50" s="317">
        <v>2033</v>
      </c>
      <c r="B50" s="820">
        <f t="shared" si="76"/>
        <v>162352.82999999999</v>
      </c>
      <c r="C50" s="821">
        <f t="shared" si="76"/>
        <v>4138.51</v>
      </c>
      <c r="D50" s="821">
        <f t="shared" si="76"/>
        <v>4471.53</v>
      </c>
      <c r="E50" s="821">
        <f t="shared" si="76"/>
        <v>14012.78</v>
      </c>
      <c r="F50" s="821">
        <f t="shared" si="76"/>
        <v>55804.58</v>
      </c>
      <c r="G50" s="822">
        <f t="shared" si="76"/>
        <v>21343.14</v>
      </c>
      <c r="H50" s="781">
        <f t="shared" si="77"/>
        <v>1</v>
      </c>
      <c r="I50" s="782">
        <f t="shared" si="77"/>
        <v>1</v>
      </c>
      <c r="J50" s="782">
        <f t="shared" si="77"/>
        <v>1</v>
      </c>
      <c r="K50" s="782">
        <f t="shared" si="77"/>
        <v>1</v>
      </c>
      <c r="L50" s="782">
        <f t="shared" si="77"/>
        <v>0.69852030146603639</v>
      </c>
      <c r="M50" s="783">
        <f t="shared" si="77"/>
        <v>1</v>
      </c>
      <c r="N50" s="275">
        <f t="shared" si="28"/>
        <v>7702.8030868818396</v>
      </c>
      <c r="O50" s="276">
        <f t="shared" si="29"/>
        <v>6642.5435729816136</v>
      </c>
      <c r="P50" s="276">
        <f t="shared" si="30"/>
        <v>6603.6527277541245</v>
      </c>
      <c r="Q50" s="276">
        <f t="shared" si="31"/>
        <v>6261.0036982723886</v>
      </c>
      <c r="R50" s="276">
        <f t="shared" si="32"/>
        <v>7596.54234887042</v>
      </c>
      <c r="S50" s="278">
        <f t="shared" si="33"/>
        <v>10430.389718554427</v>
      </c>
      <c r="T50" s="734">
        <f t="shared" si="61"/>
        <v>1060.259513900226</v>
      </c>
      <c r="U50" s="290">
        <f t="shared" si="62"/>
        <v>1099.1503591277151</v>
      </c>
      <c r="V50" s="290">
        <f t="shared" si="63"/>
        <v>1441.7993886094509</v>
      </c>
      <c r="W50" s="290">
        <f t="shared" si="64"/>
        <v>106.26073801141956</v>
      </c>
      <c r="X50" s="291">
        <f t="shared" si="65"/>
        <v>-2727.5866316725869</v>
      </c>
      <c r="Y50" s="293">
        <f ca="1">IF(AND(Y$22=TRUE,INDEX(CDRANGE_CLS1,MATCH($A50,$A$24:$A$67,0),MATCH(Y$20,$B$20:$G$20,0))&lt;$D$6/OPDAYS_Cls1),86,payback(C50,T50,disc_rate/12,85))</f>
        <v>4</v>
      </c>
      <c r="Z50" s="294">
        <f ca="1">IF(AND(Z$22=TRUE,INDEX(CDRANGE_CLS1,MATCH($A50,$A$24:$A$67,0),MATCH(Z$20,$B$20:$G$20,0))&lt;$D$6/OPDAYS_Cls1),86,payback(D50,U50,disc_rate/12,85))</f>
        <v>5</v>
      </c>
      <c r="AA50" s="294">
        <f ca="1">IF(AND(AA$22=TRUE,INDEX(CDRANGE_CLS1,MATCH($A50,$A$24:$A$67,0),MATCH(AA$20,$B$20:$G$20,0))&lt;$D$6/OPDAYS_Cls1),86,payback(E50,V50,disc_rate/12,85))</f>
        <v>11</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0.14462219025077624</v>
      </c>
      <c r="AE50" s="297">
        <f t="shared" si="36"/>
        <v>7.6858395421313896E-2</v>
      </c>
      <c r="AF50" s="297">
        <f t="shared" si="37"/>
        <v>0</v>
      </c>
      <c r="AG50" s="297">
        <f t="shared" si="38"/>
        <v>0</v>
      </c>
      <c r="AH50" s="298">
        <f t="shared" si="39"/>
        <v>0</v>
      </c>
      <c r="AI50" s="1144">
        <f t="shared" si="40"/>
        <v>0.49993830271200684</v>
      </c>
      <c r="AJ50" s="1145">
        <f t="shared" si="41"/>
        <v>0.49993830271200684</v>
      </c>
      <c r="AK50" s="1145">
        <f t="shared" si="42"/>
        <v>0.49993830271200684</v>
      </c>
      <c r="AL50" s="1145">
        <f t="shared" si="43"/>
        <v>0.49993830271200684</v>
      </c>
      <c r="AM50" s="1153">
        <f t="shared" si="44"/>
        <v>1.1697648133383034E-3</v>
      </c>
      <c r="AN50" s="299">
        <f t="shared" si="66"/>
        <v>0.9981966753922622</v>
      </c>
      <c r="AO50" s="300">
        <f t="shared" si="67"/>
        <v>0.99789509454064651</v>
      </c>
      <c r="AP50" s="300">
        <f t="shared" si="68"/>
        <v>0.97951949455660758</v>
      </c>
      <c r="AQ50" s="300">
        <f t="shared" si="69"/>
        <v>0.72023045442075906</v>
      </c>
      <c r="AR50" s="598">
        <f t="shared" si="70"/>
        <v>0.95312818648793163</v>
      </c>
      <c r="AS50" s="296">
        <f t="shared" ca="1" si="46"/>
        <v>0.99987660542401369</v>
      </c>
      <c r="AT50" s="297">
        <f t="shared" ca="1" si="47"/>
        <v>0.99987660542401369</v>
      </c>
      <c r="AU50" s="297">
        <f t="shared" ca="1" si="48"/>
        <v>0.94221614744634519</v>
      </c>
      <c r="AV50" s="297">
        <f t="shared" ca="1" si="49"/>
        <v>0</v>
      </c>
      <c r="AW50" s="298">
        <f t="shared" ca="1" si="50"/>
        <v>0</v>
      </c>
      <c r="AX50" s="296">
        <f t="shared" ca="1" si="51"/>
        <v>0.99807350333675127</v>
      </c>
      <c r="AY50" s="297">
        <f t="shared" ca="1" si="52"/>
        <v>0.99777195969857679</v>
      </c>
      <c r="AZ50" s="297">
        <f t="shared" ca="1" si="53"/>
        <v>0.92291908450971805</v>
      </c>
      <c r="BA50" s="297">
        <f t="shared" ca="1" si="71"/>
        <v>0</v>
      </c>
      <c r="BB50" s="298">
        <f t="shared" ca="1" si="72"/>
        <v>0</v>
      </c>
      <c r="BC50" s="296">
        <f t="shared" ca="1" si="73"/>
        <v>1.9264966632488445E-3</v>
      </c>
      <c r="BD50" s="297">
        <f t="shared" ca="1" si="56"/>
        <v>0.3412919068448847</v>
      </c>
      <c r="BE50" s="297">
        <f t="shared" ca="1" si="57"/>
        <v>0.3411887937946681</v>
      </c>
      <c r="BF50" s="297">
        <f t="shared" ca="1" si="58"/>
        <v>0.31559280269719842</v>
      </c>
      <c r="BG50" s="297">
        <f t="shared" ca="1" si="59"/>
        <v>0</v>
      </c>
      <c r="BH50" s="298">
        <f t="shared" ca="1" si="60"/>
        <v>0</v>
      </c>
    </row>
    <row r="51" spans="1:60" x14ac:dyDescent="0.2">
      <c r="A51" s="317">
        <v>2034</v>
      </c>
      <c r="B51" s="820">
        <f t="shared" si="76"/>
        <v>162352.82999999999</v>
      </c>
      <c r="C51" s="821">
        <f t="shared" si="76"/>
        <v>4138.51</v>
      </c>
      <c r="D51" s="821">
        <f t="shared" si="76"/>
        <v>4471.53</v>
      </c>
      <c r="E51" s="821">
        <f t="shared" si="76"/>
        <v>14795.03</v>
      </c>
      <c r="F51" s="821">
        <f t="shared" si="76"/>
        <v>50302.53</v>
      </c>
      <c r="G51" s="822">
        <f t="shared" si="76"/>
        <v>18373.689999999999</v>
      </c>
      <c r="H51" s="781">
        <f t="shared" si="77"/>
        <v>1</v>
      </c>
      <c r="I51" s="782">
        <f t="shared" si="77"/>
        <v>1</v>
      </c>
      <c r="J51" s="782">
        <f t="shared" si="77"/>
        <v>1</v>
      </c>
      <c r="K51" s="782">
        <f t="shared" si="77"/>
        <v>1</v>
      </c>
      <c r="L51" s="782">
        <f t="shared" si="77"/>
        <v>0.69787630835725001</v>
      </c>
      <c r="M51" s="783">
        <f t="shared" si="77"/>
        <v>1</v>
      </c>
      <c r="N51" s="275">
        <f t="shared" si="28"/>
        <v>7755.0096106293922</v>
      </c>
      <c r="O51" s="276">
        <f t="shared" si="29"/>
        <v>6687.5640810843852</v>
      </c>
      <c r="P51" s="276">
        <f t="shared" si="30"/>
        <v>6648.4096492362823</v>
      </c>
      <c r="Q51" s="276">
        <f t="shared" si="31"/>
        <v>6199.3522614153389</v>
      </c>
      <c r="R51" s="276">
        <f t="shared" si="32"/>
        <v>7500.5124878263186</v>
      </c>
      <c r="S51" s="278">
        <f t="shared" si="33"/>
        <v>9850.6849119841936</v>
      </c>
      <c r="T51" s="734">
        <f t="shared" si="61"/>
        <v>1067.445529545007</v>
      </c>
      <c r="U51" s="290">
        <f t="shared" si="62"/>
        <v>1106.5999613931099</v>
      </c>
      <c r="V51" s="290">
        <f t="shared" si="63"/>
        <v>1555.6573492140533</v>
      </c>
      <c r="W51" s="290">
        <f t="shared" si="64"/>
        <v>254.49712280307358</v>
      </c>
      <c r="X51" s="291">
        <f t="shared" si="65"/>
        <v>-2095.6753013548014</v>
      </c>
      <c r="Y51" s="293">
        <f ca="1">IF(AND(Y$22=TRUE,INDEX(CDRANGE_CLS1,MATCH($A51,$A$24:$A$67,0),MATCH(Y$20,$B$20:$G$20,0))&lt;$D$6/OPDAYS_Cls1),86,payback(C51,T51,disc_rate/12,85))</f>
        <v>4</v>
      </c>
      <c r="Z51" s="294">
        <f ca="1">IF(AND(Z$22=TRUE,INDEX(CDRANGE_CLS1,MATCH($A51,$A$24:$A$67,0),MATCH(Z$20,$B$20:$G$20,0))&lt;$D$6/OPDAYS_Cls1),86,payback(D51,U51,disc_rate/12,85))</f>
        <v>5</v>
      </c>
      <c r="AA51" s="294">
        <f ca="1">IF(AND(AA$22=TRUE,INDEX(CDRANGE_CLS1,MATCH($A51,$A$24:$A$67,0),MATCH(AA$20,$B$20:$G$20,0))&lt;$D$6/OPDAYS_Cls1),86,payback(E51,V51,disc_rate/12,85))</f>
        <v>10</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0.14463347169748533</v>
      </c>
      <c r="AE51" s="297">
        <f t="shared" si="36"/>
        <v>7.6864390862888848E-2</v>
      </c>
      <c r="AF51" s="297">
        <f t="shared" si="37"/>
        <v>0</v>
      </c>
      <c r="AG51" s="297">
        <f t="shared" si="38"/>
        <v>0</v>
      </c>
      <c r="AH51" s="298">
        <f t="shared" si="39"/>
        <v>0</v>
      </c>
      <c r="AI51" s="1144">
        <f t="shared" si="40"/>
        <v>0.4999773010656488</v>
      </c>
      <c r="AJ51" s="1145">
        <f t="shared" si="41"/>
        <v>0.4999773010656488</v>
      </c>
      <c r="AK51" s="1145">
        <f t="shared" si="42"/>
        <v>0.4999773010656488</v>
      </c>
      <c r="AL51" s="1145">
        <f t="shared" si="43"/>
        <v>0.4999773010656488</v>
      </c>
      <c r="AM51" s="1153">
        <f t="shared" si="44"/>
        <v>2.2795637746865363E-3</v>
      </c>
      <c r="AN51" s="299">
        <f t="shared" si="66"/>
        <v>0.9981966753922622</v>
      </c>
      <c r="AO51" s="300">
        <f t="shared" si="67"/>
        <v>0.99789509454064651</v>
      </c>
      <c r="AP51" s="300">
        <f t="shared" si="68"/>
        <v>0.97719605657096653</v>
      </c>
      <c r="AQ51" s="300">
        <f t="shared" si="69"/>
        <v>0.76593365367827637</v>
      </c>
      <c r="AR51" s="598">
        <f t="shared" si="70"/>
        <v>0.96504832632795534</v>
      </c>
      <c r="AS51" s="296">
        <f t="shared" ca="1" si="46"/>
        <v>0.99995460213129761</v>
      </c>
      <c r="AT51" s="297">
        <f t="shared" ca="1" si="47"/>
        <v>0.99995460213129761</v>
      </c>
      <c r="AU51" s="297">
        <f t="shared" ca="1" si="48"/>
        <v>0.96098686319174376</v>
      </c>
      <c r="AV51" s="297">
        <f t="shared" ca="1" si="49"/>
        <v>0</v>
      </c>
      <c r="AW51" s="298">
        <f t="shared" ca="1" si="50"/>
        <v>0</v>
      </c>
      <c r="AX51" s="296">
        <f t="shared" ca="1" si="51"/>
        <v>0.99815135939065358</v>
      </c>
      <c r="AY51" s="297">
        <f t="shared" ca="1" si="52"/>
        <v>0.99784979223016579</v>
      </c>
      <c r="AZ51" s="297">
        <f t="shared" ca="1" si="53"/>
        <v>0.93907257312747494</v>
      </c>
      <c r="BA51" s="297">
        <f t="shared" ca="1" si="71"/>
        <v>0</v>
      </c>
      <c r="BB51" s="298">
        <f t="shared" ca="1" si="72"/>
        <v>0</v>
      </c>
      <c r="BC51" s="296">
        <f t="shared" ca="1" si="73"/>
        <v>1.8486406093464192E-3</v>
      </c>
      <c r="BD51" s="297">
        <f t="shared" ca="1" si="56"/>
        <v>0.33944841925183694</v>
      </c>
      <c r="BE51" s="297">
        <f t="shared" ca="1" si="57"/>
        <v>0.33934586316656712</v>
      </c>
      <c r="BF51" s="297">
        <f t="shared" ca="1" si="58"/>
        <v>0.31935707697224947</v>
      </c>
      <c r="BG51" s="297">
        <f t="shared" ca="1" si="59"/>
        <v>0</v>
      </c>
      <c r="BH51" s="298">
        <f t="shared" ca="1" si="60"/>
        <v>0</v>
      </c>
    </row>
    <row r="52" spans="1:60" ht="13.5" thickBot="1" x14ac:dyDescent="0.25">
      <c r="A52" s="302">
        <v>2035</v>
      </c>
      <c r="B52" s="823">
        <f t="shared" si="76"/>
        <v>162352.82999999999</v>
      </c>
      <c r="C52" s="824">
        <f t="shared" si="76"/>
        <v>4138.51</v>
      </c>
      <c r="D52" s="824">
        <f t="shared" si="76"/>
        <v>4471.53</v>
      </c>
      <c r="E52" s="824">
        <f t="shared" si="76"/>
        <v>15577.29</v>
      </c>
      <c r="F52" s="824">
        <f t="shared" si="76"/>
        <v>44800.480000000003</v>
      </c>
      <c r="G52" s="825">
        <f t="shared" si="76"/>
        <v>15404.24</v>
      </c>
      <c r="H52" s="781">
        <f t="shared" si="77"/>
        <v>1</v>
      </c>
      <c r="I52" s="782">
        <f t="shared" si="77"/>
        <v>1</v>
      </c>
      <c r="J52" s="782">
        <f t="shared" si="77"/>
        <v>1</v>
      </c>
      <c r="K52" s="782">
        <f t="shared" si="77"/>
        <v>1</v>
      </c>
      <c r="L52" s="782">
        <f t="shared" si="77"/>
        <v>0.69723231524846363</v>
      </c>
      <c r="M52" s="783">
        <f t="shared" si="77"/>
        <v>1</v>
      </c>
      <c r="N52" s="778">
        <f t="shared" si="28"/>
        <v>7814.4805501580995</v>
      </c>
      <c r="O52" s="779">
        <f t="shared" si="29"/>
        <v>6738.8490876839132</v>
      </c>
      <c r="P52" s="779">
        <f t="shared" si="30"/>
        <v>6699.3943917528968</v>
      </c>
      <c r="Q52" s="779">
        <f t="shared" si="31"/>
        <v>6145.4166367041098</v>
      </c>
      <c r="R52" s="779">
        <f t="shared" si="32"/>
        <v>7382.2244491910742</v>
      </c>
      <c r="S52" s="780">
        <f t="shared" si="33"/>
        <v>9331.5514168691534</v>
      </c>
      <c r="T52" s="737">
        <f t="shared" si="61"/>
        <v>1075.6314624741863</v>
      </c>
      <c r="U52" s="304">
        <f t="shared" si="62"/>
        <v>1115.0861584052027</v>
      </c>
      <c r="V52" s="304">
        <f t="shared" si="63"/>
        <v>1669.0639134539897</v>
      </c>
      <c r="W52" s="304">
        <f t="shared" si="64"/>
        <v>432.2561009670253</v>
      </c>
      <c r="X52" s="305">
        <f t="shared" si="65"/>
        <v>-1517.0708667110539</v>
      </c>
      <c r="Y52" s="307">
        <f ca="1">IF(AND(Y$22=TRUE,INDEX(CDRANGE_CLS1,MATCH($A52,$A$24:$A$67,0),MATCH(Y$20,$B$20:$G$20,0))&lt;$D$6/OPDAYS_Cls1),86,payback(C52,T52,disc_rate/12,85))</f>
        <v>4</v>
      </c>
      <c r="Z52" s="308">
        <f ca="1">IF(AND(Z$22=TRUE,INDEX(CDRANGE_CLS1,MATCH($A52,$A$24:$A$67,0),MATCH(Z$20,$B$20:$G$20,0))&lt;$D$6/OPDAYS_Cls1),86,payback(D52,U52,disc_rate/12,85))</f>
        <v>5</v>
      </c>
      <c r="AA52" s="308">
        <f ca="1">IF(AND(AA$22=TRUE,INDEX(CDRANGE_CLS1,MATCH($A52,$A$24:$A$67,0),MATCH(AA$20,$B$20:$G$20,0))&lt;$D$6/OPDAYS_Cls1),86,payback(E52,V52,disc_rate/12,85))</f>
        <v>10</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0.14463762235265018</v>
      </c>
      <c r="AE52" s="311">
        <f t="shared" si="36"/>
        <v>7.6866596697936454E-2</v>
      </c>
      <c r="AF52" s="311">
        <f t="shared" si="37"/>
        <v>0</v>
      </c>
      <c r="AG52" s="311">
        <f t="shared" si="38"/>
        <v>0</v>
      </c>
      <c r="AH52" s="312">
        <f t="shared" si="39"/>
        <v>0</v>
      </c>
      <c r="AI52" s="1147">
        <f t="shared" si="40"/>
        <v>0.49999164928907602</v>
      </c>
      <c r="AJ52" s="1148">
        <f t="shared" si="41"/>
        <v>0.49999164928907602</v>
      </c>
      <c r="AK52" s="1148">
        <f t="shared" si="42"/>
        <v>0.49999164928907602</v>
      </c>
      <c r="AL52" s="1148">
        <f t="shared" si="43"/>
        <v>0.49999164928907602</v>
      </c>
      <c r="AM52" s="1154">
        <f t="shared" si="44"/>
        <v>3.063803101141209E-3</v>
      </c>
      <c r="AN52" s="313">
        <f t="shared" si="66"/>
        <v>0.9981966753922622</v>
      </c>
      <c r="AO52" s="314">
        <f t="shared" si="67"/>
        <v>0.99789509454064651</v>
      </c>
      <c r="AP52" s="314">
        <f t="shared" si="68"/>
        <v>0.9747523729379316</v>
      </c>
      <c r="AQ52" s="314">
        <f t="shared" si="69"/>
        <v>0.80935637775633329</v>
      </c>
      <c r="AR52" s="599">
        <f t="shared" si="70"/>
        <v>0.97530326844915805</v>
      </c>
      <c r="AS52" s="310">
        <f t="shared" ca="1" si="46"/>
        <v>0.99998329857815205</v>
      </c>
      <c r="AT52" s="311">
        <f t="shared" ca="1" si="47"/>
        <v>0.99998329857815205</v>
      </c>
      <c r="AU52" s="311">
        <f t="shared" ca="1" si="48"/>
        <v>0.96101444135218084</v>
      </c>
      <c r="AV52" s="311">
        <f t="shared" ca="1" si="49"/>
        <v>0</v>
      </c>
      <c r="AW52" s="312">
        <f t="shared" ca="1" si="50"/>
        <v>0</v>
      </c>
      <c r="AX52" s="310">
        <f t="shared" ca="1" si="51"/>
        <v>0.99818000408849927</v>
      </c>
      <c r="AY52" s="311">
        <f t="shared" ca="1" si="52"/>
        <v>0.99787842827371254</v>
      </c>
      <c r="AZ52" s="311">
        <f t="shared" ca="1" si="53"/>
        <v>0.93675110713565901</v>
      </c>
      <c r="BA52" s="311">
        <f t="shared" ca="1" si="71"/>
        <v>0</v>
      </c>
      <c r="BB52" s="312">
        <f t="shared" ca="1" si="72"/>
        <v>0</v>
      </c>
      <c r="BC52" s="310">
        <f t="shared" ca="1" si="73"/>
        <v>1.8199959115008379E-3</v>
      </c>
      <c r="BD52" s="311">
        <f t="shared" ca="1" si="56"/>
        <v>0.33972997807853034</v>
      </c>
      <c r="BE52" s="311">
        <f t="shared" ca="1" si="57"/>
        <v>0.33962733692710789</v>
      </c>
      <c r="BF52" s="311">
        <f t="shared" ca="1" si="58"/>
        <v>0.31882268908286093</v>
      </c>
      <c r="BG52" s="311">
        <f t="shared" ca="1" si="59"/>
        <v>0</v>
      </c>
      <c r="BH52" s="312">
        <f t="shared" ca="1" si="60"/>
        <v>0</v>
      </c>
    </row>
    <row r="53" spans="1:60" x14ac:dyDescent="0.2">
      <c r="A53" s="316">
        <v>2036</v>
      </c>
      <c r="B53" s="826">
        <f t="shared" si="76"/>
        <v>162352.82999999999</v>
      </c>
      <c r="C53" s="827">
        <f t="shared" si="76"/>
        <v>4138.51</v>
      </c>
      <c r="D53" s="827">
        <f t="shared" si="76"/>
        <v>4471.53</v>
      </c>
      <c r="E53" s="827">
        <f t="shared" si="76"/>
        <v>15895.03</v>
      </c>
      <c r="F53" s="827">
        <f t="shared" si="76"/>
        <v>44263.41</v>
      </c>
      <c r="G53" s="828">
        <f t="shared" si="76"/>
        <v>14926.4</v>
      </c>
      <c r="H53" s="781">
        <f t="shared" si="77"/>
        <v>1</v>
      </c>
      <c r="I53" s="782">
        <f t="shared" si="77"/>
        <v>1</v>
      </c>
      <c r="J53" s="782">
        <f t="shared" si="77"/>
        <v>1</v>
      </c>
      <c r="K53" s="782">
        <f t="shared" si="77"/>
        <v>1</v>
      </c>
      <c r="L53" s="782">
        <f t="shared" si="77"/>
        <v>0.69703923241526888</v>
      </c>
      <c r="M53" s="783">
        <f t="shared" si="77"/>
        <v>1</v>
      </c>
      <c r="N53" s="275">
        <f t="shared" si="28"/>
        <v>7893.6665115215928</v>
      </c>
      <c r="O53" s="276">
        <f t="shared" si="29"/>
        <v>6807.1354235531535</v>
      </c>
      <c r="P53" s="276">
        <f t="shared" si="30"/>
        <v>6767.2809239490025</v>
      </c>
      <c r="Q53" s="276">
        <f t="shared" si="31"/>
        <v>6172.5659681380157</v>
      </c>
      <c r="R53" s="276">
        <f t="shared" si="32"/>
        <v>7368.2430012899458</v>
      </c>
      <c r="S53" s="278">
        <f t="shared" si="33"/>
        <v>8967.7466718254909</v>
      </c>
      <c r="T53" s="733">
        <f t="shared" si="61"/>
        <v>1086.5310879684394</v>
      </c>
      <c r="U53" s="276">
        <f t="shared" si="62"/>
        <v>1126.3855875725903</v>
      </c>
      <c r="V53" s="276">
        <f t="shared" si="63"/>
        <v>1721.1005433835771</v>
      </c>
      <c r="W53" s="276">
        <f t="shared" si="64"/>
        <v>525.42351023164701</v>
      </c>
      <c r="X53" s="277">
        <f t="shared" si="65"/>
        <v>-1074.0801603038981</v>
      </c>
      <c r="Y53" s="279">
        <f ca="1">IF(AND(Y$22=TRUE,INDEX(CDRANGE_CLS1,MATCH($A53,$A$24:$A$67,0),MATCH(Y$20,$B$20:$G$20,0))&lt;$D$6/OPDAYS_Cls1),86,payback(C53,T53,disc_rate/12,85))</f>
        <v>4</v>
      </c>
      <c r="Z53" s="280">
        <f ca="1">IF(AND(Z$22=TRUE,INDEX(CDRANGE_CLS1,MATCH($A53,$A$24:$A$67,0),MATCH(Z$20,$B$20:$G$20,0))&lt;$D$6/OPDAYS_Cls1),86,payback(D53,U53,disc_rate/12,85))</f>
        <v>5</v>
      </c>
      <c r="AA53" s="280">
        <f ca="1">IF(AND(AA$22=TRUE,INDEX(CDRANGE_CLS1,MATCH($A53,$A$24:$A$67,0),MATCH(AA$20,$B$20:$G$20,0))&lt;$D$6/OPDAYS_Cls1),86,payback(E53,V53,disc_rate/12,85))</f>
        <v>10</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0.14463914935329347</v>
      </c>
      <c r="AE53" s="283">
        <f t="shared" si="36"/>
        <v>7.686740821115616E-2</v>
      </c>
      <c r="AF53" s="283">
        <f t="shared" si="37"/>
        <v>0</v>
      </c>
      <c r="AG53" s="283">
        <f t="shared" si="38"/>
        <v>0</v>
      </c>
      <c r="AH53" s="284">
        <f t="shared" si="39"/>
        <v>0</v>
      </c>
      <c r="AI53" s="1141">
        <f t="shared" si="40"/>
        <v>0.4999969279126989</v>
      </c>
      <c r="AJ53" s="1142">
        <f t="shared" si="41"/>
        <v>0.4999969279126989</v>
      </c>
      <c r="AK53" s="1142">
        <f t="shared" si="42"/>
        <v>0.4999969279126989</v>
      </c>
      <c r="AL53" s="1142">
        <f t="shared" si="43"/>
        <v>0.4999969279126989</v>
      </c>
      <c r="AM53" s="1155">
        <f t="shared" si="44"/>
        <v>5.21545598989625E-3</v>
      </c>
      <c r="AN53" s="285">
        <f t="shared" si="66"/>
        <v>0.9981966753922622</v>
      </c>
      <c r="AO53" s="286">
        <f t="shared" si="67"/>
        <v>0.99789509454064651</v>
      </c>
      <c r="AP53" s="286">
        <f t="shared" si="68"/>
        <v>0.9737256721318307</v>
      </c>
      <c r="AQ53" s="286">
        <f t="shared" si="69"/>
        <v>0.81344658395560621</v>
      </c>
      <c r="AR53" s="611">
        <f t="shared" si="70"/>
        <v>0.97679404733431618</v>
      </c>
      <c r="AS53" s="282">
        <f t="shared" ca="1" si="46"/>
        <v>0.99999385582539779</v>
      </c>
      <c r="AT53" s="283">
        <f t="shared" ca="1" si="47"/>
        <v>0.99999385582539779</v>
      </c>
      <c r="AU53" s="283">
        <f t="shared" ca="1" si="48"/>
        <v>0.96102458718869488</v>
      </c>
      <c r="AV53" s="283">
        <f t="shared" ca="1" si="49"/>
        <v>0</v>
      </c>
      <c r="AW53" s="284">
        <f t="shared" ca="1" si="50"/>
        <v>0</v>
      </c>
      <c r="AX53" s="282">
        <f t="shared" ca="1" si="51"/>
        <v>0.99819054229760129</v>
      </c>
      <c r="AY53" s="283">
        <f t="shared" ca="1" si="52"/>
        <v>0.99788896329895094</v>
      </c>
      <c r="AZ53" s="283">
        <f t="shared" ca="1" si="53"/>
        <v>0.93577431209552708</v>
      </c>
      <c r="BA53" s="283">
        <f t="shared" ca="1" si="71"/>
        <v>0</v>
      </c>
      <c r="BB53" s="284">
        <f t="shared" ca="1" si="72"/>
        <v>0</v>
      </c>
      <c r="BC53" s="282">
        <f t="shared" ca="1" si="73"/>
        <v>1.809457702398598E-3</v>
      </c>
      <c r="BD53" s="283">
        <f t="shared" ca="1" si="56"/>
        <v>0.33984789852746528</v>
      </c>
      <c r="BE53" s="283">
        <f t="shared" ca="1" si="57"/>
        <v>0.33974522174924671</v>
      </c>
      <c r="BF53" s="283">
        <f t="shared" ca="1" si="58"/>
        <v>0.31859742202088936</v>
      </c>
      <c r="BG53" s="283">
        <f t="shared" ca="1" si="59"/>
        <v>0</v>
      </c>
      <c r="BH53" s="284">
        <f t="shared" ca="1" si="60"/>
        <v>0</v>
      </c>
    </row>
    <row r="54" spans="1:60" x14ac:dyDescent="0.2">
      <c r="A54" s="317">
        <v>2037</v>
      </c>
      <c r="B54" s="820">
        <f t="shared" ref="B54:G67" si="78">ROUND(INDEX(COST_Cls1,$A54-($A$24-1),MATCH(B$20,TECHOPTS_Cls1,0)),2)</f>
        <v>162352.82999999999</v>
      </c>
      <c r="C54" s="821">
        <f t="shared" si="78"/>
        <v>4138.51</v>
      </c>
      <c r="D54" s="821">
        <f t="shared" si="78"/>
        <v>4471.53</v>
      </c>
      <c r="E54" s="821">
        <f t="shared" si="78"/>
        <v>16212.77</v>
      </c>
      <c r="F54" s="821">
        <f t="shared" si="78"/>
        <v>43726.33</v>
      </c>
      <c r="G54" s="822">
        <f t="shared" si="78"/>
        <v>14448.56</v>
      </c>
      <c r="H54" s="781">
        <f t="shared" ref="H54:M67" si="79">IF(H$21="Single-fuel",1,1-MIN(INDEX(CDRANGE_CLS1,$A54-($A$24-1),MATCH(H$20,TECHOPTS_Cls1,0))*OPDAYS_Cls1/$D$6,1))</f>
        <v>1</v>
      </c>
      <c r="I54" s="782">
        <f t="shared" si="79"/>
        <v>1</v>
      </c>
      <c r="J54" s="782">
        <f t="shared" si="79"/>
        <v>1</v>
      </c>
      <c r="K54" s="782">
        <f t="shared" si="79"/>
        <v>1</v>
      </c>
      <c r="L54" s="782">
        <f t="shared" si="79"/>
        <v>0.69684614958207414</v>
      </c>
      <c r="M54" s="783">
        <f t="shared" si="79"/>
        <v>1</v>
      </c>
      <c r="N54" s="275">
        <f t="shared" si="28"/>
        <v>7947.1464080862561</v>
      </c>
      <c r="O54" s="276">
        <f t="shared" si="29"/>
        <v>6853.2540298841805</v>
      </c>
      <c r="P54" s="276">
        <f t="shared" si="30"/>
        <v>6813.1295145004979</v>
      </c>
      <c r="Q54" s="276">
        <f t="shared" si="31"/>
        <v>6179.421669530172</v>
      </c>
      <c r="R54" s="276">
        <f t="shared" si="32"/>
        <v>7343.8295214426671</v>
      </c>
      <c r="S54" s="278">
        <f t="shared" si="33"/>
        <v>8665.5792142307673</v>
      </c>
      <c r="T54" s="734">
        <f t="shared" si="61"/>
        <v>1093.8923782020756</v>
      </c>
      <c r="U54" s="290">
        <f t="shared" si="62"/>
        <v>1134.0168935857582</v>
      </c>
      <c r="V54" s="290">
        <f t="shared" si="63"/>
        <v>1767.724738556084</v>
      </c>
      <c r="W54" s="290">
        <f t="shared" si="64"/>
        <v>603.31688664358899</v>
      </c>
      <c r="X54" s="291">
        <f t="shared" si="65"/>
        <v>-718.43280614451123</v>
      </c>
      <c r="Y54" s="293">
        <f ca="1">IF(AND(Y$22=TRUE,INDEX(CDRANGE_CLS1,MATCH($A54,$A$24:$A$67,0),MATCH(Y$20,$B$20:$G$20,0))&lt;$D$6/OPDAYS_Cls1),86,payback(C54,T54,disc_rate/12,85))</f>
        <v>4</v>
      </c>
      <c r="Z54" s="294">
        <f ca="1">IF(AND(Z$22=TRUE,INDEX(CDRANGE_CLS1,MATCH($A54,$A$24:$A$67,0),MATCH(Z$20,$B$20:$G$20,0))&lt;$D$6/OPDAYS_Cls1),86,payback(D54,U54,disc_rate/12,85))</f>
        <v>5</v>
      </c>
      <c r="AA54" s="294">
        <f ca="1">IF(AND(AA$22=TRUE,INDEX(CDRANGE_CLS1,MATCH($A54,$A$24:$A$67,0),MATCH(AA$20,$B$20:$G$20,0))&lt;$D$6/OPDAYS_Cls1),86,payback(E54,V54,disc_rate/12,85))</f>
        <v>10</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0.14463971111354926</v>
      </c>
      <c r="AE54" s="297">
        <f t="shared" si="36"/>
        <v>7.6867706754497236E-2</v>
      </c>
      <c r="AF54" s="297">
        <f t="shared" si="37"/>
        <v>0</v>
      </c>
      <c r="AG54" s="297">
        <f t="shared" si="38"/>
        <v>0</v>
      </c>
      <c r="AH54" s="298">
        <f t="shared" si="39"/>
        <v>0</v>
      </c>
      <c r="AI54" s="1144">
        <f t="shared" si="40"/>
        <v>0.49999886983785102</v>
      </c>
      <c r="AJ54" s="1145">
        <f t="shared" si="41"/>
        <v>0.49999886983785102</v>
      </c>
      <c r="AK54" s="1145">
        <f t="shared" si="42"/>
        <v>0.49999886983785102</v>
      </c>
      <c r="AL54" s="1145">
        <f t="shared" si="43"/>
        <v>0.49999886983785102</v>
      </c>
      <c r="AM54" s="1153">
        <f t="shared" si="44"/>
        <v>8.3279266410674832E-3</v>
      </c>
      <c r="AN54" s="299">
        <f t="shared" si="66"/>
        <v>0.9981966753922622</v>
      </c>
      <c r="AO54" s="300">
        <f t="shared" si="67"/>
        <v>0.99789509454064651</v>
      </c>
      <c r="AP54" s="300">
        <f t="shared" si="68"/>
        <v>0.97267935486328039</v>
      </c>
      <c r="AQ54" s="300">
        <f t="shared" si="69"/>
        <v>0.81750783389145409</v>
      </c>
      <c r="AR54" s="598">
        <f t="shared" si="70"/>
        <v>0.97824002576349955</v>
      </c>
      <c r="AS54" s="296">
        <f t="shared" ca="1" si="46"/>
        <v>0.99999773967570205</v>
      </c>
      <c r="AT54" s="297">
        <f t="shared" ca="1" si="47"/>
        <v>0.99999773967570205</v>
      </c>
      <c r="AU54" s="297">
        <f t="shared" ca="1" si="48"/>
        <v>0.96102831968726332</v>
      </c>
      <c r="AV54" s="297">
        <f t="shared" ca="1" si="49"/>
        <v>0</v>
      </c>
      <c r="AW54" s="298">
        <f t="shared" ca="1" si="50"/>
        <v>0</v>
      </c>
      <c r="AX54" s="296">
        <f t="shared" ca="1" si="51"/>
        <v>0.99819441914406271</v>
      </c>
      <c r="AY54" s="297">
        <f t="shared" ca="1" si="52"/>
        <v>0.99789283897411751</v>
      </c>
      <c r="AZ54" s="297">
        <f t="shared" ca="1" si="53"/>
        <v>0.93477240599874967</v>
      </c>
      <c r="BA54" s="297">
        <f t="shared" ca="1" si="71"/>
        <v>0</v>
      </c>
      <c r="BB54" s="298">
        <f t="shared" ca="1" si="72"/>
        <v>0</v>
      </c>
      <c r="BC54" s="296">
        <f t="shared" ca="1" si="73"/>
        <v>1.8055808559371833E-3</v>
      </c>
      <c r="BD54" s="297">
        <f t="shared" ca="1" si="56"/>
        <v>0.33996581638123791</v>
      </c>
      <c r="BE54" s="297">
        <f t="shared" ca="1" si="57"/>
        <v>0.33986310397700731</v>
      </c>
      <c r="BF54" s="297">
        <f t="shared" ca="1" si="58"/>
        <v>0.31836549878581749</v>
      </c>
      <c r="BG54" s="297">
        <f t="shared" ca="1" si="59"/>
        <v>0</v>
      </c>
      <c r="BH54" s="298">
        <f t="shared" ca="1" si="60"/>
        <v>0</v>
      </c>
    </row>
    <row r="55" spans="1:60" x14ac:dyDescent="0.2">
      <c r="A55" s="317">
        <v>2038</v>
      </c>
      <c r="B55" s="820">
        <f t="shared" si="78"/>
        <v>162352.82999999999</v>
      </c>
      <c r="C55" s="821">
        <f t="shared" si="78"/>
        <v>4138.51</v>
      </c>
      <c r="D55" s="821">
        <f t="shared" si="78"/>
        <v>4471.53</v>
      </c>
      <c r="E55" s="821">
        <f t="shared" si="78"/>
        <v>16530.509999999998</v>
      </c>
      <c r="F55" s="821">
        <f t="shared" si="78"/>
        <v>43189.26</v>
      </c>
      <c r="G55" s="822">
        <f t="shared" si="78"/>
        <v>13970.71</v>
      </c>
      <c r="H55" s="781">
        <f t="shared" si="79"/>
        <v>1</v>
      </c>
      <c r="I55" s="782">
        <f t="shared" si="79"/>
        <v>1</v>
      </c>
      <c r="J55" s="782">
        <f t="shared" si="79"/>
        <v>1</v>
      </c>
      <c r="K55" s="782">
        <f t="shared" si="79"/>
        <v>1</v>
      </c>
      <c r="L55" s="782">
        <f t="shared" si="79"/>
        <v>0.69665306674887928</v>
      </c>
      <c r="M55" s="783">
        <f t="shared" si="79"/>
        <v>1</v>
      </c>
      <c r="N55" s="275">
        <f t="shared" si="28"/>
        <v>8014.1491902754615</v>
      </c>
      <c r="O55" s="276">
        <f t="shared" si="29"/>
        <v>6911.0341516376193</v>
      </c>
      <c r="P55" s="276">
        <f t="shared" si="30"/>
        <v>6870.5713444915045</v>
      </c>
      <c r="Q55" s="276">
        <f t="shared" si="31"/>
        <v>6196.6567506807132</v>
      </c>
      <c r="R55" s="276">
        <f t="shared" si="32"/>
        <v>7321.4827560081394</v>
      </c>
      <c r="S55" s="278">
        <f t="shared" si="33"/>
        <v>8387.0597446654028</v>
      </c>
      <c r="T55" s="734">
        <f t="shared" si="61"/>
        <v>1103.1150386378422</v>
      </c>
      <c r="U55" s="290">
        <f t="shared" si="62"/>
        <v>1143.5778457839569</v>
      </c>
      <c r="V55" s="290">
        <f t="shared" si="63"/>
        <v>1817.4924395947482</v>
      </c>
      <c r="W55" s="290">
        <f t="shared" si="64"/>
        <v>692.66643426732207</v>
      </c>
      <c r="X55" s="291">
        <f t="shared" si="65"/>
        <v>-372.91055438994135</v>
      </c>
      <c r="Y55" s="293">
        <f ca="1">IF(AND(Y$22=TRUE,INDEX(CDRANGE_CLS1,MATCH($A55,$A$24:$A$67,0),MATCH(Y$20,$B$20:$G$20,0))&lt;$D$6/OPDAYS_Cls1),86,payback(C55,T55,disc_rate/12,85))</f>
        <v>4</v>
      </c>
      <c r="Z55" s="294">
        <f ca="1">IF(AND(Z$22=TRUE,INDEX(CDRANGE_CLS1,MATCH($A55,$A$24:$A$67,0),MATCH(Z$20,$B$20:$G$20,0))&lt;$D$6/OPDAYS_Cls1),86,payback(D55,U55,disc_rate/12,85))</f>
        <v>4</v>
      </c>
      <c r="AA55" s="294">
        <f ca="1">IF(AND(AA$22=TRUE,INDEX(CDRANGE_CLS1,MATCH($A55,$A$24:$A$67,0),MATCH(AA$20,$B$20:$G$20,0))&lt;$D$6/OPDAYS_Cls1),86,payback(E55,V55,disc_rate/12,85))</f>
        <v>10</v>
      </c>
      <c r="AB55" s="294">
        <f ca="1">IF(AND(AB$22=TRUE,INDEX(CDRANGE_CLS1,MATCH($A55,$A$24:$A$67,0),MATCH(AB$20,$B$20:$G$20,0))&lt;$D$6/OPDAYS_Cls1),86,payback(F55,W55,disc_rate/12,85))</f>
        <v>80</v>
      </c>
      <c r="AC55" s="592">
        <f ca="1">IF(AND(AC$22=TRUE,INDEX(CDRANGE_CLS1,MATCH($A55,$A$24:$A$67,0),MATCH(AC$20,$B$20:$G$20,0))&lt;$D$6/OPDAYS_Cls1),86,payback(G55,X55,disc_rate/12,85))</f>
        <v>86</v>
      </c>
      <c r="AD55" s="296">
        <f t="shared" si="35"/>
        <v>0.14463991777469612</v>
      </c>
      <c r="AE55" s="297">
        <f t="shared" si="36"/>
        <v>7.6867816583038193E-2</v>
      </c>
      <c r="AF55" s="297">
        <f t="shared" si="37"/>
        <v>0</v>
      </c>
      <c r="AG55" s="297">
        <f t="shared" si="38"/>
        <v>0</v>
      </c>
      <c r="AH55" s="298">
        <f t="shared" si="39"/>
        <v>0</v>
      </c>
      <c r="AI55" s="1144">
        <f t="shared" si="40"/>
        <v>0.49999958423598612</v>
      </c>
      <c r="AJ55" s="1145">
        <f t="shared" si="41"/>
        <v>0.49999958423598612</v>
      </c>
      <c r="AK55" s="1145">
        <f t="shared" si="42"/>
        <v>0.49999958423598612</v>
      </c>
      <c r="AL55" s="1145">
        <f t="shared" si="43"/>
        <v>0.49999958423598612</v>
      </c>
      <c r="AM55" s="1153">
        <f t="shared" si="44"/>
        <v>1.0317728173388992E-2</v>
      </c>
      <c r="AN55" s="299">
        <f t="shared" si="66"/>
        <v>0.9981966753922622</v>
      </c>
      <c r="AO55" s="300">
        <f t="shared" si="67"/>
        <v>0.99789509454064651</v>
      </c>
      <c r="AP55" s="300">
        <f t="shared" si="68"/>
        <v>0.97161348671596404</v>
      </c>
      <c r="AQ55" s="300">
        <f t="shared" si="69"/>
        <v>0.82153933635994625</v>
      </c>
      <c r="AR55" s="598">
        <f t="shared" si="70"/>
        <v>0.97964102698798738</v>
      </c>
      <c r="AS55" s="296">
        <f t="shared" ca="1" si="46"/>
        <v>0.99999916847197223</v>
      </c>
      <c r="AT55" s="297">
        <f t="shared" ca="1" si="47"/>
        <v>0.99999916847197223</v>
      </c>
      <c r="AU55" s="297">
        <f t="shared" ca="1" si="48"/>
        <v>0.96102969280404571</v>
      </c>
      <c r="AV55" s="297">
        <f t="shared" ca="1" si="49"/>
        <v>5.0552405890011735E-4</v>
      </c>
      <c r="AW55" s="298">
        <f t="shared" ca="1" si="50"/>
        <v>0</v>
      </c>
      <c r="AX55" s="296">
        <f t="shared" ca="1" si="51"/>
        <v>0.99819584536374939</v>
      </c>
      <c r="AY55" s="297">
        <f t="shared" ca="1" si="52"/>
        <v>0.99789426476290666</v>
      </c>
      <c r="AZ55" s="297">
        <f t="shared" ca="1" si="53"/>
        <v>0.93374941066291062</v>
      </c>
      <c r="BA55" s="297">
        <f t="shared" ca="1" si="71"/>
        <v>4.1530789986278879E-4</v>
      </c>
      <c r="BB55" s="298">
        <f t="shared" ca="1" si="72"/>
        <v>0</v>
      </c>
      <c r="BC55" s="296">
        <f t="shared" ca="1" si="73"/>
        <v>1.804154636250499E-3</v>
      </c>
      <c r="BD55" s="297">
        <f t="shared" ca="1" si="56"/>
        <v>0.34003696058990635</v>
      </c>
      <c r="BE55" s="297">
        <f t="shared" ca="1" si="57"/>
        <v>0.33993422669118323</v>
      </c>
      <c r="BF55" s="297">
        <f t="shared" ca="1" si="58"/>
        <v>0.31808318280340048</v>
      </c>
      <c r="BG55" s="297">
        <f t="shared" ca="1" si="59"/>
        <v>1.4147527925931043E-4</v>
      </c>
      <c r="BH55" s="298">
        <f t="shared" ca="1" si="60"/>
        <v>0</v>
      </c>
    </row>
    <row r="56" spans="1:60" x14ac:dyDescent="0.2">
      <c r="A56" s="317">
        <v>2039</v>
      </c>
      <c r="B56" s="820">
        <f t="shared" si="78"/>
        <v>162352.82999999999</v>
      </c>
      <c r="C56" s="821">
        <f t="shared" si="78"/>
        <v>4138.51</v>
      </c>
      <c r="D56" s="821">
        <f t="shared" si="78"/>
        <v>4471.53</v>
      </c>
      <c r="E56" s="821">
        <f t="shared" si="78"/>
        <v>16848.25</v>
      </c>
      <c r="F56" s="821">
        <f t="shared" si="78"/>
        <v>42652.19</v>
      </c>
      <c r="G56" s="822">
        <f t="shared" si="78"/>
        <v>13492.87</v>
      </c>
      <c r="H56" s="781">
        <f t="shared" si="79"/>
        <v>1</v>
      </c>
      <c r="I56" s="782">
        <f t="shared" si="79"/>
        <v>1</v>
      </c>
      <c r="J56" s="782">
        <f t="shared" si="79"/>
        <v>1</v>
      </c>
      <c r="K56" s="782">
        <f t="shared" si="79"/>
        <v>1</v>
      </c>
      <c r="L56" s="782">
        <f t="shared" si="79"/>
        <v>0.69645998391568442</v>
      </c>
      <c r="M56" s="783">
        <f t="shared" si="79"/>
        <v>1</v>
      </c>
      <c r="N56" s="275">
        <f t="shared" si="28"/>
        <v>8082.840291578611</v>
      </c>
      <c r="O56" s="276">
        <f t="shared" si="29"/>
        <v>6970.2702022461744</v>
      </c>
      <c r="P56" s="276">
        <f t="shared" si="30"/>
        <v>6929.460579147586</v>
      </c>
      <c r="Q56" s="276">
        <f t="shared" si="31"/>
        <v>6214.9982220934799</v>
      </c>
      <c r="R56" s="276">
        <f t="shared" si="32"/>
        <v>7274.2865319562061</v>
      </c>
      <c r="S56" s="278">
        <f t="shared" si="33"/>
        <v>8095.5687229526484</v>
      </c>
      <c r="T56" s="734">
        <f t="shared" si="61"/>
        <v>1112.5700893324365</v>
      </c>
      <c r="U56" s="290">
        <f t="shared" si="62"/>
        <v>1153.3797124310249</v>
      </c>
      <c r="V56" s="290">
        <f t="shared" si="63"/>
        <v>1867.8420694851311</v>
      </c>
      <c r="W56" s="290">
        <f t="shared" si="64"/>
        <v>808.55375962240487</v>
      </c>
      <c r="X56" s="291">
        <f t="shared" si="65"/>
        <v>-12.728431374037427</v>
      </c>
      <c r="Y56" s="293">
        <f ca="1">IF(AND(Y$22=TRUE,INDEX(CDRANGE_CLS1,MATCH($A56,$A$24:$A$67,0),MATCH(Y$20,$B$20:$G$20,0))&lt;$D$6/OPDAYS_Cls1),86,payback(C56,T56,disc_rate/12,85))</f>
        <v>4</v>
      </c>
      <c r="Z56" s="294">
        <f ca="1">IF(AND(Z$22=TRUE,INDEX(CDRANGE_CLS1,MATCH($A56,$A$24:$A$67,0),MATCH(Z$20,$B$20:$G$20,0))&lt;$D$6/OPDAYS_Cls1),86,payback(D56,U56,disc_rate/12,85))</f>
        <v>4</v>
      </c>
      <c r="AA56" s="294">
        <f ca="1">IF(AND(AA$22=TRUE,INDEX(CDRANGE_CLS1,MATCH($A56,$A$24:$A$67,0),MATCH(AA$20,$B$20:$G$20,0))&lt;$D$6/OPDAYS_Cls1),86,payback(E56,V56,disc_rate/12,85))</f>
        <v>10</v>
      </c>
      <c r="AB56" s="294">
        <f ca="1">IF(AND(AB$22=TRUE,INDEX(CDRANGE_CLS1,MATCH($A56,$A$24:$A$67,0),MATCH(AB$20,$B$20:$G$20,0))&lt;$D$6/OPDAYS_Cls1),86,payback(F56,W56,disc_rate/12,85))</f>
        <v>65</v>
      </c>
      <c r="AC56" s="592">
        <f ca="1">IF(AND(AC$22=TRUE,INDEX(CDRANGE_CLS1,MATCH($A56,$A$24:$A$67,0),MATCH(AC$20,$B$20:$G$20,0))&lt;$D$6/OPDAYS_Cls1),86,payback(G56,X56,disc_rate/12,85))</f>
        <v>86</v>
      </c>
      <c r="AD56" s="296">
        <f t="shared" si="35"/>
        <v>0.14463999380123194</v>
      </c>
      <c r="AE56" s="297">
        <f t="shared" si="36"/>
        <v>7.6867856986779434E-2</v>
      </c>
      <c r="AF56" s="297">
        <f t="shared" si="37"/>
        <v>0</v>
      </c>
      <c r="AG56" s="297">
        <f t="shared" si="38"/>
        <v>0</v>
      </c>
      <c r="AH56" s="298">
        <f t="shared" si="39"/>
        <v>0</v>
      </c>
      <c r="AI56" s="1144">
        <f t="shared" si="40"/>
        <v>0.4999998470488865</v>
      </c>
      <c r="AJ56" s="1145">
        <f t="shared" si="41"/>
        <v>0.4999998470488865</v>
      </c>
      <c r="AK56" s="1145">
        <f t="shared" si="42"/>
        <v>0.4999998470488865</v>
      </c>
      <c r="AL56" s="1145">
        <f t="shared" si="43"/>
        <v>0.4999998470488865</v>
      </c>
      <c r="AM56" s="1153">
        <f t="shared" si="44"/>
        <v>1.5318900392023009E-2</v>
      </c>
      <c r="AN56" s="299">
        <f t="shared" si="66"/>
        <v>0.9981966753922622</v>
      </c>
      <c r="AO56" s="300">
        <f t="shared" si="67"/>
        <v>0.99789509454064651</v>
      </c>
      <c r="AP56" s="300">
        <f t="shared" si="68"/>
        <v>0.97052813444977337</v>
      </c>
      <c r="AQ56" s="300">
        <f t="shared" si="69"/>
        <v>0.82554052954050694</v>
      </c>
      <c r="AR56" s="598">
        <f t="shared" si="70"/>
        <v>0.98099679297436793</v>
      </c>
      <c r="AS56" s="296">
        <f t="shared" ca="1" si="46"/>
        <v>0.99999969409777301</v>
      </c>
      <c r="AT56" s="297">
        <f t="shared" ca="1" si="47"/>
        <v>0.99999969409777301</v>
      </c>
      <c r="AU56" s="297">
        <f t="shared" ca="1" si="48"/>
        <v>0.9610301979464676</v>
      </c>
      <c r="AV56" s="297">
        <f t="shared" ca="1" si="49"/>
        <v>6.4196223985600615E-3</v>
      </c>
      <c r="AW56" s="298">
        <f t="shared" ca="1" si="50"/>
        <v>0</v>
      </c>
      <c r="AX56" s="296">
        <f t="shared" ca="1" si="51"/>
        <v>0.99819637004167627</v>
      </c>
      <c r="AY56" s="297">
        <f t="shared" ca="1" si="52"/>
        <v>0.99789478928231479</v>
      </c>
      <c r="AZ56" s="297">
        <f t="shared" ca="1" si="53"/>
        <v>0.9327068451628816</v>
      </c>
      <c r="BA56" s="297">
        <f t="shared" ca="1" si="71"/>
        <v>5.2996584743573725E-3</v>
      </c>
      <c r="BB56" s="298">
        <f t="shared" ca="1" si="72"/>
        <v>0</v>
      </c>
      <c r="BC56" s="296">
        <f t="shared" ca="1" si="73"/>
        <v>1.803629958323727E-3</v>
      </c>
      <c r="BD56" s="297">
        <f t="shared" ca="1" si="56"/>
        <v>0.33959196578302348</v>
      </c>
      <c r="BE56" s="297">
        <f t="shared" ca="1" si="57"/>
        <v>0.33948936632865995</v>
      </c>
      <c r="BF56" s="297">
        <f t="shared" ca="1" si="58"/>
        <v>0.31731206459398431</v>
      </c>
      <c r="BG56" s="297">
        <f t="shared" ca="1" si="59"/>
        <v>1.802973336008563E-3</v>
      </c>
      <c r="BH56" s="298">
        <f t="shared" ca="1" si="60"/>
        <v>0</v>
      </c>
    </row>
    <row r="57" spans="1:60" ht="13.5" thickBot="1" x14ac:dyDescent="0.25">
      <c r="A57" s="618">
        <v>2040</v>
      </c>
      <c r="B57" s="814">
        <f t="shared" si="78"/>
        <v>162352.82999999999</v>
      </c>
      <c r="C57" s="815">
        <f t="shared" si="78"/>
        <v>4138.51</v>
      </c>
      <c r="D57" s="815">
        <f t="shared" si="78"/>
        <v>4471.53</v>
      </c>
      <c r="E57" s="815">
        <f t="shared" si="78"/>
        <v>17166</v>
      </c>
      <c r="F57" s="815">
        <f t="shared" si="78"/>
        <v>42115.12</v>
      </c>
      <c r="G57" s="816">
        <f t="shared" si="78"/>
        <v>13015.03</v>
      </c>
      <c r="H57" s="781">
        <f t="shared" si="79"/>
        <v>1</v>
      </c>
      <c r="I57" s="782">
        <f t="shared" si="79"/>
        <v>1</v>
      </c>
      <c r="J57" s="782">
        <f t="shared" si="79"/>
        <v>1</v>
      </c>
      <c r="K57" s="782">
        <f t="shared" si="79"/>
        <v>1</v>
      </c>
      <c r="L57" s="782">
        <f t="shared" si="79"/>
        <v>0.69626690108248956</v>
      </c>
      <c r="M57" s="783">
        <f t="shared" si="79"/>
        <v>1</v>
      </c>
      <c r="N57" s="775">
        <f t="shared" si="28"/>
        <v>8083.0390016889605</v>
      </c>
      <c r="O57" s="776">
        <f t="shared" si="29"/>
        <v>6970.4415607180854</v>
      </c>
      <c r="P57" s="776">
        <f t="shared" si="30"/>
        <v>6929.6309343478215</v>
      </c>
      <c r="Q57" s="776">
        <f t="shared" si="31"/>
        <v>6180.7634515052505</v>
      </c>
      <c r="R57" s="776">
        <f t="shared" si="32"/>
        <v>7152.6700454579177</v>
      </c>
      <c r="S57" s="777">
        <f t="shared" si="33"/>
        <v>7844.9423826211614</v>
      </c>
      <c r="T57" s="735">
        <f t="shared" si="61"/>
        <v>1112.5974409708751</v>
      </c>
      <c r="U57" s="619">
        <f t="shared" si="62"/>
        <v>1153.408067341139</v>
      </c>
      <c r="V57" s="619">
        <f t="shared" si="63"/>
        <v>1902.27555018371</v>
      </c>
      <c r="W57" s="619">
        <f t="shared" si="64"/>
        <v>930.36895623104283</v>
      </c>
      <c r="X57" s="620">
        <f t="shared" si="65"/>
        <v>238.09661906779911</v>
      </c>
      <c r="Y57" s="621">
        <f ca="1">IF(AND(Y$22=TRUE,INDEX(CDRANGE_CLS1,MATCH($A57,$A$24:$A$67,0),MATCH(Y$20,$B$20:$G$20,0))&lt;$D$6/OPDAYS_Cls1),86,payback(C57,T57,disc_rate/12,85))</f>
        <v>4</v>
      </c>
      <c r="Z57" s="622">
        <f ca="1">IF(AND(Z$22=TRUE,INDEX(CDRANGE_CLS1,MATCH($A57,$A$24:$A$67,0),MATCH(Z$20,$B$20:$G$20,0))&lt;$D$6/OPDAYS_Cls1),86,payback(D57,U57,disc_rate/12,85))</f>
        <v>4</v>
      </c>
      <c r="AA57" s="622">
        <f ca="1">IF(AND(AA$22=TRUE,INDEX(CDRANGE_CLS1,MATCH($A57,$A$24:$A$67,0),MATCH(AA$20,$B$20:$G$20,0))&lt;$D$6/OPDAYS_Cls1),86,payback(E57,V57,disc_rate/12,85))</f>
        <v>10</v>
      </c>
      <c r="AB57" s="622">
        <f ca="1">IF(AND(AB$22=TRUE,INDEX(CDRANGE_CLS1,MATCH($A57,$A$24:$A$67,0),MATCH(AB$20,$B$20:$G$20,0))&lt;$D$6/OPDAYS_Cls1),86,payback(F57,W57,disc_rate/12,85))</f>
        <v>54</v>
      </c>
      <c r="AC57" s="623">
        <f ca="1">IF(AND(AC$22=TRUE,INDEX(CDRANGE_CLS1,MATCH($A57,$A$24:$A$67,0),MATCH(AC$20,$B$20:$G$20,0))&lt;$D$6/OPDAYS_Cls1),86,payback(G57,X57,disc_rate/12,85))</f>
        <v>68</v>
      </c>
      <c r="AD57" s="624">
        <f t="shared" si="35"/>
        <v>0.14464002176985158</v>
      </c>
      <c r="AE57" s="625">
        <f t="shared" si="36"/>
        <v>7.6867871850495872E-2</v>
      </c>
      <c r="AF57" s="625">
        <f t="shared" si="37"/>
        <v>0</v>
      </c>
      <c r="AG57" s="625">
        <f t="shared" si="38"/>
        <v>0</v>
      </c>
      <c r="AH57" s="626">
        <f t="shared" si="39"/>
        <v>0</v>
      </c>
      <c r="AI57" s="1156">
        <f t="shared" si="40"/>
        <v>0.49999994373241896</v>
      </c>
      <c r="AJ57" s="1157">
        <f t="shared" si="41"/>
        <v>0.49999994373241896</v>
      </c>
      <c r="AK57" s="1157">
        <f t="shared" si="42"/>
        <v>0.49999994373241896</v>
      </c>
      <c r="AL57" s="1157">
        <f t="shared" si="43"/>
        <v>0.49999994373241896</v>
      </c>
      <c r="AM57" s="1158">
        <f t="shared" si="44"/>
        <v>2.1893484435886634E-2</v>
      </c>
      <c r="AN57" s="630">
        <f t="shared" si="66"/>
        <v>0.9981966753922622</v>
      </c>
      <c r="AO57" s="628">
        <f t="shared" si="67"/>
        <v>0.99789509454064651</v>
      </c>
      <c r="AP57" s="628">
        <f t="shared" si="68"/>
        <v>0.96942333091944188</v>
      </c>
      <c r="AQ57" s="628">
        <f t="shared" si="69"/>
        <v>0.82951077813907703</v>
      </c>
      <c r="AR57" s="629">
        <f t="shared" si="70"/>
        <v>0.98230716037118782</v>
      </c>
      <c r="AS57" s="624">
        <f t="shared" ca="1" si="46"/>
        <v>0.99999988746483792</v>
      </c>
      <c r="AT57" s="625">
        <f t="shared" ca="1" si="47"/>
        <v>0.99999988746483792</v>
      </c>
      <c r="AU57" s="625">
        <f t="shared" ca="1" si="48"/>
        <v>0.96103038377811312</v>
      </c>
      <c r="AV57" s="625">
        <f t="shared" ca="1" si="49"/>
        <v>3.0739636506322322E-2</v>
      </c>
      <c r="AW57" s="626">
        <f t="shared" ca="1" si="50"/>
        <v>1.7543575931375395E-4</v>
      </c>
      <c r="AX57" s="624">
        <f t="shared" ca="1" si="51"/>
        <v>0.99819656306003757</v>
      </c>
      <c r="AY57" s="625">
        <f t="shared" ca="1" si="52"/>
        <v>0.99789498224236028</v>
      </c>
      <c r="AZ57" s="625">
        <f t="shared" ca="1" si="53"/>
        <v>0.93164527575696798</v>
      </c>
      <c r="BA57" s="625">
        <f t="shared" ca="1" si="71"/>
        <v>2.5498859798071809E-2</v>
      </c>
      <c r="BB57" s="626">
        <f t="shared" ca="1" si="72"/>
        <v>1.7233180255905682E-4</v>
      </c>
      <c r="BC57" s="624">
        <f t="shared" ca="1" si="73"/>
        <v>1.8034369399623218E-3</v>
      </c>
      <c r="BD57" s="625">
        <f t="shared" ca="1" si="56"/>
        <v>0.33739055743230756</v>
      </c>
      <c r="BE57" s="625">
        <f t="shared" ca="1" si="57"/>
        <v>0.33728862307994406</v>
      </c>
      <c r="BF57" s="625">
        <f t="shared" ca="1" si="58"/>
        <v>0.31489621438209031</v>
      </c>
      <c r="BG57" s="625">
        <f t="shared" ca="1" si="59"/>
        <v>8.6186176546094399E-3</v>
      </c>
      <c r="BH57" s="626">
        <f t="shared" ca="1" si="60"/>
        <v>2.5505110862005005E-6</v>
      </c>
    </row>
    <row r="58" spans="1:60" x14ac:dyDescent="0.2">
      <c r="A58" s="318">
        <v>2041</v>
      </c>
      <c r="B58" s="817">
        <f t="shared" si="78"/>
        <v>162352.82999999999</v>
      </c>
      <c r="C58" s="818">
        <f t="shared" si="78"/>
        <v>4138.51</v>
      </c>
      <c r="D58" s="818">
        <f t="shared" si="78"/>
        <v>4471.53</v>
      </c>
      <c r="E58" s="818">
        <f t="shared" si="78"/>
        <v>17166</v>
      </c>
      <c r="F58" s="818">
        <f t="shared" si="78"/>
        <v>41578.050000000003</v>
      </c>
      <c r="G58" s="819">
        <f t="shared" si="78"/>
        <v>12537.19</v>
      </c>
      <c r="H58" s="781">
        <f t="shared" si="79"/>
        <v>1</v>
      </c>
      <c r="I58" s="782">
        <f t="shared" si="79"/>
        <v>1</v>
      </c>
      <c r="J58" s="782">
        <f t="shared" si="79"/>
        <v>1</v>
      </c>
      <c r="K58" s="782">
        <f t="shared" si="79"/>
        <v>1</v>
      </c>
      <c r="L58" s="782">
        <f t="shared" si="79"/>
        <v>0.69607381824929482</v>
      </c>
      <c r="M58" s="783">
        <f t="shared" si="79"/>
        <v>1</v>
      </c>
      <c r="N58" s="631">
        <f t="shared" si="28"/>
        <v>8134.558957494075</v>
      </c>
      <c r="O58" s="632">
        <f t="shared" si="29"/>
        <v>7014.8700041630937</v>
      </c>
      <c r="P58" s="632">
        <f t="shared" si="30"/>
        <v>6973.7992575996032</v>
      </c>
      <c r="Q58" s="632">
        <f t="shared" si="31"/>
        <v>6185.9327165248651</v>
      </c>
      <c r="R58" s="632">
        <f t="shared" si="32"/>
        <v>7020.7199548152976</v>
      </c>
      <c r="S58" s="745">
        <f t="shared" si="33"/>
        <v>7598.7523020903009</v>
      </c>
      <c r="T58" s="736">
        <f t="shared" si="61"/>
        <v>1119.6889533309813</v>
      </c>
      <c r="U58" s="632">
        <f t="shared" si="62"/>
        <v>1160.7596998944719</v>
      </c>
      <c r="V58" s="632">
        <f t="shared" si="63"/>
        <v>1948.6262409692099</v>
      </c>
      <c r="W58" s="632">
        <f t="shared" si="64"/>
        <v>1113.8390026787774</v>
      </c>
      <c r="X58" s="633">
        <f t="shared" si="65"/>
        <v>535.80665540377413</v>
      </c>
      <c r="Y58" s="634">
        <f ca="1">IF(AND(Y$22=TRUE,INDEX(CDRANGE_CLS1,MATCH($A58,$A$24:$A$67,0),MATCH(Y$20,$B$20:$G$20,0))&lt;$D$6/OPDAYS_Cls1),86,payback(C58,T58,disc_rate/12,85))</f>
        <v>4</v>
      </c>
      <c r="Z58" s="635">
        <f ca="1">IF(AND(Z$22=TRUE,INDEX(CDRANGE_CLS1,MATCH($A58,$A$24:$A$67,0),MATCH(Z$20,$B$20:$G$20,0))&lt;$D$6/OPDAYS_Cls1),86,payback(D58,U58,disc_rate/12,85))</f>
        <v>4</v>
      </c>
      <c r="AA58" s="635">
        <f ca="1">IF(AND(AA$22=TRUE,INDEX(CDRANGE_CLS1,MATCH($A58,$A$24:$A$67,0),MATCH(AA$20,$B$20:$G$20,0))&lt;$D$6/OPDAYS_Cls1),86,payback(E58,V58,disc_rate/12,85))</f>
        <v>10</v>
      </c>
      <c r="AB58" s="635">
        <f ca="1">IF(AND(AB$22=TRUE,INDEX(CDRANGE_CLS1,MATCH($A58,$A$24:$A$67,0),MATCH(AB$20,$B$20:$G$20,0))&lt;$D$6/OPDAYS_Cls1),86,payback(F58,W58,disc_rate/12,85))</f>
        <v>43</v>
      </c>
      <c r="AC58" s="636">
        <f ca="1">IF(AND(AC$22=TRUE,INDEX(CDRANGE_CLS1,MATCH($A58,$A$24:$A$67,0),MATCH(AC$20,$B$20:$G$20,0))&lt;$D$6/OPDAYS_Cls1),86,payback(G58,X58,disc_rate/12,85))</f>
        <v>26</v>
      </c>
      <c r="AD58" s="637">
        <f t="shared" si="35"/>
        <v>0.14464003205893444</v>
      </c>
      <c r="AE58" s="638">
        <f t="shared" si="36"/>
        <v>7.6867877318553005E-2</v>
      </c>
      <c r="AF58" s="638">
        <f t="shared" si="37"/>
        <v>0</v>
      </c>
      <c r="AG58" s="638">
        <f t="shared" si="38"/>
        <v>0</v>
      </c>
      <c r="AH58" s="639">
        <f t="shared" si="39"/>
        <v>0</v>
      </c>
      <c r="AI58" s="1150">
        <f t="shared" si="40"/>
        <v>0.4999999793003122</v>
      </c>
      <c r="AJ58" s="1151">
        <f t="shared" si="41"/>
        <v>0.4999999793003122</v>
      </c>
      <c r="AK58" s="1151">
        <f t="shared" si="42"/>
        <v>0.4999999793003122</v>
      </c>
      <c r="AL58" s="1151">
        <f t="shared" si="43"/>
        <v>0.4999999793003122</v>
      </c>
      <c r="AM58" s="1152">
        <f t="shared" si="44"/>
        <v>3.0293467339131446E-2</v>
      </c>
      <c r="AN58" s="643">
        <f t="shared" si="66"/>
        <v>0.9981966753922622</v>
      </c>
      <c r="AO58" s="641">
        <f t="shared" si="67"/>
        <v>0.99789509454064651</v>
      </c>
      <c r="AP58" s="641">
        <f t="shared" si="68"/>
        <v>0.96942333091944188</v>
      </c>
      <c r="AQ58" s="641">
        <f t="shared" si="69"/>
        <v>0.83344944944423371</v>
      </c>
      <c r="AR58" s="642">
        <f t="shared" si="70"/>
        <v>0.98357194233258871</v>
      </c>
      <c r="AS58" s="637">
        <f t="shared" ca="1" si="46"/>
        <v>0.99999995860062441</v>
      </c>
      <c r="AT58" s="638">
        <f t="shared" ca="1" si="47"/>
        <v>0.99999995860062441</v>
      </c>
      <c r="AU58" s="638">
        <f t="shared" ca="1" si="48"/>
        <v>0.96103045214177296</v>
      </c>
      <c r="AV58" s="638">
        <f t="shared" ca="1" si="49"/>
        <v>0.11308330717791577</v>
      </c>
      <c r="AW58" s="639">
        <f t="shared" ca="1" si="50"/>
        <v>2.9483920346980469E-2</v>
      </c>
      <c r="AX58" s="637">
        <f t="shared" ca="1" si="51"/>
        <v>0.99819663406754311</v>
      </c>
      <c r="AY58" s="638">
        <f t="shared" ca="1" si="52"/>
        <v>0.99789505322841265</v>
      </c>
      <c r="AZ58" s="638">
        <f t="shared" ca="1" si="53"/>
        <v>0.93164534203029481</v>
      </c>
      <c r="BA58" s="638">
        <f t="shared" ca="1" si="71"/>
        <v>9.4249220108767059E-2</v>
      </c>
      <c r="BB58" s="639">
        <f t="shared" ca="1" si="72"/>
        <v>2.8999556803258913E-2</v>
      </c>
      <c r="BC58" s="637">
        <f t="shared" ca="1" si="73"/>
        <v>1.8033659324568907E-3</v>
      </c>
      <c r="BD58" s="638">
        <f t="shared" ca="1" si="56"/>
        <v>0.32952418242504927</v>
      </c>
      <c r="BE58" s="638">
        <f t="shared" ca="1" si="57"/>
        <v>0.329424624706602</v>
      </c>
      <c r="BF58" s="638">
        <f t="shared" ca="1" si="58"/>
        <v>0.30755430259431737</v>
      </c>
      <c r="BG58" s="638">
        <f t="shared" ca="1" si="59"/>
        <v>3.1113506237728381E-2</v>
      </c>
      <c r="BH58" s="639">
        <f t="shared" ca="1" si="60"/>
        <v>5.8001810384616817E-4</v>
      </c>
    </row>
    <row r="59" spans="1:60" x14ac:dyDescent="0.2">
      <c r="A59" s="317">
        <v>2042</v>
      </c>
      <c r="B59" s="820">
        <f t="shared" si="78"/>
        <v>162352.82999999999</v>
      </c>
      <c r="C59" s="821">
        <f t="shared" si="78"/>
        <v>4138.51</v>
      </c>
      <c r="D59" s="821">
        <f t="shared" si="78"/>
        <v>4471.53</v>
      </c>
      <c r="E59" s="821">
        <f t="shared" si="78"/>
        <v>17801.48</v>
      </c>
      <c r="F59" s="821">
        <f t="shared" si="78"/>
        <v>41040.97</v>
      </c>
      <c r="G59" s="822">
        <f t="shared" si="78"/>
        <v>12059.35</v>
      </c>
      <c r="H59" s="781">
        <f t="shared" si="79"/>
        <v>1</v>
      </c>
      <c r="I59" s="782">
        <f t="shared" si="79"/>
        <v>1</v>
      </c>
      <c r="J59" s="782">
        <f t="shared" si="79"/>
        <v>1</v>
      </c>
      <c r="K59" s="782">
        <f t="shared" si="79"/>
        <v>1</v>
      </c>
      <c r="L59" s="782">
        <f t="shared" si="79"/>
        <v>0.69588073541609996</v>
      </c>
      <c r="M59" s="783">
        <f t="shared" si="79"/>
        <v>1</v>
      </c>
      <c r="N59" s="275">
        <f t="shared" si="28"/>
        <v>8253.3965140841301</v>
      </c>
      <c r="O59" s="276">
        <f t="shared" si="29"/>
        <v>7117.3500544580911</v>
      </c>
      <c r="P59" s="276">
        <f t="shared" si="30"/>
        <v>7075.6793064446829</v>
      </c>
      <c r="Q59" s="276">
        <f t="shared" si="31"/>
        <v>6241.9569995861166</v>
      </c>
      <c r="R59" s="276">
        <f t="shared" si="32"/>
        <v>6883.9467596961576</v>
      </c>
      <c r="S59" s="278">
        <f t="shared" si="33"/>
        <v>7391.9146811689707</v>
      </c>
      <c r="T59" s="734">
        <f t="shared" si="61"/>
        <v>1136.046459626039</v>
      </c>
      <c r="U59" s="290">
        <f t="shared" si="62"/>
        <v>1177.7172076394472</v>
      </c>
      <c r="V59" s="290">
        <f t="shared" si="63"/>
        <v>2011.4395144980135</v>
      </c>
      <c r="W59" s="290">
        <f t="shared" si="64"/>
        <v>1369.4497543879725</v>
      </c>
      <c r="X59" s="291">
        <f t="shared" si="65"/>
        <v>861.48183291515943</v>
      </c>
      <c r="Y59" s="293">
        <f ca="1">IF(AND(Y$22=TRUE,INDEX(CDRANGE_CLS1,MATCH($A59,$A$24:$A$67,0),MATCH(Y$20,$B$20:$G$20,0))&lt;$D$6/OPDAYS_Cls1),86,payback(C59,T59,disc_rate/12,85))</f>
        <v>4</v>
      </c>
      <c r="Z59" s="294">
        <f ca="1">IF(AND(Z$22=TRUE,INDEX(CDRANGE_CLS1,MATCH($A59,$A$24:$A$67,0),MATCH(Z$20,$B$20:$G$20,0))&lt;$D$6/OPDAYS_Cls1),86,payback(D59,U59,disc_rate/12,85))</f>
        <v>4</v>
      </c>
      <c r="AA59" s="294">
        <f ca="1">IF(AND(AA$22=TRUE,INDEX(CDRANGE_CLS1,MATCH($A59,$A$24:$A$67,0),MATCH(AA$20,$B$20:$G$20,0))&lt;$D$6/OPDAYS_Cls1),86,payback(E59,V59,disc_rate/12,85))</f>
        <v>10</v>
      </c>
      <c r="AB59" s="294">
        <f ca="1">IF(AND(AB$22=TRUE,INDEX(CDRANGE_CLS1,MATCH($A59,$A$24:$A$67,0),MATCH(AB$20,$B$20:$G$20,0))&lt;$D$6/OPDAYS_Cls1),86,payback(F59,W59,disc_rate/12,85))</f>
        <v>34</v>
      </c>
      <c r="AC59" s="592">
        <f ca="1">IF(AND(AC$22=TRUE,INDEX(CDRANGE_CLS1,MATCH($A59,$A$24:$A$67,0),MATCH(AC$20,$B$20:$G$20,0))&lt;$D$6/OPDAYS_Cls1),86,payback(G59,X59,disc_rate/12,85))</f>
        <v>15</v>
      </c>
      <c r="AD59" s="296">
        <f t="shared" si="35"/>
        <v>0.14464003584407689</v>
      </c>
      <c r="AE59" s="297">
        <f t="shared" si="36"/>
        <v>7.6867879330139013E-2</v>
      </c>
      <c r="AF59" s="297">
        <f t="shared" si="37"/>
        <v>0</v>
      </c>
      <c r="AG59" s="297">
        <f t="shared" si="38"/>
        <v>0</v>
      </c>
      <c r="AH59" s="298">
        <f t="shared" si="39"/>
        <v>0</v>
      </c>
      <c r="AI59" s="1144">
        <f t="shared" si="40"/>
        <v>0.49999999238501025</v>
      </c>
      <c r="AJ59" s="1145">
        <f t="shared" si="41"/>
        <v>0.49999999238501025</v>
      </c>
      <c r="AK59" s="1145">
        <f t="shared" si="42"/>
        <v>0.49999999238501025</v>
      </c>
      <c r="AL59" s="1145">
        <f t="shared" si="43"/>
        <v>0.49999999238501025</v>
      </c>
      <c r="AM59" s="1153">
        <f t="shared" si="44"/>
        <v>4.0757891831784555E-2</v>
      </c>
      <c r="AN59" s="299">
        <f t="shared" si="66"/>
        <v>0.9981966753922622</v>
      </c>
      <c r="AO59" s="300">
        <f t="shared" si="67"/>
        <v>0.99789509454064651</v>
      </c>
      <c r="AP59" s="300">
        <f t="shared" si="68"/>
        <v>0.96715582174508252</v>
      </c>
      <c r="AQ59" s="300">
        <f t="shared" si="69"/>
        <v>0.8373559859266817</v>
      </c>
      <c r="AR59" s="598">
        <f t="shared" si="70"/>
        <v>0.98479095835319608</v>
      </c>
      <c r="AS59" s="296">
        <f t="shared" ca="1" si="46"/>
        <v>0.9999999847700205</v>
      </c>
      <c r="AT59" s="297">
        <f t="shared" ca="1" si="47"/>
        <v>0.9999999847700205</v>
      </c>
      <c r="AU59" s="297">
        <f t="shared" ca="1" si="48"/>
        <v>0.9610304772913606</v>
      </c>
      <c r="AV59" s="297">
        <f t="shared" ca="1" si="49"/>
        <v>0.26719189918693154</v>
      </c>
      <c r="AW59" s="298">
        <f t="shared" ca="1" si="50"/>
        <v>6.8696221308111538E-2</v>
      </c>
      <c r="AX59" s="296">
        <f t="shared" ca="1" si="51"/>
        <v>0.99819666018974729</v>
      </c>
      <c r="AY59" s="297">
        <f t="shared" ca="1" si="52"/>
        <v>0.9978950793427247</v>
      </c>
      <c r="AZ59" s="297">
        <f t="shared" ca="1" si="53"/>
        <v>0.92946622098679477</v>
      </c>
      <c r="BA59" s="297">
        <f t="shared" ca="1" si="71"/>
        <v>0.2237347361752956</v>
      </c>
      <c r="BB59" s="298">
        <f t="shared" ca="1" si="72"/>
        <v>6.7651417617258416E-2</v>
      </c>
      <c r="BC59" s="296">
        <f t="shared" ca="1" si="73"/>
        <v>1.8033398102526021E-3</v>
      </c>
      <c r="BD59" s="297">
        <f t="shared" ca="1" si="56"/>
        <v>0.31583436332577131</v>
      </c>
      <c r="BE59" s="297">
        <f t="shared" ca="1" si="57"/>
        <v>0.31573894165325994</v>
      </c>
      <c r="BF59" s="297">
        <f t="shared" ca="1" si="58"/>
        <v>0.29408771221732266</v>
      </c>
      <c r="BG59" s="297">
        <f t="shared" ca="1" si="59"/>
        <v>7.0790777781556138E-2</v>
      </c>
      <c r="BH59" s="298">
        <f t="shared" ca="1" si="60"/>
        <v>1.7448652118372541E-3</v>
      </c>
    </row>
    <row r="60" spans="1:60" x14ac:dyDescent="0.2">
      <c r="A60" s="317">
        <v>2043</v>
      </c>
      <c r="B60" s="820">
        <f t="shared" si="78"/>
        <v>162352.82999999999</v>
      </c>
      <c r="C60" s="821">
        <f t="shared" si="78"/>
        <v>4138.51</v>
      </c>
      <c r="D60" s="821">
        <f t="shared" si="78"/>
        <v>4471.53</v>
      </c>
      <c r="E60" s="821">
        <f t="shared" si="78"/>
        <v>18119.22</v>
      </c>
      <c r="F60" s="821">
        <f t="shared" si="78"/>
        <v>40503.9</v>
      </c>
      <c r="G60" s="822">
        <f t="shared" si="78"/>
        <v>11581.51</v>
      </c>
      <c r="H60" s="781">
        <f t="shared" si="79"/>
        <v>1</v>
      </c>
      <c r="I60" s="782">
        <f t="shared" si="79"/>
        <v>1</v>
      </c>
      <c r="J60" s="782">
        <f t="shared" si="79"/>
        <v>1</v>
      </c>
      <c r="K60" s="782">
        <f t="shared" si="79"/>
        <v>1</v>
      </c>
      <c r="L60" s="782">
        <f t="shared" si="79"/>
        <v>0.69568765258290521</v>
      </c>
      <c r="M60" s="783">
        <f t="shared" si="79"/>
        <v>1</v>
      </c>
      <c r="N60" s="275">
        <f t="shared" si="28"/>
        <v>8303.2883137723093</v>
      </c>
      <c r="O60" s="276">
        <f t="shared" si="29"/>
        <v>7160.3744508531627</v>
      </c>
      <c r="P60" s="276">
        <f t="shared" si="30"/>
        <v>7118.4518030783438</v>
      </c>
      <c r="Q60" s="276">
        <f t="shared" si="31"/>
        <v>6245.5122940349547</v>
      </c>
      <c r="R60" s="276">
        <f t="shared" si="32"/>
        <v>6666.683427208498</v>
      </c>
      <c r="S60" s="278">
        <f t="shared" si="33"/>
        <v>7206.0384244132956</v>
      </c>
      <c r="T60" s="734">
        <f t="shared" si="61"/>
        <v>1142.9138629191466</v>
      </c>
      <c r="U60" s="290">
        <f t="shared" si="62"/>
        <v>1184.8365106939655</v>
      </c>
      <c r="V60" s="290">
        <f t="shared" si="63"/>
        <v>2057.7760197373545</v>
      </c>
      <c r="W60" s="290">
        <f t="shared" si="64"/>
        <v>1636.6048865638113</v>
      </c>
      <c r="X60" s="291">
        <f t="shared" si="65"/>
        <v>1097.2498893590137</v>
      </c>
      <c r="Y60" s="293">
        <f ca="1">IF(AND(Y$22=TRUE,INDEX(CDRANGE_CLS1,MATCH($A60,$A$24:$A$67,0),MATCH(Y$20,$B$20:$G$20,0))&lt;$D$6/OPDAYS_Cls1),86,payback(C60,T60,disc_rate/12,85))</f>
        <v>4</v>
      </c>
      <c r="Z60" s="294">
        <f ca="1">IF(AND(Z$22=TRUE,INDEX(CDRANGE_CLS1,MATCH($A60,$A$24:$A$67,0),MATCH(Z$20,$B$20:$G$20,0))&lt;$D$6/OPDAYS_Cls1),86,payback(D60,U60,disc_rate/12,85))</f>
        <v>4</v>
      </c>
      <c r="AA60" s="294">
        <f ca="1">IF(AND(AA$22=TRUE,INDEX(CDRANGE_CLS1,MATCH($A60,$A$24:$A$67,0),MATCH(AA$20,$B$20:$G$20,0))&lt;$D$6/OPDAYS_Cls1),86,payback(E60,V60,disc_rate/12,85))</f>
        <v>10</v>
      </c>
      <c r="AB60" s="294">
        <f ca="1">IF(AND(AB$22=TRUE,INDEX(CDRANGE_CLS1,MATCH($A60,$A$24:$A$67,0),MATCH(AB$20,$B$20:$G$20,0))&lt;$D$6/OPDAYS_Cls1),86,payback(F60,W60,disc_rate/12,85))</f>
        <v>27</v>
      </c>
      <c r="AC60" s="592">
        <f ca="1">IF(AND(AC$22=TRUE,INDEX(CDRANGE_CLS1,MATCH($A60,$A$24:$A$67,0),MATCH(AC$20,$B$20:$G$20,0))&lt;$D$6/OPDAYS_Cls1),86,payback(G60,X60,disc_rate/12,85))</f>
        <v>11</v>
      </c>
      <c r="AD60" s="296">
        <f t="shared" si="35"/>
        <v>0.144640037236553</v>
      </c>
      <c r="AE60" s="297">
        <f t="shared" si="36"/>
        <v>7.6867880070160169E-2</v>
      </c>
      <c r="AF60" s="297">
        <f t="shared" si="37"/>
        <v>0</v>
      </c>
      <c r="AG60" s="297">
        <f t="shared" si="38"/>
        <v>0</v>
      </c>
      <c r="AH60" s="298">
        <f t="shared" si="39"/>
        <v>0</v>
      </c>
      <c r="AI60" s="1144">
        <f t="shared" si="40"/>
        <v>0.49999999719860178</v>
      </c>
      <c r="AJ60" s="1145">
        <f t="shared" si="41"/>
        <v>0.49999999719860178</v>
      </c>
      <c r="AK60" s="1145">
        <f t="shared" si="42"/>
        <v>0.49999999719860178</v>
      </c>
      <c r="AL60" s="1145">
        <f t="shared" si="43"/>
        <v>0.49999999719860178</v>
      </c>
      <c r="AM60" s="1153">
        <f t="shared" si="44"/>
        <v>5.3498330632972865E-2</v>
      </c>
      <c r="AN60" s="299">
        <f t="shared" si="66"/>
        <v>0.9981966753922622</v>
      </c>
      <c r="AO60" s="300">
        <f t="shared" si="67"/>
        <v>0.99789509454064651</v>
      </c>
      <c r="AP60" s="300">
        <f t="shared" si="68"/>
        <v>0.96599322327684367</v>
      </c>
      <c r="AQ60" s="300">
        <f t="shared" si="69"/>
        <v>0.84122961505729754</v>
      </c>
      <c r="AR60" s="598">
        <f t="shared" si="70"/>
        <v>0.98596403431105162</v>
      </c>
      <c r="AS60" s="296">
        <f t="shared" ca="1" si="46"/>
        <v>0.99999999439720355</v>
      </c>
      <c r="AT60" s="297">
        <f t="shared" ca="1" si="47"/>
        <v>0.99999999439720355</v>
      </c>
      <c r="AU60" s="297">
        <f t="shared" ca="1" si="48"/>
        <v>0.96103048654337708</v>
      </c>
      <c r="AV60" s="297">
        <f t="shared" ca="1" si="49"/>
        <v>0.45550550418208324</v>
      </c>
      <c r="AW60" s="298">
        <f t="shared" ca="1" si="50"/>
        <v>0.1008264234013848</v>
      </c>
      <c r="AX60" s="296">
        <f t="shared" ca="1" si="51"/>
        <v>0.99819666979956945</v>
      </c>
      <c r="AY60" s="297">
        <f t="shared" ca="1" si="52"/>
        <v>0.99789508894964341</v>
      </c>
      <c r="AZ60" s="297">
        <f t="shared" ca="1" si="53"/>
        <v>0.92834893736335011</v>
      </c>
      <c r="BA60" s="297">
        <f t="shared" ca="1" si="71"/>
        <v>0.38318471993957415</v>
      </c>
      <c r="BB60" s="298">
        <f t="shared" ca="1" si="72"/>
        <v>9.9411227181983586E-2</v>
      </c>
      <c r="BC60" s="296">
        <f t="shared" ca="1" si="73"/>
        <v>1.8033302004303309E-3</v>
      </c>
      <c r="BD60" s="297">
        <f t="shared" ca="1" si="56"/>
        <v>0.30027664057917314</v>
      </c>
      <c r="BE60" s="297">
        <f t="shared" ca="1" si="57"/>
        <v>0.30018591929426142</v>
      </c>
      <c r="BF60" s="297">
        <f t="shared" ca="1" si="58"/>
        <v>0.27926510739881072</v>
      </c>
      <c r="BG60" s="297">
        <f t="shared" ca="1" si="59"/>
        <v>0.11526928901478915</v>
      </c>
      <c r="BH60" s="298">
        <f t="shared" ca="1" si="60"/>
        <v>3.1997135125352142E-3</v>
      </c>
    </row>
    <row r="61" spans="1:60" x14ac:dyDescent="0.2">
      <c r="A61" s="317">
        <v>2044</v>
      </c>
      <c r="B61" s="820">
        <f t="shared" si="78"/>
        <v>162352.82999999999</v>
      </c>
      <c r="C61" s="821">
        <f t="shared" si="78"/>
        <v>4138.51</v>
      </c>
      <c r="D61" s="821">
        <f t="shared" si="78"/>
        <v>4471.53</v>
      </c>
      <c r="E61" s="821">
        <f t="shared" si="78"/>
        <v>18436.96</v>
      </c>
      <c r="F61" s="821">
        <f t="shared" si="78"/>
        <v>39966.83</v>
      </c>
      <c r="G61" s="822">
        <f t="shared" si="78"/>
        <v>11103.67</v>
      </c>
      <c r="H61" s="781">
        <f t="shared" si="79"/>
        <v>1</v>
      </c>
      <c r="I61" s="782">
        <f t="shared" si="79"/>
        <v>1</v>
      </c>
      <c r="J61" s="782">
        <f t="shared" si="79"/>
        <v>1</v>
      </c>
      <c r="K61" s="782">
        <f t="shared" si="79"/>
        <v>1</v>
      </c>
      <c r="L61" s="782">
        <f t="shared" si="79"/>
        <v>0.69549456974971036</v>
      </c>
      <c r="M61" s="783">
        <f t="shared" si="79"/>
        <v>1</v>
      </c>
      <c r="N61" s="275">
        <f t="shared" si="28"/>
        <v>8368.0663171936667</v>
      </c>
      <c r="O61" s="276">
        <f t="shared" si="29"/>
        <v>7216.2360255869016</v>
      </c>
      <c r="P61" s="276">
        <f t="shared" si="30"/>
        <v>7173.9863187821702</v>
      </c>
      <c r="Q61" s="276">
        <f t="shared" si="31"/>
        <v>6260.1654942735231</v>
      </c>
      <c r="R61" s="276">
        <f t="shared" si="32"/>
        <v>6455.6830843213356</v>
      </c>
      <c r="S61" s="278">
        <f t="shared" si="33"/>
        <v>7006.1529212006135</v>
      </c>
      <c r="T61" s="734">
        <f t="shared" si="61"/>
        <v>1151.8302916067651</v>
      </c>
      <c r="U61" s="290">
        <f t="shared" si="62"/>
        <v>1194.0799984114965</v>
      </c>
      <c r="V61" s="290">
        <f t="shared" si="63"/>
        <v>2107.9008229201436</v>
      </c>
      <c r="W61" s="290">
        <f t="shared" si="64"/>
        <v>1912.3832328723311</v>
      </c>
      <c r="X61" s="291">
        <f t="shared" si="65"/>
        <v>1361.9133959930532</v>
      </c>
      <c r="Y61" s="293">
        <f ca="1">IF(AND(Y$22=TRUE,INDEX(CDRANGE_CLS1,MATCH($A61,$A$24:$A$67,0),MATCH(Y$20,$B$20:$G$20,0))&lt;$D$6/OPDAYS_Cls1),86,payback(C61,T61,disc_rate/12,85))</f>
        <v>4</v>
      </c>
      <c r="Z61" s="294">
        <f ca="1">IF(AND(Z$22=TRUE,INDEX(CDRANGE_CLS1,MATCH($A61,$A$24:$A$67,0),MATCH(Z$20,$B$20:$G$20,0))&lt;$D$6/OPDAYS_Cls1),86,payback(D61,U61,disc_rate/12,85))</f>
        <v>4</v>
      </c>
      <c r="AA61" s="294">
        <f ca="1">IF(AND(AA$22=TRUE,INDEX(CDRANGE_CLS1,MATCH($A61,$A$24:$A$67,0),MATCH(AA$20,$B$20:$G$20,0))&lt;$D$6/OPDAYS_Cls1),86,payback(E61,V61,disc_rate/12,85))</f>
        <v>10</v>
      </c>
      <c r="AB61" s="294">
        <f ca="1">IF(AND(AB$22=TRUE,INDEX(CDRANGE_CLS1,MATCH($A61,$A$24:$A$67,0),MATCH(AB$20,$B$20:$G$20,0))&lt;$D$6/OPDAYS_Cls1),86,payback(F61,W61,disc_rate/12,85))</f>
        <v>23</v>
      </c>
      <c r="AC61" s="592">
        <f ca="1">IF(AND(AC$22=TRUE,INDEX(CDRANGE_CLS1,MATCH($A61,$A$24:$A$67,0),MATCH(AC$20,$B$20:$G$20,0))&lt;$D$6/OPDAYS_Cls1),86,payback(G61,X61,disc_rate/12,85))</f>
        <v>9</v>
      </c>
      <c r="AD61" s="296">
        <f t="shared" si="35"/>
        <v>0.14464003774881634</v>
      </c>
      <c r="AE61" s="297">
        <f t="shared" si="36"/>
        <v>7.6867880342398748E-2</v>
      </c>
      <c r="AF61" s="297">
        <f t="shared" si="37"/>
        <v>0</v>
      </c>
      <c r="AG61" s="297">
        <f t="shared" si="38"/>
        <v>0</v>
      </c>
      <c r="AH61" s="298">
        <f t="shared" si="39"/>
        <v>0</v>
      </c>
      <c r="AI61" s="1144">
        <f t="shared" si="40"/>
        <v>0.49999999896942315</v>
      </c>
      <c r="AJ61" s="1145">
        <f t="shared" si="41"/>
        <v>0.49999999896942315</v>
      </c>
      <c r="AK61" s="1145">
        <f t="shared" si="42"/>
        <v>0.49999999896942315</v>
      </c>
      <c r="AL61" s="1145">
        <f t="shared" si="43"/>
        <v>0.49999999896942315</v>
      </c>
      <c r="AM61" s="1153">
        <f t="shared" si="44"/>
        <v>6.0776630199764439E-2</v>
      </c>
      <c r="AN61" s="299">
        <f t="shared" si="66"/>
        <v>0.9981966753922622</v>
      </c>
      <c r="AO61" s="300">
        <f t="shared" si="67"/>
        <v>0.99789509454064651</v>
      </c>
      <c r="AP61" s="300">
        <f t="shared" si="68"/>
        <v>0.96481149188666837</v>
      </c>
      <c r="AQ61" s="300">
        <f t="shared" si="69"/>
        <v>0.84506978591065396</v>
      </c>
      <c r="AR61" s="598">
        <f t="shared" si="70"/>
        <v>0.98709100250906201</v>
      </c>
      <c r="AS61" s="296">
        <f t="shared" ca="1" si="46"/>
        <v>0.99999999793884631</v>
      </c>
      <c r="AT61" s="297">
        <f t="shared" ca="1" si="47"/>
        <v>0.99999999793884631</v>
      </c>
      <c r="AU61" s="297">
        <f t="shared" ca="1" si="48"/>
        <v>0.9610304899470038</v>
      </c>
      <c r="AV61" s="297">
        <f t="shared" ca="1" si="49"/>
        <v>0.58417125808555459</v>
      </c>
      <c r="AW61" s="298">
        <f t="shared" ca="1" si="50"/>
        <v>0.11870832721109795</v>
      </c>
      <c r="AX61" s="296">
        <f t="shared" ca="1" si="51"/>
        <v>0.99819667333482542</v>
      </c>
      <c r="AY61" s="297">
        <f t="shared" ca="1" si="52"/>
        <v>0.99789509248383135</v>
      </c>
      <c r="AZ61" s="297">
        <f t="shared" ca="1" si="53"/>
        <v>0.92721326075434463</v>
      </c>
      <c r="BA61" s="297">
        <f t="shared" ca="1" si="71"/>
        <v>0.49366548000551702</v>
      </c>
      <c r="BB61" s="298">
        <f t="shared" ca="1" si="72"/>
        <v>0.11717592171297644</v>
      </c>
      <c r="BC61" s="296">
        <f t="shared" ca="1" si="73"/>
        <v>1.8033266651745761E-3</v>
      </c>
      <c r="BD61" s="297">
        <f t="shared" ca="1" si="56"/>
        <v>0.29039188708266916</v>
      </c>
      <c r="BE61" s="297">
        <f t="shared" ca="1" si="57"/>
        <v>0.29030415223565192</v>
      </c>
      <c r="BF61" s="297">
        <f t="shared" ca="1" si="58"/>
        <v>0.26974164081211355</v>
      </c>
      <c r="BG61" s="297">
        <f t="shared" ca="1" si="59"/>
        <v>0.14361543587141137</v>
      </c>
      <c r="BH61" s="298">
        <f t="shared" ca="1" si="60"/>
        <v>4.1435573329793481E-3</v>
      </c>
    </row>
    <row r="62" spans="1:60" ht="13.5" thickBot="1" x14ac:dyDescent="0.25">
      <c r="A62" s="302">
        <v>2045</v>
      </c>
      <c r="B62" s="823">
        <f t="shared" si="78"/>
        <v>162352.82999999999</v>
      </c>
      <c r="C62" s="824">
        <f t="shared" si="78"/>
        <v>4138.51</v>
      </c>
      <c r="D62" s="824">
        <f t="shared" si="78"/>
        <v>4471.53</v>
      </c>
      <c r="E62" s="824">
        <f t="shared" si="78"/>
        <v>18754.7</v>
      </c>
      <c r="F62" s="824">
        <f t="shared" si="78"/>
        <v>39429.760000000002</v>
      </c>
      <c r="G62" s="825">
        <f t="shared" si="78"/>
        <v>10625.83</v>
      </c>
      <c r="H62" s="781">
        <f t="shared" si="79"/>
        <v>1</v>
      </c>
      <c r="I62" s="782">
        <f t="shared" si="79"/>
        <v>1</v>
      </c>
      <c r="J62" s="782">
        <f t="shared" si="79"/>
        <v>1</v>
      </c>
      <c r="K62" s="782">
        <f t="shared" si="79"/>
        <v>1</v>
      </c>
      <c r="L62" s="782">
        <f t="shared" si="79"/>
        <v>0.6953014869165155</v>
      </c>
      <c r="M62" s="783">
        <f t="shared" si="79"/>
        <v>1</v>
      </c>
      <c r="N62" s="778">
        <f t="shared" si="28"/>
        <v>8482.8180077469442</v>
      </c>
      <c r="O62" s="779">
        <f t="shared" si="29"/>
        <v>7315.192612685898</v>
      </c>
      <c r="P62" s="779">
        <f t="shared" si="30"/>
        <v>7272.3635336465986</v>
      </c>
      <c r="Q62" s="779">
        <f t="shared" si="31"/>
        <v>6311.8450367245932</v>
      </c>
      <c r="R62" s="779">
        <f t="shared" si="32"/>
        <v>6299.3034718253712</v>
      </c>
      <c r="S62" s="780">
        <f t="shared" si="33"/>
        <v>6826.7516389379471</v>
      </c>
      <c r="T62" s="737">
        <f t="shared" si="61"/>
        <v>1167.6253950610462</v>
      </c>
      <c r="U62" s="304">
        <f t="shared" si="62"/>
        <v>1210.4544741003456</v>
      </c>
      <c r="V62" s="304">
        <f t="shared" si="63"/>
        <v>2170.972971022351</v>
      </c>
      <c r="W62" s="304">
        <f t="shared" si="64"/>
        <v>2183.514535921573</v>
      </c>
      <c r="X62" s="305">
        <f t="shared" si="65"/>
        <v>1656.0663688089971</v>
      </c>
      <c r="Y62" s="307">
        <f ca="1">IF(AND(Y$22=TRUE,INDEX(CDRANGE_CLS1,MATCH($A62,$A$24:$A$67,0),MATCH(Y$20,$B$20:$G$20,0))&lt;$D$6/OPDAYS_Cls1),86,payback(C62,T62,disc_rate/12,85))</f>
        <v>4</v>
      </c>
      <c r="Z62" s="308">
        <f ca="1">IF(AND(Z$22=TRUE,INDEX(CDRANGE_CLS1,MATCH($A62,$A$24:$A$67,0),MATCH(Z$20,$B$20:$G$20,0))&lt;$D$6/OPDAYS_Cls1),86,payback(D62,U62,disc_rate/12,85))</f>
        <v>4</v>
      </c>
      <c r="AA62" s="308">
        <f ca="1">IF(AND(AA$22=TRUE,INDEX(CDRANGE_CLS1,MATCH($A62,$A$24:$A$67,0),MATCH(AA$20,$B$20:$G$20,0))&lt;$D$6/OPDAYS_Cls1),86,payback(E62,V62,disc_rate/12,85))</f>
        <v>9</v>
      </c>
      <c r="AB62" s="308">
        <f ca="1">IF(AND(AB$22=TRUE,INDEX(CDRANGE_CLS1,MATCH($A62,$A$24:$A$67,0),MATCH(AB$20,$B$20:$G$20,0))&lt;$D$6/OPDAYS_Cls1),86,payback(F62,W62,disc_rate/12,85))</f>
        <v>20</v>
      </c>
      <c r="AC62" s="593">
        <f ca="1">IF(AND(AC$22=TRUE,INDEX(CDRANGE_CLS1,MATCH($A62,$A$24:$A$67,0),MATCH(AC$20,$B$20:$G$20,0))&lt;$D$6/OPDAYS_Cls1),86,payback(G62,X62,disc_rate/12,85))</f>
        <v>7</v>
      </c>
      <c r="AD62" s="310">
        <f t="shared" si="35"/>
        <v>0.14464003793726751</v>
      </c>
      <c r="AE62" s="311">
        <f t="shared" si="36"/>
        <v>7.6867880442549719E-2</v>
      </c>
      <c r="AF62" s="311">
        <f t="shared" si="37"/>
        <v>0</v>
      </c>
      <c r="AG62" s="311">
        <f t="shared" si="38"/>
        <v>0</v>
      </c>
      <c r="AH62" s="312">
        <f t="shared" si="39"/>
        <v>0</v>
      </c>
      <c r="AI62" s="1147">
        <f t="shared" si="40"/>
        <v>0.49999999962087194</v>
      </c>
      <c r="AJ62" s="1148">
        <f t="shared" si="41"/>
        <v>0.49999999962087194</v>
      </c>
      <c r="AK62" s="1148">
        <f t="shared" si="42"/>
        <v>0.49999999962087194</v>
      </c>
      <c r="AL62" s="1148">
        <f t="shared" si="43"/>
        <v>0.49999999962087194</v>
      </c>
      <c r="AM62" s="1154">
        <f t="shared" si="44"/>
        <v>7.7226768918627967E-2</v>
      </c>
      <c r="AN62" s="313">
        <f t="shared" si="66"/>
        <v>0.9981966753922622</v>
      </c>
      <c r="AO62" s="314">
        <f t="shared" si="67"/>
        <v>0.99789509454064651</v>
      </c>
      <c r="AP62" s="314">
        <f t="shared" si="68"/>
        <v>0.96361070124135817</v>
      </c>
      <c r="AQ62" s="314">
        <f t="shared" si="69"/>
        <v>0.84887587777167828</v>
      </c>
      <c r="AR62" s="599">
        <f t="shared" si="70"/>
        <v>0.98817170171495305</v>
      </c>
      <c r="AS62" s="310">
        <f t="shared" ca="1" si="46"/>
        <v>0.99999999924174388</v>
      </c>
      <c r="AT62" s="311">
        <f t="shared" ca="1" si="47"/>
        <v>0.99999999924174388</v>
      </c>
      <c r="AU62" s="311">
        <f t="shared" ca="1" si="48"/>
        <v>0.97659517096381165</v>
      </c>
      <c r="AV62" s="311">
        <f t="shared" ca="1" si="49"/>
        <v>0.68453902936226174</v>
      </c>
      <c r="AW62" s="312">
        <f t="shared" ca="1" si="50"/>
        <v>0.15394805549004006</v>
      </c>
      <c r="AX62" s="310">
        <f t="shared" ca="1" si="51"/>
        <v>0.99819667463537343</v>
      </c>
      <c r="AY62" s="311">
        <f t="shared" ca="1" si="52"/>
        <v>0.99789509378398644</v>
      </c>
      <c r="AZ62" s="311">
        <f t="shared" ca="1" si="53"/>
        <v>0.94105755752136266</v>
      </c>
      <c r="BA62" s="311">
        <f t="shared" ca="1" si="71"/>
        <v>0.58108866941886261</v>
      </c>
      <c r="BB62" s="312">
        <f t="shared" ca="1" si="72"/>
        <v>0.1521271119693009</v>
      </c>
      <c r="BC62" s="310">
        <f t="shared" ca="1" si="73"/>
        <v>1.8033253646266845E-3</v>
      </c>
      <c r="BD62" s="311">
        <f t="shared" ca="1" si="56"/>
        <v>0.28133011739844804</v>
      </c>
      <c r="BE62" s="311">
        <f t="shared" ca="1" si="57"/>
        <v>0.28124512034477939</v>
      </c>
      <c r="BF62" s="311">
        <f t="shared" ca="1" si="58"/>
        <v>0.26522612212957952</v>
      </c>
      <c r="BG62" s="311">
        <f t="shared" ca="1" si="59"/>
        <v>0.16377307973524616</v>
      </c>
      <c r="BH62" s="312">
        <f t="shared" ca="1" si="60"/>
        <v>6.6222350273202647E-3</v>
      </c>
    </row>
    <row r="63" spans="1:60" x14ac:dyDescent="0.2">
      <c r="A63" s="316">
        <v>2046</v>
      </c>
      <c r="B63" s="826">
        <f t="shared" si="78"/>
        <v>162352.82999999999</v>
      </c>
      <c r="C63" s="827">
        <f t="shared" si="78"/>
        <v>4138.51</v>
      </c>
      <c r="D63" s="827">
        <f t="shared" si="78"/>
        <v>4471.53</v>
      </c>
      <c r="E63" s="827">
        <f t="shared" si="78"/>
        <v>19072.45</v>
      </c>
      <c r="F63" s="827">
        <f t="shared" si="78"/>
        <v>38892.69</v>
      </c>
      <c r="G63" s="828">
        <f t="shared" si="78"/>
        <v>10147.99</v>
      </c>
      <c r="H63" s="781">
        <f t="shared" si="79"/>
        <v>1</v>
      </c>
      <c r="I63" s="782">
        <f t="shared" si="79"/>
        <v>1</v>
      </c>
      <c r="J63" s="782">
        <f t="shared" si="79"/>
        <v>1</v>
      </c>
      <c r="K63" s="782">
        <f t="shared" si="79"/>
        <v>1</v>
      </c>
      <c r="L63" s="782">
        <f t="shared" si="79"/>
        <v>0.69510840408332064</v>
      </c>
      <c r="M63" s="783">
        <f t="shared" si="79"/>
        <v>1</v>
      </c>
      <c r="N63" s="631">
        <f t="shared" si="28"/>
        <v>8487.7137984491255</v>
      </c>
      <c r="O63" s="632">
        <f t="shared" si="29"/>
        <v>7319.4145177114651</v>
      </c>
      <c r="P63" s="632">
        <f t="shared" si="30"/>
        <v>7276.5607202110641</v>
      </c>
      <c r="Q63" s="632">
        <f t="shared" si="31"/>
        <v>6281.6678840500563</v>
      </c>
      <c r="R63" s="632">
        <f t="shared" si="32"/>
        <v>6129.7057055117821</v>
      </c>
      <c r="S63" s="745">
        <f t="shared" si="33"/>
        <v>6768.8462227718665</v>
      </c>
      <c r="T63" s="733">
        <f t="shared" si="61"/>
        <v>1168.2992807376604</v>
      </c>
      <c r="U63" s="276">
        <f t="shared" si="62"/>
        <v>1211.1530782380614</v>
      </c>
      <c r="V63" s="276">
        <f t="shared" si="63"/>
        <v>2206.0459143990693</v>
      </c>
      <c r="W63" s="276">
        <f t="shared" si="64"/>
        <v>2358.0080929373435</v>
      </c>
      <c r="X63" s="277">
        <f t="shared" si="65"/>
        <v>1718.8675756772591</v>
      </c>
      <c r="Y63" s="279">
        <f ca="1">IF(AND(Y$22=TRUE,INDEX(CDRANGE_CLS1,MATCH($A63,$A$24:$A$67,0),MATCH(Y$20,$B$20:$G$20,0))&lt;$D$6/OPDAYS_Cls1),86,payback(C63,T63,disc_rate/12,85))</f>
        <v>4</v>
      </c>
      <c r="Z63" s="280">
        <f ca="1">IF(AND(Z$22=TRUE,INDEX(CDRANGE_CLS1,MATCH($A63,$A$24:$A$67,0),MATCH(Z$20,$B$20:$G$20,0))&lt;$D$6/OPDAYS_Cls1),86,payback(D63,U63,disc_rate/12,85))</f>
        <v>4</v>
      </c>
      <c r="AA63" s="280">
        <f ca="1">IF(AND(AA$22=TRUE,INDEX(CDRANGE_CLS1,MATCH($A63,$A$24:$A$67,0),MATCH(AA$20,$B$20:$G$20,0))&lt;$D$6/OPDAYS_Cls1),86,payback(E63,V63,disc_rate/12,85))</f>
        <v>9</v>
      </c>
      <c r="AB63" s="280">
        <f ca="1">IF(AND(AB$22=TRUE,INDEX(CDRANGE_CLS1,MATCH($A63,$A$24:$A$67,0),MATCH(AB$20,$B$20:$G$20,0))&lt;$D$6/OPDAYS_Cls1),86,payback(F63,W63,disc_rate/12,85))</f>
        <v>18</v>
      </c>
      <c r="AC63" s="610">
        <f ca="1">IF(AND(AC$22=TRUE,INDEX(CDRANGE_CLS1,MATCH($A63,$A$24:$A$67,0),MATCH(AC$20,$B$20:$G$20,0))&lt;$D$6/OPDAYS_Cls1),86,payback(G63,X63,disc_rate/12,85))</f>
        <v>7</v>
      </c>
      <c r="AD63" s="282">
        <f t="shared" si="35"/>
        <v>0.14464003793726751</v>
      </c>
      <c r="AE63" s="283">
        <f t="shared" si="36"/>
        <v>7.6867880442549719E-2</v>
      </c>
      <c r="AF63" s="283">
        <f t="shared" si="37"/>
        <v>0</v>
      </c>
      <c r="AG63" s="283">
        <f t="shared" si="38"/>
        <v>0</v>
      </c>
      <c r="AH63" s="284">
        <f t="shared" si="39"/>
        <v>0</v>
      </c>
      <c r="AI63" s="1141">
        <f t="shared" si="40"/>
        <v>0.49999999962087194</v>
      </c>
      <c r="AJ63" s="1142">
        <f t="shared" si="41"/>
        <v>0.49999999962087194</v>
      </c>
      <c r="AK63" s="1142">
        <f t="shared" si="42"/>
        <v>0.49999999962087194</v>
      </c>
      <c r="AL63" s="1142">
        <f t="shared" si="43"/>
        <v>0.49999999962087194</v>
      </c>
      <c r="AM63" s="1155">
        <f t="shared" si="44"/>
        <v>9.6250620132841011E-2</v>
      </c>
      <c r="AN63" s="285">
        <f t="shared" si="66"/>
        <v>0.9981966753922622</v>
      </c>
      <c r="AO63" s="286">
        <f t="shared" si="67"/>
        <v>0.99789509454064651</v>
      </c>
      <c r="AP63" s="286">
        <f t="shared" si="68"/>
        <v>0.96239088744568058</v>
      </c>
      <c r="AQ63" s="286">
        <f t="shared" si="69"/>
        <v>0.85264727334014301</v>
      </c>
      <c r="AR63" s="611">
        <f t="shared" si="70"/>
        <v>0.98920597719971171</v>
      </c>
      <c r="AS63" s="282">
        <f t="shared" ca="1" si="46"/>
        <v>0.99999999924174388</v>
      </c>
      <c r="AT63" s="283">
        <f t="shared" ca="1" si="47"/>
        <v>0.99999999924174388</v>
      </c>
      <c r="AU63" s="283">
        <f t="shared" ca="1" si="48"/>
        <v>0.97659517096381165</v>
      </c>
      <c r="AV63" s="283">
        <f t="shared" ca="1" si="49"/>
        <v>0.75038070880164065</v>
      </c>
      <c r="AW63" s="284">
        <f t="shared" ca="1" si="50"/>
        <v>0.19187123864749964</v>
      </c>
      <c r="AX63" s="282">
        <f t="shared" ca="1" si="51"/>
        <v>0.99819667463537343</v>
      </c>
      <c r="AY63" s="283">
        <f t="shared" ca="1" si="52"/>
        <v>0.99789509378398644</v>
      </c>
      <c r="AZ63" s="283">
        <f t="shared" ca="1" si="53"/>
        <v>0.93986629325902882</v>
      </c>
      <c r="BA63" s="283">
        <f t="shared" ca="1" si="71"/>
        <v>0.63981006532676277</v>
      </c>
      <c r="BB63" s="284">
        <f t="shared" ca="1" si="72"/>
        <v>0.18980017612281896</v>
      </c>
      <c r="BC63" s="282">
        <f t="shared" ca="1" si="73"/>
        <v>1.8033253646265734E-3</v>
      </c>
      <c r="BD63" s="283">
        <f t="shared" ca="1" si="56"/>
        <v>0.27583402560036019</v>
      </c>
      <c r="BE63" s="283">
        <f t="shared" ca="1" si="57"/>
        <v>0.27575068905717598</v>
      </c>
      <c r="BF63" s="283">
        <f t="shared" ca="1" si="58"/>
        <v>0.25971545466270535</v>
      </c>
      <c r="BG63" s="283">
        <f t="shared" ca="1" si="59"/>
        <v>0.17680021424953801</v>
      </c>
      <c r="BH63" s="284">
        <f t="shared" ca="1" si="60"/>
        <v>1.0096291065593978E-2</v>
      </c>
    </row>
    <row r="64" spans="1:60" x14ac:dyDescent="0.2">
      <c r="A64" s="317">
        <v>2047</v>
      </c>
      <c r="B64" s="820">
        <f t="shared" si="78"/>
        <v>162352.82999999999</v>
      </c>
      <c r="C64" s="821">
        <f t="shared" si="78"/>
        <v>4138.51</v>
      </c>
      <c r="D64" s="821">
        <f t="shared" si="78"/>
        <v>4471.53</v>
      </c>
      <c r="E64" s="821">
        <f t="shared" si="78"/>
        <v>19390.189999999999</v>
      </c>
      <c r="F64" s="821">
        <f t="shared" si="78"/>
        <v>38355.61</v>
      </c>
      <c r="G64" s="822">
        <f t="shared" si="78"/>
        <v>9670.15</v>
      </c>
      <c r="H64" s="781">
        <f t="shared" si="79"/>
        <v>1</v>
      </c>
      <c r="I64" s="782">
        <f t="shared" si="79"/>
        <v>1</v>
      </c>
      <c r="J64" s="782">
        <f t="shared" si="79"/>
        <v>1</v>
      </c>
      <c r="K64" s="782">
        <f t="shared" si="79"/>
        <v>1</v>
      </c>
      <c r="L64" s="782">
        <f t="shared" si="79"/>
        <v>0.69491532125012601</v>
      </c>
      <c r="M64" s="783">
        <f t="shared" si="79"/>
        <v>1</v>
      </c>
      <c r="N64" s="275">
        <f t="shared" si="28"/>
        <v>8566.7870614264666</v>
      </c>
      <c r="O64" s="276">
        <f t="shared" si="29"/>
        <v>7387.6036676690082</v>
      </c>
      <c r="P64" s="276">
        <f t="shared" si="30"/>
        <v>7344.350635500733</v>
      </c>
      <c r="Q64" s="276">
        <f t="shared" si="31"/>
        <v>6306.4177634599191</v>
      </c>
      <c r="R64" s="276">
        <f t="shared" si="32"/>
        <v>6057.5346702219604</v>
      </c>
      <c r="S64" s="278">
        <f t="shared" si="33"/>
        <v>6711.9126312968247</v>
      </c>
      <c r="T64" s="734">
        <f t="shared" si="61"/>
        <v>1179.1833937574584</v>
      </c>
      <c r="U64" s="290">
        <f t="shared" si="62"/>
        <v>1222.4364259257336</v>
      </c>
      <c r="V64" s="290">
        <f t="shared" si="63"/>
        <v>2260.3692979665475</v>
      </c>
      <c r="W64" s="290">
        <f t="shared" si="64"/>
        <v>2509.2523912045062</v>
      </c>
      <c r="X64" s="291">
        <f t="shared" si="65"/>
        <v>1854.874430129642</v>
      </c>
      <c r="Y64" s="293">
        <f ca="1">IF(AND(Y$22=TRUE,INDEX(CDRANGE_CLS1,MATCH($A64,$A$24:$A$67,0),MATCH(Y$20,$B$20:$G$20,0))&lt;$D$6/OPDAYS_Cls1),86,payback(C64,T64,disc_rate/12,85))</f>
        <v>4</v>
      </c>
      <c r="Z64" s="294">
        <f ca="1">IF(AND(Z$22=TRUE,INDEX(CDRANGE_CLS1,MATCH($A64,$A$24:$A$67,0),MATCH(Z$20,$B$20:$G$20,0))&lt;$D$6/OPDAYS_Cls1),86,payback(D64,U64,disc_rate/12,85))</f>
        <v>4</v>
      </c>
      <c r="AA64" s="294">
        <f ca="1">IF(AND(AA$22=TRUE,INDEX(CDRANGE_CLS1,MATCH($A64,$A$24:$A$67,0),MATCH(AA$20,$B$20:$G$20,0))&lt;$D$6/OPDAYS_Cls1),86,payback(E64,V64,disc_rate/12,85))</f>
        <v>9</v>
      </c>
      <c r="AB64" s="294">
        <f ca="1">IF(AND(AB$22=TRUE,INDEX(CDRANGE_CLS1,MATCH($A64,$A$24:$A$67,0),MATCH(AB$20,$B$20:$G$20,0))&lt;$D$6/OPDAYS_Cls1),86,payback(F64,W64,disc_rate/12,85))</f>
        <v>17</v>
      </c>
      <c r="AC64" s="592">
        <f ca="1">IF(AND(AC$22=TRUE,INDEX(CDRANGE_CLS1,MATCH($A64,$A$24:$A$67,0),MATCH(AC$20,$B$20:$G$20,0))&lt;$D$6/OPDAYS_Cls1),86,payback(G64,X64,disc_rate/12,85))</f>
        <v>6</v>
      </c>
      <c r="AD64" s="296">
        <f t="shared" si="35"/>
        <v>0.14464003793726751</v>
      </c>
      <c r="AE64" s="297">
        <f t="shared" si="36"/>
        <v>7.6867880442549719E-2</v>
      </c>
      <c r="AF64" s="297">
        <f t="shared" si="37"/>
        <v>0</v>
      </c>
      <c r="AG64" s="297">
        <f t="shared" si="38"/>
        <v>0</v>
      </c>
      <c r="AH64" s="298">
        <f t="shared" si="39"/>
        <v>0</v>
      </c>
      <c r="AI64" s="1144">
        <f t="shared" si="40"/>
        <v>0.49999999962087194</v>
      </c>
      <c r="AJ64" s="1145">
        <f t="shared" si="41"/>
        <v>0.49999999962087194</v>
      </c>
      <c r="AK64" s="1145">
        <f t="shared" si="42"/>
        <v>0.49999999962087194</v>
      </c>
      <c r="AL64" s="1145">
        <f t="shared" si="43"/>
        <v>0.49999999962087194</v>
      </c>
      <c r="AM64" s="1153">
        <f t="shared" si="44"/>
        <v>0.11782847022157542</v>
      </c>
      <c r="AN64" s="299">
        <f t="shared" si="66"/>
        <v>0.9981966753922622</v>
      </c>
      <c r="AO64" s="300">
        <f t="shared" si="67"/>
        <v>0.99789509454064651</v>
      </c>
      <c r="AP64" s="300">
        <f t="shared" si="68"/>
        <v>0.96115220318893124</v>
      </c>
      <c r="AQ64" s="300">
        <f t="shared" si="69"/>
        <v>0.85638342812818613</v>
      </c>
      <c r="AR64" s="598">
        <f t="shared" si="70"/>
        <v>0.99019368077450753</v>
      </c>
      <c r="AS64" s="296">
        <f t="shared" ca="1" si="46"/>
        <v>0.99999999924174388</v>
      </c>
      <c r="AT64" s="297">
        <f t="shared" ca="1" si="47"/>
        <v>0.99999999924174388</v>
      </c>
      <c r="AU64" s="297">
        <f t="shared" ca="1" si="48"/>
        <v>0.97659517096381165</v>
      </c>
      <c r="AV64" s="297">
        <f t="shared" ca="1" si="49"/>
        <v>0.78228006881374645</v>
      </c>
      <c r="AW64" s="298">
        <f t="shared" ca="1" si="50"/>
        <v>0.23565694044315083</v>
      </c>
      <c r="AX64" s="296">
        <f t="shared" ca="1" si="51"/>
        <v>0.99819667463537343</v>
      </c>
      <c r="AY64" s="297">
        <f t="shared" ca="1" si="52"/>
        <v>0.99789509378398644</v>
      </c>
      <c r="AZ64" s="297">
        <f t="shared" ca="1" si="53"/>
        <v>0.93865660019553854</v>
      </c>
      <c r="BA64" s="297">
        <f t="shared" ca="1" si="71"/>
        <v>0.66993168708706952</v>
      </c>
      <c r="BB64" s="298">
        <f t="shared" ca="1" si="72"/>
        <v>0.23334601325746243</v>
      </c>
      <c r="BC64" s="296">
        <f t="shared" ca="1" si="73"/>
        <v>1.8033253646264624E-3</v>
      </c>
      <c r="BD64" s="297">
        <f t="shared" ca="1" si="56"/>
        <v>0.2722640819873019</v>
      </c>
      <c r="BE64" s="297">
        <f t="shared" ca="1" si="57"/>
        <v>0.27218182401576763</v>
      </c>
      <c r="BF64" s="297">
        <f t="shared" ca="1" si="58"/>
        <v>0.25602417243767461</v>
      </c>
      <c r="BG64" s="297">
        <f t="shared" ca="1" si="59"/>
        <v>0.18272785355209969</v>
      </c>
      <c r="BH64" s="298">
        <f t="shared" ca="1" si="60"/>
        <v>1.4998742642529674E-2</v>
      </c>
    </row>
    <row r="65" spans="1:60" x14ac:dyDescent="0.2">
      <c r="A65" s="317">
        <v>2048</v>
      </c>
      <c r="B65" s="820">
        <f t="shared" si="78"/>
        <v>162352.82999999999</v>
      </c>
      <c r="C65" s="821">
        <f t="shared" si="78"/>
        <v>4138.51</v>
      </c>
      <c r="D65" s="821">
        <f t="shared" si="78"/>
        <v>4471.53</v>
      </c>
      <c r="E65" s="821">
        <f t="shared" si="78"/>
        <v>19707.93</v>
      </c>
      <c r="F65" s="821">
        <f t="shared" si="78"/>
        <v>37818.54</v>
      </c>
      <c r="G65" s="822">
        <f t="shared" si="78"/>
        <v>9192.31</v>
      </c>
      <c r="H65" s="781">
        <f t="shared" si="79"/>
        <v>1</v>
      </c>
      <c r="I65" s="782">
        <f t="shared" si="79"/>
        <v>1</v>
      </c>
      <c r="J65" s="782">
        <f t="shared" si="79"/>
        <v>1</v>
      </c>
      <c r="K65" s="782">
        <f t="shared" si="79"/>
        <v>1</v>
      </c>
      <c r="L65" s="782">
        <f t="shared" si="79"/>
        <v>0.69472223841693115</v>
      </c>
      <c r="M65" s="783">
        <f t="shared" si="79"/>
        <v>1</v>
      </c>
      <c r="N65" s="275">
        <f t="shared" si="28"/>
        <v>8639.3226436615842</v>
      </c>
      <c r="O65" s="276">
        <f t="shared" si="29"/>
        <v>7450.1550220466024</v>
      </c>
      <c r="P65" s="276">
        <f t="shared" si="30"/>
        <v>7406.5357634448628</v>
      </c>
      <c r="Q65" s="276">
        <f t="shared" si="31"/>
        <v>6326.1181791216668</v>
      </c>
      <c r="R65" s="276">
        <f t="shared" si="32"/>
        <v>6023.05141483239</v>
      </c>
      <c r="S65" s="278">
        <f t="shared" si="33"/>
        <v>6655.926603081336</v>
      </c>
      <c r="T65" s="734">
        <f t="shared" si="61"/>
        <v>1189.1676216149817</v>
      </c>
      <c r="U65" s="290">
        <f t="shared" si="62"/>
        <v>1232.7868802167213</v>
      </c>
      <c r="V65" s="290">
        <f t="shared" si="63"/>
        <v>2313.2044645399174</v>
      </c>
      <c r="W65" s="290">
        <f t="shared" si="64"/>
        <v>2616.2712288291941</v>
      </c>
      <c r="X65" s="291">
        <f t="shared" si="65"/>
        <v>1983.3960405802482</v>
      </c>
      <c r="Y65" s="293">
        <f ca="1">IF(AND(Y$22=TRUE,INDEX(CDRANGE_CLS1,MATCH($A65,$A$24:$A$67,0),MATCH(Y$20,$B$20:$G$20,0))&lt;$D$6/OPDAYS_Cls1),86,payback(C65,T65,disc_rate/12,85))</f>
        <v>4</v>
      </c>
      <c r="Z65" s="294">
        <f ca="1">IF(AND(Z$22=TRUE,INDEX(CDRANGE_CLS1,MATCH($A65,$A$24:$A$67,0),MATCH(Z$20,$B$20:$G$20,0))&lt;$D$6/OPDAYS_Cls1),86,payback(D65,U65,disc_rate/12,85))</f>
        <v>4</v>
      </c>
      <c r="AA65" s="294">
        <f ca="1">IF(AND(AA$22=TRUE,INDEX(CDRANGE_CLS1,MATCH($A65,$A$24:$A$67,0),MATCH(AA$20,$B$20:$G$20,0))&lt;$D$6/OPDAYS_Cls1),86,payback(E65,V65,disc_rate/12,85))</f>
        <v>9</v>
      </c>
      <c r="AB65" s="294">
        <f ca="1">IF(AND(AB$22=TRUE,INDEX(CDRANGE_CLS1,MATCH($A65,$A$24:$A$67,0),MATCH(AB$20,$B$20:$G$20,0))&lt;$D$6/OPDAYS_Cls1),86,payback(F65,W65,disc_rate/12,85))</f>
        <v>16</v>
      </c>
      <c r="AC65" s="592">
        <f ca="1">IF(AND(AC$22=TRUE,INDEX(CDRANGE_CLS1,MATCH($A65,$A$24:$A$67,0),MATCH(AC$20,$B$20:$G$20,0))&lt;$D$6/OPDAYS_Cls1),86,payback(G65,X65,disc_rate/12,85))</f>
        <v>5</v>
      </c>
      <c r="AD65" s="296">
        <f t="shared" si="35"/>
        <v>0.14464003793726751</v>
      </c>
      <c r="AE65" s="297">
        <f t="shared" si="36"/>
        <v>7.6867880442549719E-2</v>
      </c>
      <c r="AF65" s="297">
        <f t="shared" si="37"/>
        <v>0</v>
      </c>
      <c r="AG65" s="297">
        <f t="shared" si="38"/>
        <v>0</v>
      </c>
      <c r="AH65" s="298">
        <f t="shared" si="39"/>
        <v>0</v>
      </c>
      <c r="AI65" s="1144">
        <f t="shared" si="40"/>
        <v>0.49999999962087194</v>
      </c>
      <c r="AJ65" s="1145">
        <f t="shared" si="41"/>
        <v>0.49999999962087194</v>
      </c>
      <c r="AK65" s="1145">
        <f t="shared" si="42"/>
        <v>0.49999999962087194</v>
      </c>
      <c r="AL65" s="1145">
        <f t="shared" si="43"/>
        <v>0.49999999962087194</v>
      </c>
      <c r="AM65" s="1153">
        <f t="shared" si="44"/>
        <v>0.12954116250433836</v>
      </c>
      <c r="AN65" s="299">
        <f t="shared" si="66"/>
        <v>0.9981966753922622</v>
      </c>
      <c r="AO65" s="300">
        <f t="shared" si="67"/>
        <v>0.99789509454064651</v>
      </c>
      <c r="AP65" s="300">
        <f t="shared" si="68"/>
        <v>0.95989468739885131</v>
      </c>
      <c r="AQ65" s="300">
        <f t="shared" si="69"/>
        <v>0.86008359302454462</v>
      </c>
      <c r="AR65" s="598">
        <f t="shared" si="70"/>
        <v>0.99113467082607809</v>
      </c>
      <c r="AS65" s="296">
        <f t="shared" ca="1" si="46"/>
        <v>0.99999999924174388</v>
      </c>
      <c r="AT65" s="297">
        <f t="shared" ca="1" si="47"/>
        <v>0.99999999924174388</v>
      </c>
      <c r="AU65" s="297">
        <f t="shared" ca="1" si="48"/>
        <v>0.97659517096381165</v>
      </c>
      <c r="AV65" s="297">
        <f t="shared" ca="1" si="49"/>
        <v>0.81315546066018718</v>
      </c>
      <c r="AW65" s="298">
        <f t="shared" ca="1" si="50"/>
        <v>0.25908232500867673</v>
      </c>
      <c r="AX65" s="296">
        <f t="shared" ca="1" si="51"/>
        <v>0.99819667463537343</v>
      </c>
      <c r="AY65" s="297">
        <f t="shared" ca="1" si="52"/>
        <v>0.99789509378398644</v>
      </c>
      <c r="AZ65" s="297">
        <f t="shared" ca="1" si="53"/>
        <v>0.93742851634753577</v>
      </c>
      <c r="BA65" s="297">
        <f t="shared" ca="1" si="71"/>
        <v>0.69938167029214249</v>
      </c>
      <c r="BB65" s="298">
        <f t="shared" ca="1" si="72"/>
        <v>0.25678547491432979</v>
      </c>
      <c r="BC65" s="296">
        <f t="shared" ca="1" si="73"/>
        <v>1.8033253646265734E-3</v>
      </c>
      <c r="BD65" s="297">
        <f t="shared" ca="1" si="56"/>
        <v>0.26933783250440674</v>
      </c>
      <c r="BE65" s="297">
        <f t="shared" ca="1" si="57"/>
        <v>0.26925645862799402</v>
      </c>
      <c r="BF65" s="297">
        <f t="shared" ca="1" si="58"/>
        <v>0.25294109982193252</v>
      </c>
      <c r="BG65" s="297">
        <f t="shared" ca="1" si="59"/>
        <v>0.18871024914865206</v>
      </c>
      <c r="BH65" s="298">
        <f t="shared" ca="1" si="60"/>
        <v>1.7951034532388097E-2</v>
      </c>
    </row>
    <row r="66" spans="1:60" x14ac:dyDescent="0.2">
      <c r="A66" s="317">
        <v>2049</v>
      </c>
      <c r="B66" s="820">
        <f t="shared" si="78"/>
        <v>162352.82999999999</v>
      </c>
      <c r="C66" s="821">
        <f t="shared" si="78"/>
        <v>4138.51</v>
      </c>
      <c r="D66" s="821">
        <f t="shared" si="78"/>
        <v>4471.53</v>
      </c>
      <c r="E66" s="821">
        <f t="shared" si="78"/>
        <v>20025.669999999998</v>
      </c>
      <c r="F66" s="821">
        <f t="shared" si="78"/>
        <v>37281.47</v>
      </c>
      <c r="G66" s="822">
        <f t="shared" si="78"/>
        <v>8714.4599999999991</v>
      </c>
      <c r="H66" s="781">
        <f t="shared" si="79"/>
        <v>1</v>
      </c>
      <c r="I66" s="782">
        <f t="shared" si="79"/>
        <v>1</v>
      </c>
      <c r="J66" s="782">
        <f t="shared" si="79"/>
        <v>1</v>
      </c>
      <c r="K66" s="782">
        <f t="shared" si="79"/>
        <v>1</v>
      </c>
      <c r="L66" s="782">
        <f t="shared" si="79"/>
        <v>0.69452915558373629</v>
      </c>
      <c r="M66" s="783">
        <f t="shared" si="79"/>
        <v>1</v>
      </c>
      <c r="N66" s="275">
        <f t="shared" si="28"/>
        <v>8692.0339987279585</v>
      </c>
      <c r="O66" s="276">
        <f t="shared" si="29"/>
        <v>7495.610873490552</v>
      </c>
      <c r="P66" s="276">
        <f t="shared" si="30"/>
        <v>7451.7254794146866</v>
      </c>
      <c r="Q66" s="276">
        <f t="shared" si="31"/>
        <v>6331.1712115101827</v>
      </c>
      <c r="R66" s="276">
        <f t="shared" si="32"/>
        <v>5997.5427364188117</v>
      </c>
      <c r="S66" s="278">
        <f t="shared" si="33"/>
        <v>6600.8492711078297</v>
      </c>
      <c r="T66" s="734">
        <f t="shared" si="61"/>
        <v>1196.4231252374066</v>
      </c>
      <c r="U66" s="290">
        <f t="shared" si="62"/>
        <v>1240.308519313272</v>
      </c>
      <c r="V66" s="290">
        <f t="shared" si="63"/>
        <v>2360.8627872177758</v>
      </c>
      <c r="W66" s="290">
        <f t="shared" si="64"/>
        <v>2694.4912623091468</v>
      </c>
      <c r="X66" s="291">
        <f t="shared" si="65"/>
        <v>2091.1847276201288</v>
      </c>
      <c r="Y66" s="293">
        <f ca="1">IF(AND(Y$22=TRUE,INDEX(CDRANGE_CLS1,MATCH($A66,$A$24:$A$67,0),MATCH(Y$20,$B$20:$G$20,0))&lt;$D$6/OPDAYS_Cls1),86,payback(C66,T66,disc_rate/12,85))</f>
        <v>4</v>
      </c>
      <c r="Z66" s="294">
        <f ca="1">IF(AND(Z$22=TRUE,INDEX(CDRANGE_CLS1,MATCH($A66,$A$24:$A$67,0),MATCH(Z$20,$B$20:$G$20,0))&lt;$D$6/OPDAYS_Cls1),86,payback(D66,U66,disc_rate/12,85))</f>
        <v>4</v>
      </c>
      <c r="AA66" s="294">
        <f ca="1">IF(AND(AA$22=TRUE,INDEX(CDRANGE_CLS1,MATCH($A66,$A$24:$A$67,0),MATCH(AA$20,$B$20:$G$20,0))&lt;$D$6/OPDAYS_Cls1),86,payback(E66,V66,disc_rate/12,85))</f>
        <v>9</v>
      </c>
      <c r="AB66" s="294">
        <f ca="1">IF(AND(AB$22=TRUE,INDEX(CDRANGE_CLS1,MATCH($A66,$A$24:$A$67,0),MATCH(AB$20,$B$20:$G$20,0))&lt;$D$6/OPDAYS_Cls1),86,payback(F66,W66,disc_rate/12,85))</f>
        <v>15</v>
      </c>
      <c r="AC66" s="592">
        <f ca="1">IF(AND(AC$22=TRUE,INDEX(CDRANGE_CLS1,MATCH($A66,$A$24:$A$67,0),MATCH(AC$20,$B$20:$G$20,0))&lt;$D$6/OPDAYS_Cls1),86,payback(G66,X66,disc_rate/12,85))</f>
        <v>5</v>
      </c>
      <c r="AD66" s="296">
        <f t="shared" si="35"/>
        <v>0.14464003793726751</v>
      </c>
      <c r="AE66" s="297">
        <f t="shared" si="36"/>
        <v>7.6867880442549719E-2</v>
      </c>
      <c r="AF66" s="297">
        <f t="shared" si="37"/>
        <v>0</v>
      </c>
      <c r="AG66" s="297">
        <f t="shared" si="38"/>
        <v>0</v>
      </c>
      <c r="AH66" s="298">
        <f t="shared" si="39"/>
        <v>0</v>
      </c>
      <c r="AI66" s="1144">
        <f t="shared" si="40"/>
        <v>0.49999999962087194</v>
      </c>
      <c r="AJ66" s="1145">
        <f t="shared" si="41"/>
        <v>0.49999999962087194</v>
      </c>
      <c r="AK66" s="1145">
        <f t="shared" si="42"/>
        <v>0.49999999962087194</v>
      </c>
      <c r="AL66" s="1145">
        <f t="shared" si="43"/>
        <v>0.49999999962087194</v>
      </c>
      <c r="AM66" s="1153">
        <f t="shared" si="44"/>
        <v>0.15468482913019341</v>
      </c>
      <c r="AN66" s="299">
        <f t="shared" si="66"/>
        <v>0.9981966753922622</v>
      </c>
      <c r="AO66" s="300">
        <f t="shared" si="67"/>
        <v>0.99789509454064651</v>
      </c>
      <c r="AP66" s="300">
        <f t="shared" si="68"/>
        <v>0.95861841819534654</v>
      </c>
      <c r="AQ66" s="300">
        <f t="shared" si="69"/>
        <v>0.86374723186194191</v>
      </c>
      <c r="AR66" s="598">
        <f t="shared" si="70"/>
        <v>0.99202883057159164</v>
      </c>
      <c r="AS66" s="296">
        <f t="shared" ca="1" si="46"/>
        <v>0.99999999924174388</v>
      </c>
      <c r="AT66" s="297">
        <f t="shared" ca="1" si="47"/>
        <v>0.99999999924174388</v>
      </c>
      <c r="AU66" s="297">
        <f t="shared" ca="1" si="48"/>
        <v>0.97659517096381165</v>
      </c>
      <c r="AV66" s="297">
        <f t="shared" ca="1" si="49"/>
        <v>0.84273521235524596</v>
      </c>
      <c r="AW66" s="298">
        <f t="shared" ca="1" si="50"/>
        <v>0.30936965826038682</v>
      </c>
      <c r="AX66" s="296">
        <f t="shared" ca="1" si="51"/>
        <v>0.99819667463537343</v>
      </c>
      <c r="AY66" s="297">
        <f t="shared" ca="1" si="52"/>
        <v>0.99789509378398644</v>
      </c>
      <c r="AZ66" s="297">
        <f t="shared" ca="1" si="53"/>
        <v>0.93618211800654316</v>
      </c>
      <c r="BA66" s="297">
        <f t="shared" ca="1" si="71"/>
        <v>0.72791020686442953</v>
      </c>
      <c r="BB66" s="298">
        <f t="shared" ca="1" si="72"/>
        <v>0.30690362029838447</v>
      </c>
      <c r="BC66" s="296">
        <f t="shared" ca="1" si="73"/>
        <v>1.8033253646264624E-3</v>
      </c>
      <c r="BD66" s="297">
        <f t="shared" ca="1" si="56"/>
        <v>0.26534271761470801</v>
      </c>
      <c r="BE66" s="297">
        <f t="shared" ca="1" si="57"/>
        <v>0.26526255076510719</v>
      </c>
      <c r="BF66" s="297">
        <f t="shared" ca="1" si="58"/>
        <v>0.24885787909971716</v>
      </c>
      <c r="BG66" s="297">
        <f t="shared" ca="1" si="59"/>
        <v>0.19349460620017123</v>
      </c>
      <c r="BH66" s="298">
        <f t="shared" ca="1" si="60"/>
        <v>2.5238920955669888E-2</v>
      </c>
    </row>
    <row r="67" spans="1:60" ht="13.5" thickBot="1" x14ac:dyDescent="0.25">
      <c r="A67" s="302">
        <v>2050</v>
      </c>
      <c r="B67" s="823">
        <f t="shared" si="78"/>
        <v>162352.82999999999</v>
      </c>
      <c r="C67" s="824">
        <f t="shared" si="78"/>
        <v>4138.51</v>
      </c>
      <c r="D67" s="824">
        <f t="shared" si="78"/>
        <v>4471.53</v>
      </c>
      <c r="E67" s="824">
        <f t="shared" si="78"/>
        <v>20343.41</v>
      </c>
      <c r="F67" s="824">
        <f t="shared" si="78"/>
        <v>36744.400000000001</v>
      </c>
      <c r="G67" s="825">
        <f t="shared" si="78"/>
        <v>8236.6200000000008</v>
      </c>
      <c r="H67" s="781">
        <f t="shared" si="79"/>
        <v>1</v>
      </c>
      <c r="I67" s="782">
        <f t="shared" si="79"/>
        <v>1</v>
      </c>
      <c r="J67" s="782">
        <f t="shared" si="79"/>
        <v>1</v>
      </c>
      <c r="K67" s="782">
        <f t="shared" si="79"/>
        <v>1</v>
      </c>
      <c r="L67" s="782">
        <f t="shared" si="79"/>
        <v>0.69433607275054143</v>
      </c>
      <c r="M67" s="783">
        <f t="shared" si="79"/>
        <v>1</v>
      </c>
      <c r="N67" s="778">
        <f t="shared" si="28"/>
        <v>8740.6330010818801</v>
      </c>
      <c r="O67" s="779">
        <f t="shared" si="29"/>
        <v>7537.5204208459991</v>
      </c>
      <c r="P67" s="779">
        <f t="shared" si="30"/>
        <v>7493.3896542404937</v>
      </c>
      <c r="Q67" s="779">
        <f t="shared" si="31"/>
        <v>6333.1915767533092</v>
      </c>
      <c r="R67" s="779">
        <f t="shared" si="32"/>
        <v>5979.1995696501835</v>
      </c>
      <c r="S67" s="780">
        <f t="shared" si="33"/>
        <v>6546.7041624821441</v>
      </c>
      <c r="T67" s="737">
        <f t="shared" si="61"/>
        <v>1203.1125802358811</v>
      </c>
      <c r="U67" s="304">
        <f t="shared" si="62"/>
        <v>1247.2433468413865</v>
      </c>
      <c r="V67" s="304">
        <f t="shared" si="63"/>
        <v>2407.441424328571</v>
      </c>
      <c r="W67" s="304">
        <f t="shared" si="64"/>
        <v>2761.4334314316966</v>
      </c>
      <c r="X67" s="305">
        <f t="shared" si="65"/>
        <v>2193.9288385997361</v>
      </c>
      <c r="Y67" s="307">
        <f ca="1">IF(AND(Y$22=TRUE,INDEX(CDRANGE_CLS1,MATCH($A67,$A$24:$A$67,0),MATCH(Y$20,$B$20:$G$20,0))&lt;$D$6/OPDAYS_Cls1),86,payback(C67,T67,disc_rate/12,85))</f>
        <v>4</v>
      </c>
      <c r="Z67" s="308">
        <f ca="1">IF(AND(Z$22=TRUE,INDEX(CDRANGE_CLS1,MATCH($A67,$A$24:$A$67,0),MATCH(Z$20,$B$20:$G$20,0))&lt;$D$6/OPDAYS_Cls1),86,payback(D67,U67,disc_rate/12,85))</f>
        <v>4</v>
      </c>
      <c r="AA67" s="308">
        <f ca="1">IF(AND(AA$22=TRUE,INDEX(CDRANGE_CLS1,MATCH($A67,$A$24:$A$67,0),MATCH(AA$20,$B$20:$G$20,0))&lt;$D$6/OPDAYS_Cls1),86,payback(E67,V67,disc_rate/12,85))</f>
        <v>9</v>
      </c>
      <c r="AB67" s="308">
        <f ca="1">IF(AND(AB$22=TRUE,INDEX(CDRANGE_CLS1,MATCH($A67,$A$24:$A$67,0),MATCH(AB$20,$B$20:$G$20,0))&lt;$D$6/OPDAYS_Cls1),86,payback(F67,W67,disc_rate/12,85))</f>
        <v>14</v>
      </c>
      <c r="AC67" s="593">
        <f ca="1">IF(AND(AC$22=TRUE,INDEX(CDRANGE_CLS1,MATCH($A67,$A$24:$A$67,0),MATCH(AC$20,$B$20:$G$20,0))&lt;$D$6/OPDAYS_Cls1),86,payback(G67,X67,disc_rate/12,85))</f>
        <v>4</v>
      </c>
      <c r="AD67" s="310">
        <f t="shared" si="35"/>
        <v>0.14464003793726751</v>
      </c>
      <c r="AE67" s="311">
        <f t="shared" si="36"/>
        <v>7.6867880442549719E-2</v>
      </c>
      <c r="AF67" s="311">
        <f t="shared" si="37"/>
        <v>0</v>
      </c>
      <c r="AG67" s="311">
        <f t="shared" si="38"/>
        <v>0</v>
      </c>
      <c r="AH67" s="312">
        <f t="shared" si="39"/>
        <v>0</v>
      </c>
      <c r="AI67" s="1147">
        <f t="shared" si="40"/>
        <v>0.49999999962087194</v>
      </c>
      <c r="AJ67" s="1148">
        <f t="shared" si="41"/>
        <v>0.49999999962087194</v>
      </c>
      <c r="AK67" s="1148">
        <f t="shared" si="42"/>
        <v>0.49999999962087194</v>
      </c>
      <c r="AL67" s="1148">
        <f t="shared" si="43"/>
        <v>0.49999999962087194</v>
      </c>
      <c r="AM67" s="1154">
        <f t="shared" si="44"/>
        <v>0.16804211820484452</v>
      </c>
      <c r="AN67" s="313">
        <f t="shared" si="66"/>
        <v>0.9981966753922622</v>
      </c>
      <c r="AO67" s="314">
        <f t="shared" si="67"/>
        <v>0.99789509454064651</v>
      </c>
      <c r="AP67" s="314">
        <f t="shared" si="68"/>
        <v>0.95732347479164359</v>
      </c>
      <c r="AQ67" s="314">
        <f t="shared" si="69"/>
        <v>0.86737374265407174</v>
      </c>
      <c r="AR67" s="599">
        <f t="shared" si="70"/>
        <v>0.99287599422242501</v>
      </c>
      <c r="AS67" s="310">
        <f t="shared" ca="1" si="46"/>
        <v>0.99999999924174388</v>
      </c>
      <c r="AT67" s="311">
        <f t="shared" ca="1" si="47"/>
        <v>0.99999999924174388</v>
      </c>
      <c r="AU67" s="311">
        <f t="shared" ca="1" si="48"/>
        <v>0.97659517096381165</v>
      </c>
      <c r="AV67" s="311">
        <f t="shared" ca="1" si="49"/>
        <v>0.87073765296713201</v>
      </c>
      <c r="AW67" s="312">
        <f t="shared" ca="1" si="50"/>
        <v>0.33608423640968904</v>
      </c>
      <c r="AX67" s="310">
        <f t="shared" ca="1" si="51"/>
        <v>0.99819667463537343</v>
      </c>
      <c r="AY67" s="311">
        <f t="shared" ca="1" si="52"/>
        <v>0.99789509378398644</v>
      </c>
      <c r="AZ67" s="311">
        <f t="shared" ca="1" si="53"/>
        <v>0.93491748253181539</v>
      </c>
      <c r="BA67" s="311">
        <f t="shared" ca="1" si="71"/>
        <v>0.75525497692392363</v>
      </c>
      <c r="BB67" s="312">
        <f t="shared" ca="1" si="72"/>
        <v>0.33368997036775455</v>
      </c>
      <c r="BC67" s="310">
        <f t="shared" ca="1" si="73"/>
        <v>1.8033253646265734E-3</v>
      </c>
      <c r="BD67" s="311">
        <f t="shared" ca="1" si="56"/>
        <v>0.26231924222161229</v>
      </c>
      <c r="BE67" s="311">
        <f t="shared" ca="1" si="57"/>
        <v>0.26223998884157745</v>
      </c>
      <c r="BF67" s="311">
        <f t="shared" ca="1" si="58"/>
        <v>0.24568990439390945</v>
      </c>
      <c r="BG67" s="311">
        <f t="shared" ca="1" si="59"/>
        <v>0.19847582972880015</v>
      </c>
      <c r="BH67" s="312">
        <f t="shared" ca="1" si="60"/>
        <v>2.947170944947405E-2</v>
      </c>
    </row>
    <row r="68" spans="1:60" x14ac:dyDescent="0.2">
      <c r="A68" s="227" t="str">
        <f>"Output generated: "&amp; TEXT(MAX($P$4,$P$5),"m/dd/yyyy hh:mm")</f>
        <v>Output generated: 4/26/2020 19:05</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3.5" thickBot="1" x14ac:dyDescent="0.25">
      <c r="W69" s="227" t="str">
        <f>IF(K69=0,"",$N69-R69+W$22)</f>
        <v/>
      </c>
      <c r="X69" s="227" t="str">
        <f>IF(M69=0,"",$N69-S69+X$22)</f>
        <v/>
      </c>
    </row>
    <row r="70" spans="1:60" s="29" customFormat="1" ht="15" x14ac:dyDescent="0.25">
      <c r="A70" s="333"/>
      <c r="B70" s="1559" t="s">
        <v>188</v>
      </c>
      <c r="C70" s="1560"/>
      <c r="D70" s="1560"/>
      <c r="E70" s="1560"/>
      <c r="F70" s="1560"/>
      <c r="G70" s="1560"/>
      <c r="H70" s="1560"/>
      <c r="I70" s="1560"/>
      <c r="J70" s="1560"/>
      <c r="K70" s="1560"/>
      <c r="L70" s="1560"/>
      <c r="M70" s="1560"/>
      <c r="N70" s="1561"/>
      <c r="O70" s="1559" t="s">
        <v>189</v>
      </c>
      <c r="P70" s="1560"/>
      <c r="Q70" s="1560"/>
      <c r="R70" s="1560"/>
      <c r="S70" s="1560"/>
      <c r="T70" s="1560"/>
      <c r="U70" s="1560"/>
      <c r="V70" s="1560"/>
      <c r="W70" s="1560"/>
      <c r="X70" s="1560"/>
      <c r="Y70" s="1560"/>
      <c r="Z70" s="1560"/>
      <c r="AA70" s="1561"/>
    </row>
    <row r="71" spans="1:60" x14ac:dyDescent="0.2">
      <c r="A71" s="324"/>
      <c r="B71" s="1556" t="s">
        <v>121</v>
      </c>
      <c r="C71" s="1557"/>
      <c r="D71" s="1557"/>
      <c r="E71" s="1557"/>
      <c r="F71" s="1557"/>
      <c r="G71" s="1557"/>
      <c r="H71" s="1557"/>
      <c r="I71" s="1557"/>
      <c r="J71" s="1557"/>
      <c r="K71" s="1557"/>
      <c r="L71" s="1558"/>
      <c r="M71" s="382"/>
      <c r="N71" s="325"/>
      <c r="O71" s="1556" t="s">
        <v>121</v>
      </c>
      <c r="P71" s="1557"/>
      <c r="Q71" s="1557"/>
      <c r="R71" s="1557"/>
      <c r="S71" s="1557"/>
      <c r="T71" s="1557"/>
      <c r="U71" s="1557"/>
      <c r="V71" s="1557"/>
      <c r="W71" s="1557"/>
      <c r="X71" s="1557"/>
      <c r="Y71" s="1558"/>
      <c r="Z71" s="382"/>
      <c r="AA71" s="325"/>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4" t="s">
        <v>268</v>
      </c>
      <c r="AD72" s="234" t="b">
        <f>INDEX(TECH_OPT_FUEL2_Cls1,MATCH(RIGHT(O70),TECH_OPT_ROWS_Cls1,0))&lt;&gt;"N/A"</f>
        <v>0</v>
      </c>
    </row>
    <row r="73" spans="1:60" s="228" customFormat="1" ht="14.25"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7"/>
      <c r="AC73" s="904" t="s">
        <v>269</v>
      </c>
      <c r="AD73" s="234">
        <f>MATCH(RIGHT(O70),TECH_OPT_ROWS_Cls1,0)</f>
        <v>2</v>
      </c>
      <c r="AH73"/>
      <c r="AI73"/>
      <c r="AJ73"/>
      <c r="AK73"/>
      <c r="AL73"/>
      <c r="AM73"/>
      <c r="AN73"/>
      <c r="AO73"/>
      <c r="AP73"/>
      <c r="AQ73"/>
      <c r="AR73"/>
      <c r="AS73"/>
      <c r="AT73"/>
      <c r="AU73"/>
    </row>
    <row r="74" spans="1:60" s="228" customFormat="1" x14ac:dyDescent="0.2">
      <c r="A74" s="331" t="s">
        <v>125</v>
      </c>
      <c r="B74" s="939">
        <f t="array" ref="B74:L74">TRANSPOSE(Cls1CentVMTShr)</f>
        <v>8.9762242961142352E-4</v>
      </c>
      <c r="C74" s="940">
        <v>1.2044238150123706E-3</v>
      </c>
      <c r="D74" s="940">
        <v>4.1499109643594731E-3</v>
      </c>
      <c r="E74" s="940">
        <v>1.9575808105519295E-2</v>
      </c>
      <c r="F74" s="940">
        <v>3.4523467949689302E-2</v>
      </c>
      <c r="G74" s="940">
        <v>2.7311948935134379E-2</v>
      </c>
      <c r="H74" s="940">
        <v>7.6478458482655817E-2</v>
      </c>
      <c r="I74" s="940">
        <v>3.2480526319280681E-2</v>
      </c>
      <c r="J74" s="940">
        <v>1.1772940427842455E-2</v>
      </c>
      <c r="K74" s="940">
        <v>6.0339283082965706E-3</v>
      </c>
      <c r="L74" s="941">
        <v>1.5952440951210019E-2</v>
      </c>
      <c r="M74" s="388"/>
      <c r="N74" s="334"/>
      <c r="O74" s="939">
        <f t="array" ref="O74:Y74">TRANSPOSE(Cls1NCentVMTShr)</f>
        <v>1.3589913425833078E-3</v>
      </c>
      <c r="P74" s="940">
        <v>5.8692629772239642E-3</v>
      </c>
      <c r="Q74" s="940">
        <v>1.2100393581509007E-2</v>
      </c>
      <c r="R74" s="940">
        <v>3.6555003327388577E-2</v>
      </c>
      <c r="S74" s="940">
        <v>8.3148735051829181E-2</v>
      </c>
      <c r="T74" s="940">
        <v>0.18151138394047112</v>
      </c>
      <c r="U74" s="940">
        <v>0.2383386372324876</v>
      </c>
      <c r="V74" s="940">
        <v>9.5602564448196578E-2</v>
      </c>
      <c r="W74" s="940">
        <v>2.9193025028929166E-2</v>
      </c>
      <c r="X74" s="940">
        <v>3.5209492159336005E-2</v>
      </c>
      <c r="Y74" s="941">
        <v>5.0731034221433824E-2</v>
      </c>
      <c r="Z74" s="386"/>
      <c r="AA74" s="334"/>
      <c r="AB74" s="1572" t="str">
        <f>"% of miles on f2 for Tech "&amp; RIGHT(O70)&amp;" adopters"</f>
        <v>% of miles on f2 for Tech A adopters</v>
      </c>
      <c r="AC74" s="1573"/>
      <c r="AD74" s="1574"/>
      <c r="AE74" s="1175" t="s">
        <v>299</v>
      </c>
      <c r="AF74" s="1175"/>
      <c r="AG74" s="1175"/>
      <c r="AH74" s="1176" t="s">
        <v>308</v>
      </c>
      <c r="AI74" s="1177"/>
      <c r="AJ74" s="1172"/>
      <c r="AK74"/>
      <c r="AL74"/>
      <c r="AM74"/>
      <c r="AN74"/>
      <c r="AO74"/>
      <c r="AP74"/>
      <c r="AQ74"/>
      <c r="AR74"/>
      <c r="AS74"/>
      <c r="AT74"/>
      <c r="AU74"/>
    </row>
    <row r="75" spans="1:60" ht="13.5" thickBot="1" x14ac:dyDescent="0.25">
      <c r="A75" s="943" t="s">
        <v>267</v>
      </c>
      <c r="B75" s="934">
        <f t="array" ref="B75:L75">TRANSPOSE(Cls1CentVMT/OPDAYS_Cls1)</f>
        <v>51.642967609234425</v>
      </c>
      <c r="C75" s="935">
        <v>110.97733417848234</v>
      </c>
      <c r="D75" s="935">
        <v>204.40224583551472</v>
      </c>
      <c r="E75" s="935">
        <v>290.24610572847212</v>
      </c>
      <c r="F75" s="935">
        <v>364.75750419264841</v>
      </c>
      <c r="G75" s="935">
        <v>443.63126889109378</v>
      </c>
      <c r="H75" s="935">
        <v>506.78134229373978</v>
      </c>
      <c r="I75" s="935">
        <v>595.71283413609137</v>
      </c>
      <c r="J75" s="935">
        <v>682.23089916089702</v>
      </c>
      <c r="K75" s="935">
        <v>765.26438827532684</v>
      </c>
      <c r="L75" s="936">
        <v>970.27871027310334</v>
      </c>
      <c r="M75" s="932"/>
      <c r="N75" s="933"/>
      <c r="O75" s="934">
        <f t="array" ref="O75:Y75">TRANSPOSE(Cls1NCentVMT/OPDAYS_Cls1)</f>
        <v>47.924548633512046</v>
      </c>
      <c r="P75" s="935">
        <v>112.56389213862748</v>
      </c>
      <c r="Q75" s="935">
        <v>214.67280220238027</v>
      </c>
      <c r="R75" s="935">
        <v>288.30186744262801</v>
      </c>
      <c r="S75" s="935">
        <v>368.60089210549245</v>
      </c>
      <c r="T75" s="935">
        <v>447.31558789932524</v>
      </c>
      <c r="U75" s="935">
        <v>511.28831950097862</v>
      </c>
      <c r="V75" s="935">
        <v>595.73726658362273</v>
      </c>
      <c r="W75" s="935">
        <v>672.11099195240695</v>
      </c>
      <c r="X75" s="935">
        <v>757.0793017898726</v>
      </c>
      <c r="Y75" s="936">
        <v>896.16800791754974</v>
      </c>
      <c r="Z75" s="944"/>
      <c r="AA75" s="933"/>
      <c r="AB75" s="946" t="s">
        <v>187</v>
      </c>
      <c r="AC75" s="947" t="s">
        <v>15</v>
      </c>
      <c r="AD75" s="948" t="s">
        <v>18</v>
      </c>
      <c r="AE75" s="938" t="s">
        <v>187</v>
      </c>
      <c r="AF75" s="938" t="s">
        <v>15</v>
      </c>
      <c r="AG75" s="938" t="s">
        <v>18</v>
      </c>
      <c r="AH75" s="1174" t="s">
        <v>187</v>
      </c>
      <c r="AI75" s="938" t="s">
        <v>15</v>
      </c>
      <c r="AJ75"/>
      <c r="AK75"/>
      <c r="AL75"/>
      <c r="AM75"/>
      <c r="AN75"/>
      <c r="AO75"/>
      <c r="AP75"/>
      <c r="AQ75"/>
      <c r="AR75"/>
      <c r="AS75"/>
      <c r="AT75"/>
      <c r="AU75"/>
    </row>
    <row r="76" spans="1:60" ht="13.5" thickTop="1" x14ac:dyDescent="0.2">
      <c r="A76" s="942">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9">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50">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8">
        <f t="shared" ref="AD76:AD101" si="84">AB76*AH76+AC76*AI76</f>
        <v>0</v>
      </c>
      <c r="AE76" s="938">
        <f t="shared" ref="AE76:AE90" si="85">SUMPRODUCT($B$74:$L$74,B76:L76)</f>
        <v>0</v>
      </c>
      <c r="AF76" s="938">
        <f t="shared" ref="AF76:AF90" si="86">SUMPRODUCT($O$74:$Y$74,O76:Y76)</f>
        <v>0</v>
      </c>
      <c r="AG76" s="938">
        <f t="shared" ref="AG76:AG90" si="87">SUM(AE76:AF76)</f>
        <v>0</v>
      </c>
      <c r="AH76" s="1174">
        <f>IF(AG76&gt;0,AE76/AG76,0)</f>
        <v>0</v>
      </c>
      <c r="AI76" s="938">
        <f>IF(AG76&gt;0,AF76/AG76,0)</f>
        <v>0</v>
      </c>
      <c r="AJ76"/>
      <c r="AK76"/>
      <c r="AL76"/>
      <c r="AM76" s="1173"/>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9">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50">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8">
        <f t="shared" si="84"/>
        <v>0</v>
      </c>
      <c r="AE77" s="938">
        <f t="shared" si="85"/>
        <v>0</v>
      </c>
      <c r="AF77" s="938">
        <f t="shared" si="86"/>
        <v>0</v>
      </c>
      <c r="AG77" s="938">
        <f t="shared" si="87"/>
        <v>0</v>
      </c>
      <c r="AH77" s="1174">
        <f t="shared" ref="AH77:AH119" si="88">IF(AG77&gt;0,AE77/AG77,0)</f>
        <v>0</v>
      </c>
      <c r="AI77" s="938">
        <f t="shared" ref="AI77:AI119" si="89">IF(AG77&gt;0,AF77/AG77,0)</f>
        <v>0</v>
      </c>
      <c r="AJ77"/>
      <c r="AK77"/>
      <c r="AL77"/>
      <c r="AM77" s="1173"/>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9">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50">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8">
        <f t="shared" si="84"/>
        <v>0</v>
      </c>
      <c r="AE78" s="938">
        <f t="shared" si="85"/>
        <v>0</v>
      </c>
      <c r="AF78" s="938">
        <f t="shared" si="86"/>
        <v>0</v>
      </c>
      <c r="AG78" s="938">
        <f t="shared" si="87"/>
        <v>0</v>
      </c>
      <c r="AH78" s="1174">
        <f t="shared" si="88"/>
        <v>0</v>
      </c>
      <c r="AI78" s="938">
        <f t="shared" si="89"/>
        <v>0</v>
      </c>
      <c r="AJ78"/>
      <c r="AK78"/>
      <c r="AL78"/>
      <c r="AM78" s="1173"/>
      <c r="AN78"/>
      <c r="AO78"/>
      <c r="AP78"/>
      <c r="AQ78"/>
      <c r="AR78"/>
      <c r="AS78"/>
      <c r="AT78"/>
      <c r="AU78"/>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9">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50">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8">
        <f t="shared" si="84"/>
        <v>0</v>
      </c>
      <c r="AE79" s="938">
        <f t="shared" si="85"/>
        <v>0</v>
      </c>
      <c r="AF79" s="938">
        <f t="shared" si="86"/>
        <v>0</v>
      </c>
      <c r="AG79" s="938">
        <f t="shared" si="87"/>
        <v>0</v>
      </c>
      <c r="AH79" s="1174">
        <f t="shared" si="88"/>
        <v>0</v>
      </c>
      <c r="AI79" s="938">
        <f t="shared" si="89"/>
        <v>0</v>
      </c>
      <c r="AJ79" s="1171"/>
      <c r="AK79" s="1171"/>
      <c r="AL79" s="1171"/>
      <c r="AM79" s="1173"/>
      <c r="AN79" s="1171"/>
      <c r="AO79" s="1171"/>
      <c r="AP79" s="1171"/>
      <c r="AQ79" s="1171"/>
      <c r="AR79" s="1171"/>
      <c r="AS79" s="1171"/>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9">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50">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8">
        <f t="shared" si="84"/>
        <v>0</v>
      </c>
      <c r="AE80" s="938">
        <f t="shared" si="85"/>
        <v>0</v>
      </c>
      <c r="AF80" s="938">
        <f t="shared" si="86"/>
        <v>0</v>
      </c>
      <c r="AG80" s="938">
        <f t="shared" si="87"/>
        <v>0</v>
      </c>
      <c r="AH80" s="1174">
        <f t="shared" si="88"/>
        <v>0</v>
      </c>
      <c r="AI80" s="938">
        <f t="shared" si="89"/>
        <v>0</v>
      </c>
      <c r="AJ80" s="1171"/>
      <c r="AK80" s="1171"/>
      <c r="AL80" s="1171"/>
      <c r="AM80" s="1173"/>
      <c r="AN80" s="1171"/>
      <c r="AO80" s="1171"/>
      <c r="AP80" s="1171"/>
      <c r="AQ80" s="1171"/>
      <c r="AR80" s="1171"/>
      <c r="AS80" s="1171"/>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9">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50">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8">
        <f t="shared" si="84"/>
        <v>0</v>
      </c>
      <c r="AE81" s="938">
        <f t="shared" si="85"/>
        <v>0</v>
      </c>
      <c r="AF81" s="938">
        <f t="shared" si="86"/>
        <v>0</v>
      </c>
      <c r="AG81" s="938">
        <f t="shared" si="87"/>
        <v>0</v>
      </c>
      <c r="AH81" s="1174">
        <f t="shared" si="88"/>
        <v>0</v>
      </c>
      <c r="AI81" s="938">
        <f t="shared" si="89"/>
        <v>0</v>
      </c>
      <c r="AJ81" s="1171"/>
      <c r="AK81" s="1171"/>
      <c r="AL81" s="1171"/>
      <c r="AM81" s="1173"/>
      <c r="AN81" s="1171"/>
      <c r="AO81" s="1171"/>
      <c r="AP81" s="1171"/>
      <c r="AQ81" s="1171"/>
      <c r="AR81" s="1171"/>
      <c r="AS81" s="1171"/>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9">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50">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8">
        <f t="shared" si="84"/>
        <v>0</v>
      </c>
      <c r="AE82" s="938">
        <f t="shared" si="85"/>
        <v>0</v>
      </c>
      <c r="AF82" s="938">
        <f t="shared" si="86"/>
        <v>0</v>
      </c>
      <c r="AG82" s="938">
        <f t="shared" si="87"/>
        <v>0</v>
      </c>
      <c r="AH82" s="1174">
        <f t="shared" si="88"/>
        <v>0</v>
      </c>
      <c r="AI82" s="938">
        <f t="shared" si="89"/>
        <v>0</v>
      </c>
      <c r="AJ82" s="1171"/>
      <c r="AK82" s="1171"/>
      <c r="AL82" s="1171"/>
      <c r="AM82" s="1173"/>
      <c r="AN82" s="1171"/>
      <c r="AO82" s="1171"/>
      <c r="AP82" s="1171"/>
      <c r="AQ82" s="1171"/>
      <c r="AR82" s="1171"/>
      <c r="AS82" s="1171"/>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9">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50">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8">
        <f t="shared" si="84"/>
        <v>0</v>
      </c>
      <c r="AE83" s="938">
        <f t="shared" si="85"/>
        <v>0</v>
      </c>
      <c r="AF83" s="938">
        <f t="shared" si="86"/>
        <v>0</v>
      </c>
      <c r="AG83" s="938">
        <f t="shared" si="87"/>
        <v>0</v>
      </c>
      <c r="AH83" s="1174">
        <f t="shared" si="88"/>
        <v>0</v>
      </c>
      <c r="AI83" s="938">
        <f t="shared" si="89"/>
        <v>0</v>
      </c>
      <c r="AJ83" s="1171"/>
      <c r="AK83" s="1171"/>
      <c r="AL83" s="1171"/>
      <c r="AM83" s="1173"/>
      <c r="AN83" s="1171"/>
      <c r="AO83" s="1171"/>
      <c r="AP83" s="1171"/>
      <c r="AQ83" s="1171"/>
      <c r="AR83" s="1171"/>
      <c r="AS83" s="1171"/>
    </row>
    <row r="84" spans="1:45" ht="13.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9">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50">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8">
        <f t="shared" si="84"/>
        <v>0</v>
      </c>
      <c r="AE84" s="938">
        <f t="shared" si="85"/>
        <v>0</v>
      </c>
      <c r="AF84" s="938">
        <f t="shared" si="86"/>
        <v>0</v>
      </c>
      <c r="AG84" s="938">
        <f t="shared" si="87"/>
        <v>0</v>
      </c>
      <c r="AH84" s="1174">
        <f t="shared" si="88"/>
        <v>0</v>
      </c>
      <c r="AI84" s="938">
        <f t="shared" si="89"/>
        <v>0</v>
      </c>
      <c r="AJ84" s="1171"/>
      <c r="AK84" s="1171"/>
      <c r="AL84" s="1171"/>
      <c r="AM84" s="1173"/>
      <c r="AN84" s="1171"/>
      <c r="AO84" s="1171"/>
      <c r="AP84" s="1171"/>
      <c r="AQ84" s="1171"/>
      <c r="AR84" s="1171"/>
      <c r="AS84" s="1171"/>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9">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50">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8">
        <f t="shared" si="84"/>
        <v>0</v>
      </c>
      <c r="AE85" s="938">
        <f t="shared" si="85"/>
        <v>0</v>
      </c>
      <c r="AF85" s="938">
        <f t="shared" si="86"/>
        <v>0</v>
      </c>
      <c r="AG85" s="938">
        <f t="shared" si="87"/>
        <v>0</v>
      </c>
      <c r="AH85" s="1174">
        <f t="shared" si="88"/>
        <v>0</v>
      </c>
      <c r="AI85" s="938">
        <f t="shared" si="89"/>
        <v>0</v>
      </c>
      <c r="AJ85" s="1171"/>
      <c r="AK85" s="1171"/>
      <c r="AL85" s="1171"/>
      <c r="AM85" s="1173"/>
      <c r="AN85" s="1171"/>
      <c r="AO85" s="1171"/>
      <c r="AP85" s="1171"/>
      <c r="AQ85" s="1171"/>
      <c r="AR85" s="1171"/>
      <c r="AS85" s="1171"/>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9">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50">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8">
        <f t="shared" si="84"/>
        <v>0</v>
      </c>
      <c r="AE86" s="938">
        <f t="shared" si="85"/>
        <v>0</v>
      </c>
      <c r="AF86" s="938">
        <f t="shared" si="86"/>
        <v>0</v>
      </c>
      <c r="AG86" s="938">
        <f t="shared" si="87"/>
        <v>0</v>
      </c>
      <c r="AH86" s="1174">
        <f t="shared" si="88"/>
        <v>0</v>
      </c>
      <c r="AI86" s="938">
        <f t="shared" si="89"/>
        <v>0</v>
      </c>
      <c r="AJ86" s="1171"/>
      <c r="AK86" s="1171"/>
      <c r="AL86" s="1171"/>
      <c r="AM86" s="1173"/>
      <c r="AN86" s="1171"/>
      <c r="AO86" s="1171"/>
      <c r="AP86" s="1171"/>
      <c r="AQ86" s="1171"/>
      <c r="AR86" s="1171"/>
      <c r="AS86" s="1171"/>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9">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50">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8">
        <f t="shared" si="84"/>
        <v>0</v>
      </c>
      <c r="AE87" s="938">
        <f t="shared" si="85"/>
        <v>0</v>
      </c>
      <c r="AF87" s="938">
        <f t="shared" si="86"/>
        <v>0</v>
      </c>
      <c r="AG87" s="938">
        <f t="shared" si="87"/>
        <v>0</v>
      </c>
      <c r="AH87" s="1174">
        <f t="shared" si="88"/>
        <v>0</v>
      </c>
      <c r="AI87" s="938">
        <f t="shared" si="89"/>
        <v>0</v>
      </c>
      <c r="AJ87" s="1171"/>
      <c r="AK87" s="1171"/>
      <c r="AL87" s="1171"/>
      <c r="AM87" s="1173"/>
      <c r="AN87" s="1171"/>
      <c r="AO87" s="1171"/>
      <c r="AP87" s="1171"/>
      <c r="AQ87" s="1171"/>
      <c r="AR87" s="1171"/>
      <c r="AS87" s="1171"/>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9">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50">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8">
        <f t="shared" si="84"/>
        <v>0</v>
      </c>
      <c r="AE88" s="938">
        <f t="shared" si="85"/>
        <v>0</v>
      </c>
      <c r="AF88" s="938">
        <f t="shared" si="86"/>
        <v>0</v>
      </c>
      <c r="AG88" s="938">
        <f t="shared" si="87"/>
        <v>0</v>
      </c>
      <c r="AH88" s="1174">
        <f t="shared" si="88"/>
        <v>0</v>
      </c>
      <c r="AI88" s="938">
        <f t="shared" si="89"/>
        <v>0</v>
      </c>
      <c r="AJ88" s="1171"/>
      <c r="AK88" s="1171"/>
      <c r="AL88" s="1171"/>
      <c r="AM88" s="1173"/>
      <c r="AN88" s="1171"/>
      <c r="AO88" s="1171"/>
      <c r="AP88" s="1171"/>
      <c r="AQ88" s="1171"/>
      <c r="AR88" s="1171"/>
      <c r="AS88" s="1171"/>
    </row>
    <row r="89" spans="1:45" ht="13.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9">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50">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8">
        <f t="shared" si="84"/>
        <v>0</v>
      </c>
      <c r="AE89" s="938">
        <f t="shared" si="85"/>
        <v>0</v>
      </c>
      <c r="AF89" s="938">
        <f t="shared" si="86"/>
        <v>0</v>
      </c>
      <c r="AG89" s="938">
        <f t="shared" si="87"/>
        <v>0</v>
      </c>
      <c r="AH89" s="1174">
        <f t="shared" si="88"/>
        <v>0</v>
      </c>
      <c r="AI89" s="938">
        <f t="shared" si="89"/>
        <v>0</v>
      </c>
      <c r="AJ89" s="1171"/>
      <c r="AK89" s="1171"/>
      <c r="AL89" s="1171"/>
      <c r="AM89" s="1173"/>
      <c r="AN89" s="1171"/>
      <c r="AO89" s="1171"/>
      <c r="AP89" s="1171"/>
      <c r="AQ89" s="1171"/>
      <c r="AR89" s="1171"/>
      <c r="AS89" s="1171"/>
    </row>
    <row r="90" spans="1:45" x14ac:dyDescent="0.2">
      <c r="A90" s="329">
        <v>2021</v>
      </c>
      <c r="B90" s="342">
        <v>1.2169932922821489E-2</v>
      </c>
      <c r="C90" s="343">
        <v>1.2169932922821489E-2</v>
      </c>
      <c r="D90" s="343">
        <v>1.5292852074017585E-2</v>
      </c>
      <c r="E90" s="343">
        <v>2.4360415250416066E-2</v>
      </c>
      <c r="F90" s="343">
        <v>2.7824919630403771E-2</v>
      </c>
      <c r="G90" s="343">
        <v>2.9731270777176334E-2</v>
      </c>
      <c r="H90" s="343">
        <v>3.1177535592976879E-2</v>
      </c>
      <c r="I90" s="343">
        <v>3.0111997203137855E-2</v>
      </c>
      <c r="J90" s="343">
        <v>2.8600113589431424E-2</v>
      </c>
      <c r="K90" s="343">
        <v>2.7101901348342158E-2</v>
      </c>
      <c r="L90" s="379">
        <v>2.5358973553493029E-2</v>
      </c>
      <c r="M90" s="282">
        <f t="shared" si="80"/>
        <v>6.6057914915041149E-3</v>
      </c>
      <c r="N90" s="284">
        <f t="shared" si="81"/>
        <v>6.5063417965185912E-3</v>
      </c>
      <c r="O90" s="342">
        <v>1.2169932922821489E-2</v>
      </c>
      <c r="P90" s="343">
        <v>1.2169932922821489E-2</v>
      </c>
      <c r="Q90" s="343">
        <v>1.7866906010967503E-2</v>
      </c>
      <c r="R90" s="343">
        <v>2.4360415250416066E-2</v>
      </c>
      <c r="S90" s="343">
        <v>2.8827960462638785E-2</v>
      </c>
      <c r="T90" s="343">
        <v>3.0519952122814425E-2</v>
      </c>
      <c r="U90" s="343">
        <v>3.1177535592976879E-2</v>
      </c>
      <c r="V90" s="343">
        <v>2.9479416896501347E-2</v>
      </c>
      <c r="W90" s="343">
        <v>2.8031172580520045E-2</v>
      </c>
      <c r="X90" s="343">
        <v>2.7101901348342158E-2</v>
      </c>
      <c r="Y90" s="379">
        <v>2.5744170891842361E-2</v>
      </c>
      <c r="Z90" s="282">
        <f t="shared" si="82"/>
        <v>2.2459092739292644E-2</v>
      </c>
      <c r="AA90" s="284">
        <f t="shared" si="83"/>
        <v>2.1560870397409036E-2</v>
      </c>
      <c r="AB90" s="949">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50">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8">
        <f t="shared" si="84"/>
        <v>0</v>
      </c>
      <c r="AE90" s="938">
        <f t="shared" si="85"/>
        <v>6.6057914915041149E-3</v>
      </c>
      <c r="AF90" s="938">
        <f t="shared" si="86"/>
        <v>2.2459092739292644E-2</v>
      </c>
      <c r="AG90" s="938">
        <f t="shared" si="87"/>
        <v>2.9064884230796759E-2</v>
      </c>
      <c r="AH90" s="1174">
        <f t="shared" si="88"/>
        <v>0.22727740592562579</v>
      </c>
      <c r="AI90" s="938">
        <f t="shared" si="89"/>
        <v>0.77272259407437416</v>
      </c>
      <c r="AJ90" s="1171"/>
      <c r="AK90" s="1171"/>
      <c r="AL90" s="1171"/>
      <c r="AM90" s="1173"/>
      <c r="AN90" s="1171"/>
      <c r="AO90" s="1171"/>
      <c r="AP90" s="1171"/>
      <c r="AQ90" s="1171"/>
      <c r="AR90" s="1171"/>
      <c r="AS90" s="1171"/>
    </row>
    <row r="91" spans="1:45" x14ac:dyDescent="0.2">
      <c r="A91" s="330">
        <v>2022</v>
      </c>
      <c r="B91" s="344">
        <v>3.2416100335883678E-2</v>
      </c>
      <c r="C91" s="345">
        <v>3.2416100335883678E-2</v>
      </c>
      <c r="D91" s="345">
        <v>3.4208244260284397E-2</v>
      </c>
      <c r="E91" s="345">
        <v>6.0747680484536597E-2</v>
      </c>
      <c r="F91" s="345">
        <v>6.6587331509684863E-2</v>
      </c>
      <c r="G91" s="345">
        <v>6.7865052781578811E-2</v>
      </c>
      <c r="H91" s="345">
        <v>6.558911218404738E-2</v>
      </c>
      <c r="I91" s="345">
        <v>6.4673911655693361E-2</v>
      </c>
      <c r="J91" s="345">
        <v>6.3424604186338537E-2</v>
      </c>
      <c r="K91" s="345">
        <v>6.1768193224038502E-2</v>
      </c>
      <c r="L91" s="380">
        <v>6.0722336111417884E-2</v>
      </c>
      <c r="M91" s="296">
        <f t="shared" si="80"/>
        <v>1.4756504007619478E-2</v>
      </c>
      <c r="N91" s="298">
        <f t="shared" si="81"/>
        <v>1.4716730386577531E-2</v>
      </c>
      <c r="O91" s="344">
        <v>3.2416100335883678E-2</v>
      </c>
      <c r="P91" s="345">
        <v>3.2416100335883678E-2</v>
      </c>
      <c r="Q91" s="345">
        <v>4.0571655976554828E-2</v>
      </c>
      <c r="R91" s="345">
        <v>6.0747680484536597E-2</v>
      </c>
      <c r="S91" s="345">
        <v>6.7747671366065937E-2</v>
      </c>
      <c r="T91" s="345">
        <v>6.5072199823773005E-2</v>
      </c>
      <c r="U91" s="345">
        <v>6.5839797088520335E-2</v>
      </c>
      <c r="V91" s="345">
        <v>6.3629813440600855E-2</v>
      </c>
      <c r="W91" s="345">
        <v>6.2549647345042411E-2</v>
      </c>
      <c r="X91" s="345">
        <v>6.2068509617995302E-2</v>
      </c>
      <c r="Y91" s="380">
        <v>6.0752071826996143E-2</v>
      </c>
      <c r="Z91" s="296">
        <f t="shared" si="82"/>
        <v>4.92591251200893E-2</v>
      </c>
      <c r="AA91" s="298">
        <f t="shared" si="83"/>
        <v>4.7650573760686453E-2</v>
      </c>
      <c r="AB91" s="949">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50">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8">
        <f t="shared" si="84"/>
        <v>0</v>
      </c>
      <c r="AE91" s="938">
        <f>SUMPRODUCT($B$74:$L$74,B91:L91)</f>
        <v>1.4756504007619478E-2</v>
      </c>
      <c r="AF91" s="938">
        <f>SUMPRODUCT($O$74:$Y$74,O91:Y91)</f>
        <v>4.92591251200893E-2</v>
      </c>
      <c r="AG91" s="938">
        <f>SUM(AE91:AF91)</f>
        <v>6.4015629127708779E-2</v>
      </c>
      <c r="AH91" s="1174">
        <f t="shared" si="88"/>
        <v>0.23051408239979657</v>
      </c>
      <c r="AI91" s="938">
        <f t="shared" si="89"/>
        <v>0.76948591760020346</v>
      </c>
      <c r="AJ91" s="1171"/>
      <c r="AK91" s="1173"/>
      <c r="AL91" s="1173"/>
      <c r="AM91" s="1173"/>
      <c r="AN91" s="1171"/>
      <c r="AO91" s="1173"/>
      <c r="AP91" s="1171"/>
      <c r="AQ91" s="1171"/>
      <c r="AR91" s="1171"/>
      <c r="AS91" s="1171"/>
    </row>
    <row r="92" spans="1:45" x14ac:dyDescent="0.2">
      <c r="A92" s="330">
        <v>2023</v>
      </c>
      <c r="B92" s="344">
        <v>7.8913793191493012E-2</v>
      </c>
      <c r="C92" s="345">
        <v>7.8913793191493012E-2</v>
      </c>
      <c r="D92" s="345">
        <v>7.8911091769312228E-2</v>
      </c>
      <c r="E92" s="345">
        <v>0.12555262260931938</v>
      </c>
      <c r="F92" s="345">
        <v>0.13396779346350954</v>
      </c>
      <c r="G92" s="345">
        <v>0.13388220393240724</v>
      </c>
      <c r="H92" s="345">
        <v>0.13767051699109861</v>
      </c>
      <c r="I92" s="345">
        <v>0.13660897394608817</v>
      </c>
      <c r="J92" s="345">
        <v>0.13488936055742098</v>
      </c>
      <c r="K92" s="345">
        <v>0.13344548254652136</v>
      </c>
      <c r="L92" s="380">
        <v>0.12477117239448053</v>
      </c>
      <c r="M92" s="296">
        <f t="shared" si="80"/>
        <v>3.0582375168643754E-2</v>
      </c>
      <c r="N92" s="298">
        <f t="shared" si="81"/>
        <v>3.0573083954918992E-2</v>
      </c>
      <c r="O92" s="344">
        <v>7.8913793191493012E-2</v>
      </c>
      <c r="P92" s="345">
        <v>7.8913793191493012E-2</v>
      </c>
      <c r="Q92" s="345">
        <v>9.9543660856868763E-2</v>
      </c>
      <c r="R92" s="345">
        <v>0.12967667366920407</v>
      </c>
      <c r="S92" s="345">
        <v>0.13677481184670762</v>
      </c>
      <c r="T92" s="345">
        <v>0.13602284391640984</v>
      </c>
      <c r="U92" s="345">
        <v>0.13553152585118752</v>
      </c>
      <c r="V92" s="345">
        <v>0.13719711695148951</v>
      </c>
      <c r="W92" s="345">
        <v>0.13615004381492724</v>
      </c>
      <c r="X92" s="345">
        <v>0.13263723900247898</v>
      </c>
      <c r="Y92" s="380">
        <v>0.12567752625652548</v>
      </c>
      <c r="Z92" s="296">
        <f t="shared" si="82"/>
        <v>0.10301687265542642</v>
      </c>
      <c r="AA92" s="298">
        <f t="shared" si="83"/>
        <v>0.10004827780775004</v>
      </c>
      <c r="AB92" s="949">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50">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8">
        <f t="shared" si="84"/>
        <v>0</v>
      </c>
      <c r="AE92" s="938">
        <f t="shared" ref="AE92:AE119" si="90">SUMPRODUCT($B$74:$L$74,B92:L92)</f>
        <v>3.0582375168643754E-2</v>
      </c>
      <c r="AF92" s="938">
        <f t="shared" ref="AF92:AF119" si="91">SUMPRODUCT($O$74:$Y$74,O92:Y92)</f>
        <v>0.10301687265542642</v>
      </c>
      <c r="AG92" s="938">
        <f t="shared" ref="AG92:AG119" si="92">SUM(AE92:AF92)</f>
        <v>0.13359924782407018</v>
      </c>
      <c r="AH92" s="1174">
        <f t="shared" si="88"/>
        <v>0.22891128256138144</v>
      </c>
      <c r="AI92" s="938">
        <f t="shared" si="89"/>
        <v>0.77108871743861851</v>
      </c>
      <c r="AJ92" s="1171"/>
      <c r="AK92" s="1173"/>
      <c r="AL92" s="1173"/>
      <c r="AM92" s="1173"/>
      <c r="AN92" s="1171"/>
      <c r="AO92" s="1173"/>
      <c r="AP92" s="1171"/>
      <c r="AQ92" s="1171"/>
      <c r="AR92" s="1171"/>
      <c r="AS92" s="1171"/>
    </row>
    <row r="93" spans="1:45" x14ac:dyDescent="0.2">
      <c r="A93" s="330">
        <v>2024</v>
      </c>
      <c r="B93" s="344">
        <v>0.1512539466586072</v>
      </c>
      <c r="C93" s="345">
        <v>0.1512539466586072</v>
      </c>
      <c r="D93" s="345">
        <v>0.14796483046219139</v>
      </c>
      <c r="E93" s="345">
        <v>0.20286900768384869</v>
      </c>
      <c r="F93" s="345">
        <v>0.22743277058314793</v>
      </c>
      <c r="G93" s="345">
        <v>0.23964457109951906</v>
      </c>
      <c r="H93" s="345">
        <v>0.23865229454884396</v>
      </c>
      <c r="I93" s="345">
        <v>0.23946992638908784</v>
      </c>
      <c r="J93" s="345">
        <v>0.23412109630167394</v>
      </c>
      <c r="K93" s="345">
        <v>0.22631853410231664</v>
      </c>
      <c r="L93" s="380">
        <v>0.20699068613125635</v>
      </c>
      <c r="M93" s="296">
        <f t="shared" si="80"/>
        <v>5.2753995756631138E-2</v>
      </c>
      <c r="N93" s="298">
        <f t="shared" si="81"/>
        <v>5.2818816224577646E-2</v>
      </c>
      <c r="O93" s="344">
        <v>0.1512539466586072</v>
      </c>
      <c r="P93" s="345">
        <v>0.1512539466586072</v>
      </c>
      <c r="Q93" s="345">
        <v>0.1701447637245867</v>
      </c>
      <c r="R93" s="345">
        <v>0.210834371728296</v>
      </c>
      <c r="S93" s="345">
        <v>0.23364122327406039</v>
      </c>
      <c r="T93" s="345">
        <v>0.24740383868755644</v>
      </c>
      <c r="U93" s="345">
        <v>0.24444593913674711</v>
      </c>
      <c r="V93" s="345">
        <v>0.2373160319057607</v>
      </c>
      <c r="W93" s="345">
        <v>0.23080792641355091</v>
      </c>
      <c r="X93" s="345">
        <v>0.22206599904524718</v>
      </c>
      <c r="Y93" s="380">
        <v>0.20948133339306449</v>
      </c>
      <c r="Z93" s="296">
        <f t="shared" si="82"/>
        <v>0.18132570764759123</v>
      </c>
      <c r="AA93" s="298">
        <f t="shared" si="83"/>
        <v>0.17639083151901611</v>
      </c>
      <c r="AB93" s="949">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50">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8">
        <f t="shared" si="84"/>
        <v>0</v>
      </c>
      <c r="AE93" s="938">
        <f t="shared" si="90"/>
        <v>5.2753995756631138E-2</v>
      </c>
      <c r="AF93" s="938">
        <f t="shared" si="91"/>
        <v>0.18132570764759123</v>
      </c>
      <c r="AG93" s="938">
        <f t="shared" si="92"/>
        <v>0.23407970340422238</v>
      </c>
      <c r="AH93" s="1174">
        <f t="shared" si="88"/>
        <v>0.22536766319091103</v>
      </c>
      <c r="AI93" s="938">
        <f t="shared" si="89"/>
        <v>0.77463233680908894</v>
      </c>
      <c r="AJ93" s="1171"/>
      <c r="AK93" s="1173"/>
      <c r="AL93" s="1173"/>
      <c r="AM93" s="1173"/>
      <c r="AN93" s="1171"/>
      <c r="AO93" s="1173"/>
      <c r="AP93" s="1171"/>
      <c r="AQ93" s="1171"/>
      <c r="AR93" s="1171"/>
      <c r="AS93" s="1171"/>
    </row>
    <row r="94" spans="1:45" ht="13.5" thickBot="1" x14ac:dyDescent="0.25">
      <c r="A94" s="328">
        <v>2025</v>
      </c>
      <c r="B94" s="346">
        <v>0.17619044818902879</v>
      </c>
      <c r="C94" s="347">
        <v>0.17619044818902879</v>
      </c>
      <c r="D94" s="347">
        <v>0.17837778093651308</v>
      </c>
      <c r="E94" s="347">
        <v>0.28170004074918864</v>
      </c>
      <c r="F94" s="347">
        <v>0.31808262697106671</v>
      </c>
      <c r="G94" s="347">
        <v>0.32596801359217253</v>
      </c>
      <c r="H94" s="347">
        <v>0.33622138557018544</v>
      </c>
      <c r="I94" s="347">
        <v>0.33129720700395771</v>
      </c>
      <c r="J94" s="347">
        <v>0.31380037384028758</v>
      </c>
      <c r="K94" s="347">
        <v>0.30556656043179997</v>
      </c>
      <c r="L94" s="381">
        <v>0.28054011078893093</v>
      </c>
      <c r="M94" s="310">
        <f t="shared" si="80"/>
        <v>7.2997075746416826E-2</v>
      </c>
      <c r="N94" s="312">
        <f t="shared" si="81"/>
        <v>7.2692820873385425E-2</v>
      </c>
      <c r="O94" s="346">
        <v>0.17619044818902879</v>
      </c>
      <c r="P94" s="347">
        <v>0.17619044818902879</v>
      </c>
      <c r="Q94" s="347">
        <v>0.21468474630872364</v>
      </c>
      <c r="R94" s="347">
        <v>0.27475643823453255</v>
      </c>
      <c r="S94" s="347">
        <v>0.32686422673731358</v>
      </c>
      <c r="T94" s="347">
        <v>0.33506339594733781</v>
      </c>
      <c r="U94" s="347">
        <v>0.33634436115353744</v>
      </c>
      <c r="V94" s="347">
        <v>0.32274146903411066</v>
      </c>
      <c r="W94" s="347">
        <v>0.31034389047795952</v>
      </c>
      <c r="X94" s="347">
        <v>0.30191685066085727</v>
      </c>
      <c r="Y94" s="381">
        <v>0.28411710993019679</v>
      </c>
      <c r="Z94" s="310">
        <f t="shared" si="82"/>
        <v>0.24703374904827693</v>
      </c>
      <c r="AA94" s="312">
        <f t="shared" si="83"/>
        <v>0.23909666381988096</v>
      </c>
      <c r="AB94" s="949">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50">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8">
        <f t="shared" si="84"/>
        <v>0</v>
      </c>
      <c r="AE94" s="938">
        <f t="shared" si="90"/>
        <v>7.2997075746416826E-2</v>
      </c>
      <c r="AF94" s="938">
        <f t="shared" si="91"/>
        <v>0.24703374904827693</v>
      </c>
      <c r="AG94" s="938">
        <f t="shared" si="92"/>
        <v>0.32003082479469375</v>
      </c>
      <c r="AH94" s="1174">
        <f t="shared" si="88"/>
        <v>0.22809388999714614</v>
      </c>
      <c r="AI94" s="938">
        <f t="shared" si="89"/>
        <v>0.77190611000285392</v>
      </c>
      <c r="AJ94" s="1171"/>
      <c r="AK94" s="1173"/>
      <c r="AL94" s="1173"/>
      <c r="AM94" s="1173"/>
      <c r="AN94" s="1171"/>
      <c r="AO94" s="1173"/>
      <c r="AP94" s="1171"/>
      <c r="AQ94" s="1171"/>
      <c r="AR94" s="1171"/>
      <c r="AS94" s="1171"/>
    </row>
    <row r="95" spans="1:45" x14ac:dyDescent="0.2">
      <c r="A95" s="329">
        <v>2026</v>
      </c>
      <c r="B95" s="342">
        <v>0.212261523242674</v>
      </c>
      <c r="C95" s="343">
        <v>0.212261523242674</v>
      </c>
      <c r="D95" s="343">
        <v>0.2506234185591088</v>
      </c>
      <c r="E95" s="343">
        <v>0.35821584266146167</v>
      </c>
      <c r="F95" s="343">
        <v>0.3815964479429752</v>
      </c>
      <c r="G95" s="343">
        <v>0.3980170123153281</v>
      </c>
      <c r="H95" s="343">
        <v>0.38601561068035917</v>
      </c>
      <c r="I95" s="343">
        <v>0.3737991341096058</v>
      </c>
      <c r="J95" s="343">
        <v>0.35473211933582444</v>
      </c>
      <c r="K95" s="343">
        <v>0.34037168449165117</v>
      </c>
      <c r="L95" s="379">
        <v>0.32134473307751832</v>
      </c>
      <c r="M95" s="282">
        <f t="shared" si="80"/>
        <v>8.5562588861884781E-2</v>
      </c>
      <c r="N95" s="284">
        <f t="shared" si="81"/>
        <v>8.621402908730591E-2</v>
      </c>
      <c r="O95" s="342">
        <v>0.212261523242674</v>
      </c>
      <c r="P95" s="343">
        <v>0.21225789760787109</v>
      </c>
      <c r="Q95" s="343">
        <v>0.27223612007847325</v>
      </c>
      <c r="R95" s="343">
        <v>0.35779410638445053</v>
      </c>
      <c r="S95" s="343">
        <v>0.39538955369901257</v>
      </c>
      <c r="T95" s="343">
        <v>0.38779742598831585</v>
      </c>
      <c r="U95" s="343">
        <v>0.38459061684413831</v>
      </c>
      <c r="V95" s="343">
        <v>0.36519100727004855</v>
      </c>
      <c r="W95" s="343">
        <v>0.35473211933582444</v>
      </c>
      <c r="X95" s="343">
        <v>0.34217428635748748</v>
      </c>
      <c r="Y95" s="379">
        <v>0.32515816234227229</v>
      </c>
      <c r="Z95" s="282">
        <f t="shared" si="82"/>
        <v>0.28664847333603238</v>
      </c>
      <c r="AA95" s="284">
        <f t="shared" si="83"/>
        <v>0.2797649823700244</v>
      </c>
      <c r="AB95" s="949">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50">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8">
        <f t="shared" si="84"/>
        <v>0</v>
      </c>
      <c r="AE95" s="938">
        <f t="shared" si="90"/>
        <v>8.5562588861884781E-2</v>
      </c>
      <c r="AF95" s="938">
        <f t="shared" si="91"/>
        <v>0.28664847333603238</v>
      </c>
      <c r="AG95" s="938">
        <f t="shared" si="92"/>
        <v>0.37221106219791716</v>
      </c>
      <c r="AH95" s="1174">
        <f t="shared" si="88"/>
        <v>0.22987653391233243</v>
      </c>
      <c r="AI95" s="938">
        <f t="shared" si="89"/>
        <v>0.77012346608766757</v>
      </c>
      <c r="AJ95" s="1171"/>
      <c r="AK95" s="1173"/>
      <c r="AL95" s="1173"/>
      <c r="AM95" s="1173"/>
      <c r="AN95" s="1171"/>
      <c r="AO95" s="1173"/>
      <c r="AP95" s="1171"/>
      <c r="AQ95" s="1171"/>
      <c r="AR95" s="1171"/>
      <c r="AS95" s="1171"/>
    </row>
    <row r="96" spans="1:45" x14ac:dyDescent="0.2">
      <c r="A96" s="330">
        <v>2027</v>
      </c>
      <c r="B96" s="344">
        <v>0.19497937989917064</v>
      </c>
      <c r="C96" s="345">
        <v>0.19499583128413422</v>
      </c>
      <c r="D96" s="345">
        <v>0.31933001023755375</v>
      </c>
      <c r="E96" s="345">
        <v>0.38931960528061843</v>
      </c>
      <c r="F96" s="345">
        <v>0.42390905924328792</v>
      </c>
      <c r="G96" s="345">
        <v>0.40966992511845118</v>
      </c>
      <c r="H96" s="345">
        <v>0.39452584021669024</v>
      </c>
      <c r="I96" s="345">
        <v>0.37377539878417543</v>
      </c>
      <c r="J96" s="345">
        <v>0.36331770212127867</v>
      </c>
      <c r="K96" s="345">
        <v>0.35623079773438326</v>
      </c>
      <c r="L96" s="380">
        <v>0.33621603565922187</v>
      </c>
      <c r="M96" s="296">
        <f t="shared" si="80"/>
        <v>8.9283412361574499E-2</v>
      </c>
      <c r="N96" s="298">
        <f t="shared" si="81"/>
        <v>9.0569798845816618E-2</v>
      </c>
      <c r="O96" s="344">
        <v>0.19497937989917064</v>
      </c>
      <c r="P96" s="345">
        <v>0.18721887982484162</v>
      </c>
      <c r="Q96" s="345">
        <v>0.34212141688859743</v>
      </c>
      <c r="R96" s="345">
        <v>0.40815712564428175</v>
      </c>
      <c r="S96" s="345">
        <v>0.41267769398789761</v>
      </c>
      <c r="T96" s="345">
        <v>0.40132014028506441</v>
      </c>
      <c r="U96" s="345">
        <v>0.38254136715791354</v>
      </c>
      <c r="V96" s="345">
        <v>0.37387708709777639</v>
      </c>
      <c r="W96" s="345">
        <v>0.35876708922266864</v>
      </c>
      <c r="X96" s="345">
        <v>0.35150188543013811</v>
      </c>
      <c r="Y96" s="380">
        <v>0.33971142854344083</v>
      </c>
      <c r="Z96" s="296">
        <f t="shared" si="82"/>
        <v>0.29458321136738991</v>
      </c>
      <c r="AA96" s="298">
        <f t="shared" si="83"/>
        <v>0.28881126826640396</v>
      </c>
      <c r="AB96" s="949">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50">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8">
        <f t="shared" si="84"/>
        <v>0</v>
      </c>
      <c r="AE96" s="938">
        <f t="shared" si="90"/>
        <v>8.9283412361574499E-2</v>
      </c>
      <c r="AF96" s="938">
        <f t="shared" si="91"/>
        <v>0.29458321136738991</v>
      </c>
      <c r="AG96" s="938">
        <f t="shared" si="92"/>
        <v>0.38386662372896441</v>
      </c>
      <c r="AH96" s="1174">
        <f t="shared" si="88"/>
        <v>0.23258967266874075</v>
      </c>
      <c r="AI96" s="938">
        <f t="shared" si="89"/>
        <v>0.76741032733125925</v>
      </c>
      <c r="AJ96" s="1171"/>
      <c r="AK96" s="1173"/>
      <c r="AL96" s="1173"/>
      <c r="AM96" s="1173"/>
      <c r="AN96" s="1171"/>
      <c r="AO96" s="1173"/>
      <c r="AP96" s="1171"/>
      <c r="AQ96" s="1171"/>
      <c r="AR96" s="1171"/>
      <c r="AS96" s="1171"/>
    </row>
    <row r="97" spans="1:45" x14ac:dyDescent="0.2">
      <c r="A97" s="330">
        <v>2028</v>
      </c>
      <c r="B97" s="344">
        <v>0.16396378958013599</v>
      </c>
      <c r="C97" s="345">
        <v>0.15154985293728168</v>
      </c>
      <c r="D97" s="345">
        <v>0.32721169420036705</v>
      </c>
      <c r="E97" s="345">
        <v>0.42541435396921951</v>
      </c>
      <c r="F97" s="345">
        <v>0.42165500938392397</v>
      </c>
      <c r="G97" s="345">
        <v>0.40659788737104835</v>
      </c>
      <c r="H97" s="345">
        <v>0.3920436639155766</v>
      </c>
      <c r="I97" s="345">
        <v>0.37556524501189059</v>
      </c>
      <c r="J97" s="345">
        <v>0.36264955502710322</v>
      </c>
      <c r="K97" s="345">
        <v>0.3538946239425827</v>
      </c>
      <c r="L97" s="380">
        <v>0.34003703587777284</v>
      </c>
      <c r="M97" s="296">
        <f t="shared" si="80"/>
        <v>8.9688109955092507E-2</v>
      </c>
      <c r="N97" s="298">
        <f t="shared" si="81"/>
        <v>9.0998273253847614E-2</v>
      </c>
      <c r="O97" s="344">
        <v>0.16396378958013599</v>
      </c>
      <c r="P97" s="345">
        <v>0.13589910242283948</v>
      </c>
      <c r="Q97" s="345">
        <v>0.35833733346600766</v>
      </c>
      <c r="R97" s="345">
        <v>0.41448693569836847</v>
      </c>
      <c r="S97" s="345">
        <v>0.41371025753168805</v>
      </c>
      <c r="T97" s="345">
        <v>0.3968405057825044</v>
      </c>
      <c r="U97" s="345">
        <v>0.38211316363082082</v>
      </c>
      <c r="V97" s="345">
        <v>0.36970587900322344</v>
      </c>
      <c r="W97" s="345">
        <v>0.35838353172252208</v>
      </c>
      <c r="X97" s="345">
        <v>0.35005091561104024</v>
      </c>
      <c r="Y97" s="380">
        <v>0.3431010842279007</v>
      </c>
      <c r="Z97" s="296">
        <f t="shared" si="82"/>
        <v>0.29354904906260104</v>
      </c>
      <c r="AA97" s="298">
        <f t="shared" si="83"/>
        <v>0.28689811617410355</v>
      </c>
      <c r="AB97" s="949">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50">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8">
        <f t="shared" si="84"/>
        <v>0</v>
      </c>
      <c r="AE97" s="938">
        <f t="shared" si="90"/>
        <v>8.9688109955092507E-2</v>
      </c>
      <c r="AF97" s="938">
        <f t="shared" si="91"/>
        <v>0.29354904906260104</v>
      </c>
      <c r="AG97" s="938">
        <f t="shared" si="92"/>
        <v>0.38323715901769356</v>
      </c>
      <c r="AH97" s="1174">
        <f t="shared" si="88"/>
        <v>0.23402769758804032</v>
      </c>
      <c r="AI97" s="938">
        <f t="shared" si="89"/>
        <v>0.76597230241195968</v>
      </c>
      <c r="AJ97" s="1171"/>
      <c r="AK97" s="1173"/>
      <c r="AL97" s="1173"/>
      <c r="AM97" s="1173"/>
      <c r="AN97" s="1171"/>
      <c r="AO97" s="1173"/>
      <c r="AP97" s="1171"/>
      <c r="AQ97" s="1171"/>
      <c r="AR97" s="1171"/>
      <c r="AS97" s="1171"/>
    </row>
    <row r="98" spans="1:45" x14ac:dyDescent="0.2">
      <c r="A98" s="330">
        <v>2029</v>
      </c>
      <c r="B98" s="344">
        <v>0.12863892838469881</v>
      </c>
      <c r="C98" s="345">
        <v>0.12149062532022585</v>
      </c>
      <c r="D98" s="345">
        <v>0.3608961388912364</v>
      </c>
      <c r="E98" s="345">
        <v>0.41563429899370452</v>
      </c>
      <c r="F98" s="345">
        <v>0.40898072551608328</v>
      </c>
      <c r="G98" s="345">
        <v>0.3837616684485945</v>
      </c>
      <c r="H98" s="345">
        <v>0.37477667795960973</v>
      </c>
      <c r="I98" s="345">
        <v>0.36041477455571541</v>
      </c>
      <c r="J98" s="345">
        <v>0.35392013367587449</v>
      </c>
      <c r="K98" s="345">
        <v>0.34688769667624059</v>
      </c>
      <c r="L98" s="380">
        <v>0.33852428399963319</v>
      </c>
      <c r="M98" s="296">
        <f t="shared" si="80"/>
        <v>8.6525440544379065E-2</v>
      </c>
      <c r="N98" s="298">
        <f t="shared" si="81"/>
        <v>8.7714008287811215E-2</v>
      </c>
      <c r="O98" s="344">
        <v>0.12863892838469881</v>
      </c>
      <c r="P98" s="345">
        <v>0.14402631363908461</v>
      </c>
      <c r="Q98" s="345">
        <v>0.3872716232989894</v>
      </c>
      <c r="R98" s="345">
        <v>0.40333413026609871</v>
      </c>
      <c r="S98" s="345">
        <v>0.39605113659518598</v>
      </c>
      <c r="T98" s="345">
        <v>0.38636846537806541</v>
      </c>
      <c r="U98" s="345">
        <v>0.37495991083754321</v>
      </c>
      <c r="V98" s="345">
        <v>0.36235160681731071</v>
      </c>
      <c r="W98" s="345">
        <v>0.35392013367587449</v>
      </c>
      <c r="X98" s="345">
        <v>0.34688769667624059</v>
      </c>
      <c r="Y98" s="380">
        <v>0.34099230139341191</v>
      </c>
      <c r="Z98" s="296">
        <f t="shared" si="82"/>
        <v>0.28736540100229707</v>
      </c>
      <c r="AA98" s="298">
        <f t="shared" si="83"/>
        <v>0.28069486802737875</v>
      </c>
      <c r="AB98" s="949">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50">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8">
        <f t="shared" si="84"/>
        <v>0</v>
      </c>
      <c r="AE98" s="938">
        <f t="shared" si="90"/>
        <v>8.6525440544379065E-2</v>
      </c>
      <c r="AF98" s="938">
        <f t="shared" si="91"/>
        <v>0.28736540100229707</v>
      </c>
      <c r="AG98" s="938">
        <f t="shared" si="92"/>
        <v>0.37389084154667612</v>
      </c>
      <c r="AH98" s="1174">
        <f t="shared" si="88"/>
        <v>0.23141898899274677</v>
      </c>
      <c r="AI98" s="938">
        <f t="shared" si="89"/>
        <v>0.76858101100725329</v>
      </c>
      <c r="AJ98" s="1171"/>
      <c r="AK98" s="1173"/>
      <c r="AL98" s="1173"/>
      <c r="AM98" s="1173"/>
      <c r="AN98" s="1171"/>
      <c r="AO98" s="1173"/>
      <c r="AP98" s="1171"/>
      <c r="AQ98" s="1171"/>
      <c r="AR98" s="1171"/>
      <c r="AS98" s="1171"/>
    </row>
    <row r="99" spans="1:45" ht="13.5" thickBot="1" x14ac:dyDescent="0.25">
      <c r="A99" s="328">
        <v>2030</v>
      </c>
      <c r="B99" s="346">
        <v>9.4045416625330294E-2</v>
      </c>
      <c r="C99" s="347">
        <v>0.13876542382670135</v>
      </c>
      <c r="D99" s="347">
        <v>0.36412103111355343</v>
      </c>
      <c r="E99" s="347">
        <v>0.40995605067408075</v>
      </c>
      <c r="F99" s="347">
        <v>0.38776952101877588</v>
      </c>
      <c r="G99" s="347">
        <v>0.37622948007275203</v>
      </c>
      <c r="H99" s="347">
        <v>0.36611683753937518</v>
      </c>
      <c r="I99" s="347">
        <v>0.35527194174678978</v>
      </c>
      <c r="J99" s="347">
        <v>0.34820712560961198</v>
      </c>
      <c r="K99" s="347">
        <v>0.34509252866394435</v>
      </c>
      <c r="L99" s="381">
        <v>0.33767763502179743</v>
      </c>
      <c r="M99" s="310">
        <f t="shared" si="80"/>
        <v>8.4558488345217453E-2</v>
      </c>
      <c r="N99" s="312">
        <f t="shared" si="81"/>
        <v>8.5466359029426245E-2</v>
      </c>
      <c r="O99" s="346">
        <v>9.4045416625330294E-2</v>
      </c>
      <c r="P99" s="347">
        <v>0.18327418231844717</v>
      </c>
      <c r="Q99" s="347">
        <v>0.39292869970720468</v>
      </c>
      <c r="R99" s="347">
        <v>0.39671660161296873</v>
      </c>
      <c r="S99" s="347">
        <v>0.38770872321986355</v>
      </c>
      <c r="T99" s="347">
        <v>0.37147544402947341</v>
      </c>
      <c r="U99" s="347">
        <v>0.36179764942779086</v>
      </c>
      <c r="V99" s="347">
        <v>0.35160733426793406</v>
      </c>
      <c r="W99" s="347">
        <v>0.34820712560961198</v>
      </c>
      <c r="X99" s="347">
        <v>0.34228475896477922</v>
      </c>
      <c r="Y99" s="381">
        <v>0.33767763502179743</v>
      </c>
      <c r="Z99" s="310">
        <f t="shared" si="82"/>
        <v>0.27931712081952126</v>
      </c>
      <c r="AA99" s="312">
        <f t="shared" si="83"/>
        <v>0.27343077045316061</v>
      </c>
      <c r="AB99" s="949">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50">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8">
        <f t="shared" si="84"/>
        <v>0</v>
      </c>
      <c r="AE99" s="938">
        <f t="shared" si="90"/>
        <v>8.4558488345217453E-2</v>
      </c>
      <c r="AF99" s="938">
        <f t="shared" si="91"/>
        <v>0.27931712081952126</v>
      </c>
      <c r="AG99" s="938">
        <f t="shared" si="92"/>
        <v>0.36387560916473871</v>
      </c>
      <c r="AH99" s="1174">
        <f t="shared" si="88"/>
        <v>0.23238295234824322</v>
      </c>
      <c r="AI99" s="938">
        <f t="shared" si="89"/>
        <v>0.76761704765175676</v>
      </c>
      <c r="AJ99" s="1171"/>
      <c r="AK99" s="1173"/>
      <c r="AL99" s="1173"/>
      <c r="AM99" s="1173"/>
      <c r="AN99" s="1171"/>
      <c r="AO99" s="1173"/>
      <c r="AP99" s="1171"/>
      <c r="AQ99" s="1171"/>
      <c r="AR99" s="1171"/>
      <c r="AS99" s="1171"/>
    </row>
    <row r="100" spans="1:45" x14ac:dyDescent="0.2">
      <c r="A100" s="329">
        <v>2031</v>
      </c>
      <c r="B100" s="342">
        <v>9.419263933739605E-2</v>
      </c>
      <c r="C100" s="343">
        <v>0.1571367367978774</v>
      </c>
      <c r="D100" s="343">
        <v>0.3840637947332336</v>
      </c>
      <c r="E100" s="343">
        <v>0.40197066086873712</v>
      </c>
      <c r="F100" s="343">
        <v>0.38355854529730926</v>
      </c>
      <c r="G100" s="343">
        <v>0.37223838515609098</v>
      </c>
      <c r="H100" s="343">
        <v>0.36255916618590073</v>
      </c>
      <c r="I100" s="343">
        <v>0.35603068210117361</v>
      </c>
      <c r="J100" s="343">
        <v>0.34896061607072271</v>
      </c>
      <c r="K100" s="343">
        <v>0.34303354131219516</v>
      </c>
      <c r="L100" s="379">
        <v>0.33842256108279273</v>
      </c>
      <c r="M100" s="282">
        <f t="shared" si="80"/>
        <v>8.4013694981886058E-2</v>
      </c>
      <c r="N100" s="284">
        <f t="shared" si="81"/>
        <v>8.4980615624327002E-2</v>
      </c>
      <c r="O100" s="342">
        <v>9.419263933739605E-2</v>
      </c>
      <c r="P100" s="343">
        <v>0.18356108755147998</v>
      </c>
      <c r="Q100" s="343">
        <v>0.38896873249799535</v>
      </c>
      <c r="R100" s="343">
        <v>0.39297187413322043</v>
      </c>
      <c r="S100" s="343">
        <v>0.38345094792071793</v>
      </c>
      <c r="T100" s="343">
        <v>0.36760895367655322</v>
      </c>
      <c r="U100" s="343">
        <v>0.35843543323181459</v>
      </c>
      <c r="V100" s="343">
        <v>0.35236340119984327</v>
      </c>
      <c r="W100" s="343">
        <v>0.34584357803582821</v>
      </c>
      <c r="X100" s="343">
        <v>0.34303354131219516</v>
      </c>
      <c r="Y100" s="379">
        <v>0.33842256108279273</v>
      </c>
      <c r="Z100" s="282">
        <f t="shared" si="82"/>
        <v>0.27734445040724065</v>
      </c>
      <c r="AA100" s="284">
        <f t="shared" si="83"/>
        <v>0.27129128363410682</v>
      </c>
      <c r="AB100" s="949">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50">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8">
        <f t="shared" si="84"/>
        <v>0</v>
      </c>
      <c r="AE100" s="938">
        <f t="shared" si="90"/>
        <v>8.4013694981886058E-2</v>
      </c>
      <c r="AF100" s="938">
        <f t="shared" si="91"/>
        <v>0.27734445040724065</v>
      </c>
      <c r="AG100" s="938">
        <f t="shared" si="92"/>
        <v>0.36135814538912669</v>
      </c>
      <c r="AH100" s="1174">
        <f t="shared" si="88"/>
        <v>0.23249426103683463</v>
      </c>
      <c r="AI100" s="938">
        <f t="shared" si="89"/>
        <v>0.76750573896316543</v>
      </c>
      <c r="AJ100" s="1171"/>
      <c r="AK100" s="1173"/>
      <c r="AL100" s="1173"/>
      <c r="AM100" s="1173"/>
      <c r="AN100" s="1171"/>
      <c r="AO100" s="1173"/>
      <c r="AP100" s="1171"/>
      <c r="AQ100" s="1171"/>
      <c r="AR100" s="1171"/>
      <c r="AS100" s="1171"/>
    </row>
    <row r="101" spans="1:45" x14ac:dyDescent="0.2">
      <c r="A101" s="330">
        <v>2032</v>
      </c>
      <c r="B101" s="344">
        <v>9.4246915588520774E-2</v>
      </c>
      <c r="C101" s="345">
        <v>0.1510171235250779</v>
      </c>
      <c r="D101" s="345">
        <v>0.38073215190943188</v>
      </c>
      <c r="E101" s="345">
        <v>0.39774836884901238</v>
      </c>
      <c r="F101" s="345">
        <v>0.3789860679822965</v>
      </c>
      <c r="G101" s="345">
        <v>0.36801878823677014</v>
      </c>
      <c r="H101" s="345">
        <v>0.36297581290349279</v>
      </c>
      <c r="I101" s="345">
        <v>0.35278537334639631</v>
      </c>
      <c r="J101" s="345">
        <v>0.34626732103910263</v>
      </c>
      <c r="K101" s="345">
        <v>0.34345793634282867</v>
      </c>
      <c r="L101" s="380">
        <v>0.33709561518076986</v>
      </c>
      <c r="M101" s="296">
        <f t="shared" si="80"/>
        <v>8.3512929007801245E-2</v>
      </c>
      <c r="N101" s="298">
        <f t="shared" si="81"/>
        <v>8.4391125166515452E-2</v>
      </c>
      <c r="O101" s="344">
        <v>9.4246915588520774E-2</v>
      </c>
      <c r="P101" s="345">
        <v>0.17678864639675904</v>
      </c>
      <c r="Q101" s="345">
        <v>0.37712343505973611</v>
      </c>
      <c r="R101" s="345">
        <v>0.38404566811938096</v>
      </c>
      <c r="S101" s="345">
        <v>0.37888140632628337</v>
      </c>
      <c r="T101" s="345">
        <v>0.36354266485444725</v>
      </c>
      <c r="U101" s="345">
        <v>0.358853639973848</v>
      </c>
      <c r="V101" s="345">
        <v>0.34938355744234084</v>
      </c>
      <c r="W101" s="345">
        <v>0.34626732103910263</v>
      </c>
      <c r="X101" s="345">
        <v>0.34097714044650834</v>
      </c>
      <c r="Y101" s="380">
        <v>0.33884788086569173</v>
      </c>
      <c r="Z101" s="296">
        <f t="shared" si="82"/>
        <v>0.27549345190599567</v>
      </c>
      <c r="AA101" s="298">
        <f t="shared" si="83"/>
        <v>0.26892854786154385</v>
      </c>
      <c r="AB101" s="949">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50">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8">
        <f t="shared" si="84"/>
        <v>0</v>
      </c>
      <c r="AE101" s="938">
        <f t="shared" si="90"/>
        <v>8.3512929007801245E-2</v>
      </c>
      <c r="AF101" s="938">
        <f t="shared" si="91"/>
        <v>0.27549345190599567</v>
      </c>
      <c r="AG101" s="938">
        <f t="shared" si="92"/>
        <v>0.35900638091379689</v>
      </c>
      <c r="AH101" s="1174">
        <f t="shared" si="88"/>
        <v>0.23262240853555755</v>
      </c>
      <c r="AI101" s="938">
        <f t="shared" si="89"/>
        <v>0.76737759146444251</v>
      </c>
      <c r="AJ101" s="1171"/>
      <c r="AK101" s="1173"/>
      <c r="AL101" s="1173"/>
      <c r="AM101" s="1173"/>
      <c r="AN101" s="1171"/>
      <c r="AO101" s="1173"/>
      <c r="AP101" s="1171"/>
      <c r="AQ101" s="1171"/>
      <c r="AR101" s="1171"/>
      <c r="AS101" s="1171"/>
    </row>
    <row r="102" spans="1:45" x14ac:dyDescent="0.2">
      <c r="A102" s="330">
        <v>2033</v>
      </c>
      <c r="B102" s="344">
        <v>9.4266898447026584E-2</v>
      </c>
      <c r="C102" s="345">
        <v>0.15104914318102641</v>
      </c>
      <c r="D102" s="345">
        <v>0.37881754893700059</v>
      </c>
      <c r="E102" s="345">
        <v>0.39327958413571074</v>
      </c>
      <c r="F102" s="345">
        <v>0.37432408229837894</v>
      </c>
      <c r="G102" s="345">
        <v>0.36830670990722347</v>
      </c>
      <c r="H102" s="345">
        <v>0.35915412022230608</v>
      </c>
      <c r="I102" s="345">
        <v>0.35309228270798831</v>
      </c>
      <c r="J102" s="345">
        <v>0.34657872244532761</v>
      </c>
      <c r="K102" s="345">
        <v>0.3412919068448847</v>
      </c>
      <c r="L102" s="380">
        <v>0.33741269048838479</v>
      </c>
      <c r="M102" s="296">
        <f t="shared" si="80"/>
        <v>8.2977821776006766E-2</v>
      </c>
      <c r="N102" s="298">
        <f t="shared" si="81"/>
        <v>8.3783288990616114E-2</v>
      </c>
      <c r="O102" s="344">
        <v>9.4266898447026584E-2</v>
      </c>
      <c r="P102" s="345">
        <v>0.19780990724210479</v>
      </c>
      <c r="Q102" s="345">
        <v>0.37441361974574588</v>
      </c>
      <c r="R102" s="345">
        <v>0.38426866176870716</v>
      </c>
      <c r="S102" s="345">
        <v>0.37682084176002167</v>
      </c>
      <c r="T102" s="345">
        <v>0.36383449439297932</v>
      </c>
      <c r="U102" s="345">
        <v>0.35525545600510411</v>
      </c>
      <c r="V102" s="345">
        <v>0.34969285888987822</v>
      </c>
      <c r="W102" s="345">
        <v>0.34377115608458514</v>
      </c>
      <c r="X102" s="345">
        <v>0.3412919068448847</v>
      </c>
      <c r="Y102" s="380">
        <v>0.33741269048838479</v>
      </c>
      <c r="Z102" s="296">
        <f t="shared" si="82"/>
        <v>0.27451124433338514</v>
      </c>
      <c r="AA102" s="298">
        <f t="shared" si="83"/>
        <v>0.26839050664300618</v>
      </c>
      <c r="AB102" s="949">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50">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8">
        <f>AB102*AH102+AC102*AI102</f>
        <v>0</v>
      </c>
      <c r="AE102" s="938">
        <f t="shared" si="90"/>
        <v>8.2977821776006766E-2</v>
      </c>
      <c r="AF102" s="938">
        <f t="shared" si="91"/>
        <v>0.27451124433338514</v>
      </c>
      <c r="AG102" s="938">
        <f t="shared" si="92"/>
        <v>0.35748906610939191</v>
      </c>
      <c r="AH102" s="1174">
        <f t="shared" si="88"/>
        <v>0.23211289419021139</v>
      </c>
      <c r="AI102" s="938">
        <f t="shared" si="89"/>
        <v>0.76788710580978858</v>
      </c>
      <c r="AJ102" s="1171"/>
      <c r="AK102" s="1173"/>
      <c r="AL102" s="1173"/>
      <c r="AM102" s="1173"/>
      <c r="AN102" s="1171"/>
      <c r="AO102" s="1173"/>
      <c r="AP102" s="1171"/>
      <c r="AQ102" s="1171"/>
      <c r="AR102" s="1171"/>
      <c r="AS102" s="1171"/>
    </row>
    <row r="103" spans="1:45" x14ac:dyDescent="0.2">
      <c r="A103" s="330">
        <v>2034</v>
      </c>
      <c r="B103" s="344">
        <v>9.4274251862082881E-2</v>
      </c>
      <c r="C103" s="345">
        <v>0.170194084324263</v>
      </c>
      <c r="D103" s="345">
        <v>0.37668978818680082</v>
      </c>
      <c r="E103" s="345">
        <v>0.38444811008240171</v>
      </c>
      <c r="F103" s="345">
        <v>0.37454839006190027</v>
      </c>
      <c r="G103" s="345">
        <v>0.36408972293612635</v>
      </c>
      <c r="H103" s="345">
        <v>0.35941918879112511</v>
      </c>
      <c r="I103" s="345">
        <v>0.34996865390345705</v>
      </c>
      <c r="J103" s="345">
        <v>0.34685719849303975</v>
      </c>
      <c r="K103" s="345">
        <v>0.34157472338352968</v>
      </c>
      <c r="L103" s="380">
        <v>0.3376985228999253</v>
      </c>
      <c r="M103" s="296">
        <f t="shared" si="80"/>
        <v>8.2640103118937977E-2</v>
      </c>
      <c r="N103" s="298">
        <f t="shared" si="81"/>
        <v>8.3423091602675845E-2</v>
      </c>
      <c r="O103" s="344">
        <v>9.4274251862082881E-2</v>
      </c>
      <c r="P103" s="345">
        <v>0.19782533766756857</v>
      </c>
      <c r="Q103" s="345">
        <v>0.39246701923226868</v>
      </c>
      <c r="R103" s="345">
        <v>0.37969440670450022</v>
      </c>
      <c r="S103" s="345">
        <v>0.37223490901293466</v>
      </c>
      <c r="T103" s="345">
        <v>0.35979629232771965</v>
      </c>
      <c r="U103" s="345">
        <v>0.35552426047316654</v>
      </c>
      <c r="V103" s="345">
        <v>0.34996865390345705</v>
      </c>
      <c r="W103" s="345">
        <v>0.34405197023002704</v>
      </c>
      <c r="X103" s="345">
        <v>0.34157472338352968</v>
      </c>
      <c r="Y103" s="380">
        <v>0.3376985228999253</v>
      </c>
      <c r="Z103" s="296">
        <f t="shared" si="82"/>
        <v>0.27357138148565452</v>
      </c>
      <c r="AA103" s="298">
        <f t="shared" si="83"/>
        <v>0.26746549409928261</v>
      </c>
      <c r="AB103" s="949">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50">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8">
        <f t="shared" ref="AD103:AD119" si="93">AB103*AH103+AC103*AI103</f>
        <v>0</v>
      </c>
      <c r="AE103" s="938">
        <f t="shared" si="90"/>
        <v>8.2640103118937977E-2</v>
      </c>
      <c r="AF103" s="938">
        <f t="shared" si="91"/>
        <v>0.27357138148565452</v>
      </c>
      <c r="AG103" s="938">
        <f t="shared" si="92"/>
        <v>0.35621148460459251</v>
      </c>
      <c r="AH103" s="1174">
        <f t="shared" si="88"/>
        <v>0.23199730129608664</v>
      </c>
      <c r="AI103" s="938">
        <f t="shared" si="89"/>
        <v>0.76800269870391336</v>
      </c>
      <c r="AJ103" s="1171"/>
      <c r="AK103" s="1173"/>
      <c r="AL103" s="1173"/>
      <c r="AM103" s="1173"/>
      <c r="AN103" s="1171"/>
      <c r="AO103" s="1173"/>
      <c r="AP103" s="1171"/>
      <c r="AQ103" s="1171"/>
      <c r="AR103" s="1171"/>
      <c r="AS103" s="1171"/>
    </row>
    <row r="104" spans="1:45" ht="13.5" thickBot="1" x14ac:dyDescent="0.25">
      <c r="A104" s="328">
        <v>2035</v>
      </c>
      <c r="B104" s="346">
        <v>9.4276957320963251E-2</v>
      </c>
      <c r="C104" s="347">
        <v>0.17019896851149047</v>
      </c>
      <c r="D104" s="347">
        <v>0.37437736805249811</v>
      </c>
      <c r="E104" s="347">
        <v>0.3846164815474169</v>
      </c>
      <c r="F104" s="347">
        <v>0.36991039343430054</v>
      </c>
      <c r="G104" s="347">
        <v>0.36433907097940749</v>
      </c>
      <c r="H104" s="347">
        <v>0.35967916883697493</v>
      </c>
      <c r="I104" s="347">
        <v>0.35024046443030576</v>
      </c>
      <c r="J104" s="347">
        <v>0.34432939973549503</v>
      </c>
      <c r="K104" s="347">
        <v>0.34185440133132</v>
      </c>
      <c r="L104" s="381">
        <v>0.33798159566450969</v>
      </c>
      <c r="M104" s="310">
        <f t="shared" si="80"/>
        <v>8.2485656609147626E-2</v>
      </c>
      <c r="N104" s="312">
        <f t="shared" si="81"/>
        <v>8.3221106081168089E-2</v>
      </c>
      <c r="O104" s="346">
        <v>9.4276957320963251E-2</v>
      </c>
      <c r="P104" s="347">
        <v>0.19777560531812086</v>
      </c>
      <c r="Q104" s="347">
        <v>0.38922886788374617</v>
      </c>
      <c r="R104" s="347">
        <v>0.38907175366225116</v>
      </c>
      <c r="S104" s="347">
        <v>0.37246577356040494</v>
      </c>
      <c r="T104" s="347">
        <v>0.36487022222055271</v>
      </c>
      <c r="U104" s="347">
        <v>0.35578839342551638</v>
      </c>
      <c r="V104" s="347">
        <v>0.34713200763885316</v>
      </c>
      <c r="W104" s="347">
        <v>0.34432939973549503</v>
      </c>
      <c r="X104" s="347">
        <v>0.34185440133132</v>
      </c>
      <c r="Y104" s="381">
        <v>0.33798159566450969</v>
      </c>
      <c r="Z104" s="310">
        <f t="shared" si="82"/>
        <v>0.27463894077521367</v>
      </c>
      <c r="AA104" s="312">
        <f t="shared" si="83"/>
        <v>0.26875647995960461</v>
      </c>
      <c r="AB104" s="949">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50">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8">
        <f t="shared" si="93"/>
        <v>0</v>
      </c>
      <c r="AE104" s="938">
        <f t="shared" si="90"/>
        <v>8.2485656609147626E-2</v>
      </c>
      <c r="AF104" s="938">
        <f t="shared" si="91"/>
        <v>0.27463894077521367</v>
      </c>
      <c r="AG104" s="938">
        <f t="shared" si="92"/>
        <v>0.35712459738436131</v>
      </c>
      <c r="AH104" s="1174">
        <f t="shared" si="88"/>
        <v>0.23097164746781937</v>
      </c>
      <c r="AI104" s="938">
        <f t="shared" si="89"/>
        <v>0.7690283525321806</v>
      </c>
      <c r="AJ104" s="1171"/>
      <c r="AK104" s="1173"/>
      <c r="AL104" s="1173"/>
      <c r="AM104" s="1173"/>
      <c r="AN104" s="1171"/>
      <c r="AO104" s="1173"/>
      <c r="AP104" s="1171"/>
      <c r="AQ104" s="1171"/>
      <c r="AR104" s="1171"/>
      <c r="AS104" s="1171"/>
    </row>
    <row r="105" spans="1:45" x14ac:dyDescent="0.2">
      <c r="A105" s="329">
        <v>2036</v>
      </c>
      <c r="B105" s="342">
        <v>9.4277952642734544E-2</v>
      </c>
      <c r="C105" s="343">
        <v>0.16365142626619081</v>
      </c>
      <c r="D105" s="343">
        <v>0.3647689466261434</v>
      </c>
      <c r="E105" s="343">
        <v>0.37994399603462287</v>
      </c>
      <c r="F105" s="343">
        <v>0.37971358119655063</v>
      </c>
      <c r="G105" s="343">
        <v>0.36444338443690455</v>
      </c>
      <c r="H105" s="343">
        <v>0.35589894644553838</v>
      </c>
      <c r="I105" s="343">
        <v>0.35035426020325999</v>
      </c>
      <c r="J105" s="343">
        <v>0.34444557257814096</v>
      </c>
      <c r="K105" s="343">
        <v>0.34197152567406836</v>
      </c>
      <c r="L105" s="379">
        <v>0.33806767808656563</v>
      </c>
      <c r="M105" s="282">
        <f t="shared" si="80"/>
        <v>8.2405756961875923E-2</v>
      </c>
      <c r="N105" s="284">
        <f t="shared" si="81"/>
        <v>8.3126513952593295E-2</v>
      </c>
      <c r="O105" s="342">
        <v>9.4277952642734544E-2</v>
      </c>
      <c r="P105" s="343">
        <v>0.1905685309214831</v>
      </c>
      <c r="Q105" s="343">
        <v>0.38927027380683571</v>
      </c>
      <c r="R105" s="343">
        <v>0.38915057902236033</v>
      </c>
      <c r="S105" s="343">
        <v>0.37256229295394061</v>
      </c>
      <c r="T105" s="343">
        <v>0.36497772033722237</v>
      </c>
      <c r="U105" s="343">
        <v>0.35225117155952929</v>
      </c>
      <c r="V105" s="343">
        <v>0.34724707182486875</v>
      </c>
      <c r="W105" s="343">
        <v>0.34444557257814096</v>
      </c>
      <c r="X105" s="343">
        <v>0.33984789852746528</v>
      </c>
      <c r="Y105" s="379">
        <v>0.33793670038371698</v>
      </c>
      <c r="Z105" s="282">
        <f t="shared" si="82"/>
        <v>0.27372597169965995</v>
      </c>
      <c r="AA105" s="284">
        <f t="shared" si="83"/>
        <v>0.26783334634208522</v>
      </c>
      <c r="AB105" s="949">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50">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8">
        <f t="shared" si="93"/>
        <v>0</v>
      </c>
      <c r="AE105" s="938">
        <f t="shared" si="90"/>
        <v>8.2405756961875923E-2</v>
      </c>
      <c r="AF105" s="938">
        <f t="shared" si="91"/>
        <v>0.27372597169965995</v>
      </c>
      <c r="AG105" s="938">
        <f t="shared" si="92"/>
        <v>0.35613172866153586</v>
      </c>
      <c r="AH105" s="1174">
        <f t="shared" si="88"/>
        <v>0.23139122501548734</v>
      </c>
      <c r="AI105" s="938">
        <f t="shared" si="89"/>
        <v>0.76860877498451274</v>
      </c>
      <c r="AJ105" s="1171"/>
      <c r="AK105" s="1173"/>
      <c r="AL105" s="1173"/>
      <c r="AM105" s="1173"/>
      <c r="AN105" s="1171"/>
      <c r="AO105" s="1173"/>
      <c r="AP105" s="1171"/>
      <c r="AQ105" s="1171"/>
      <c r="AR105" s="1171"/>
      <c r="AS105" s="1171"/>
    </row>
    <row r="106" spans="1:45" x14ac:dyDescent="0.2">
      <c r="A106" s="330">
        <v>2037</v>
      </c>
      <c r="B106" s="344">
        <v>9.4278318806439401E-2</v>
      </c>
      <c r="C106" s="345">
        <v>0.16365206186773779</v>
      </c>
      <c r="D106" s="345">
        <v>0.36479618451524282</v>
      </c>
      <c r="E106" s="345">
        <v>0.38001628594632741</v>
      </c>
      <c r="F106" s="345">
        <v>0.37980781684346521</v>
      </c>
      <c r="G106" s="345">
        <v>0.36454724383696441</v>
      </c>
      <c r="H106" s="345">
        <v>0.35600923242226939</v>
      </c>
      <c r="I106" s="345">
        <v>0.35046789431336056</v>
      </c>
      <c r="J106" s="345">
        <v>0.34456167430448559</v>
      </c>
      <c r="K106" s="345">
        <v>0.3420886159831823</v>
      </c>
      <c r="L106" s="380">
        <v>0.33808025504862255</v>
      </c>
      <c r="M106" s="296">
        <f t="shared" si="80"/>
        <v>8.242777557198698E-2</v>
      </c>
      <c r="N106" s="298">
        <f t="shared" si="81"/>
        <v>8.3147876062039897E-2</v>
      </c>
      <c r="O106" s="344">
        <v>9.4278318806439401E-2</v>
      </c>
      <c r="P106" s="345">
        <v>0.19056933806067647</v>
      </c>
      <c r="Q106" s="345">
        <v>0.38930980245645591</v>
      </c>
      <c r="R106" s="345">
        <v>0.38922826560650531</v>
      </c>
      <c r="S106" s="345">
        <v>0.37265814378774642</v>
      </c>
      <c r="T106" s="345">
        <v>0.36508482519458157</v>
      </c>
      <c r="U106" s="345">
        <v>0.35236310401536997</v>
      </c>
      <c r="V106" s="345">
        <v>0.34736202231166224</v>
      </c>
      <c r="W106" s="345">
        <v>0.34456167430448559</v>
      </c>
      <c r="X106" s="345">
        <v>0.33996578360797286</v>
      </c>
      <c r="Y106" s="380">
        <v>0.33770324535761287</v>
      </c>
      <c r="Z106" s="296">
        <f t="shared" si="82"/>
        <v>0.27379006971642778</v>
      </c>
      <c r="AA106" s="298">
        <f t="shared" si="83"/>
        <v>0.2678997024502372</v>
      </c>
      <c r="AB106" s="949">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50">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8">
        <f t="shared" si="93"/>
        <v>0</v>
      </c>
      <c r="AE106" s="938">
        <f t="shared" si="90"/>
        <v>8.242777557198698E-2</v>
      </c>
      <c r="AF106" s="938">
        <f t="shared" si="91"/>
        <v>0.27379006971642778</v>
      </c>
      <c r="AG106" s="938">
        <f t="shared" si="92"/>
        <v>0.35621784528841477</v>
      </c>
      <c r="AH106" s="1174">
        <f t="shared" si="88"/>
        <v>0.23139709776540993</v>
      </c>
      <c r="AI106" s="938">
        <f t="shared" si="89"/>
        <v>0.76860290223459005</v>
      </c>
      <c r="AJ106" s="1171"/>
      <c r="AK106" s="1173"/>
      <c r="AL106" s="1173"/>
      <c r="AM106" s="1173"/>
      <c r="AN106" s="1171"/>
      <c r="AO106" s="1173"/>
      <c r="AP106" s="1171"/>
      <c r="AQ106" s="1171"/>
      <c r="AR106" s="1171"/>
      <c r="AS106" s="1171"/>
    </row>
    <row r="107" spans="1:45" x14ac:dyDescent="0.2">
      <c r="A107" s="330">
        <v>2038</v>
      </c>
      <c r="B107" s="344">
        <v>9.4278453511254107E-2</v>
      </c>
      <c r="C107" s="345">
        <v>0.16365229569372189</v>
      </c>
      <c r="D107" s="345">
        <v>0.3648230131843278</v>
      </c>
      <c r="E107" s="345">
        <v>0.38008899361410431</v>
      </c>
      <c r="F107" s="345">
        <v>0.37990290042218744</v>
      </c>
      <c r="G107" s="345">
        <v>0.3646521822415898</v>
      </c>
      <c r="H107" s="345">
        <v>0.35612074841737229</v>
      </c>
      <c r="I107" s="345">
        <v>0.35058284048960991</v>
      </c>
      <c r="J107" s="345">
        <v>0.34467915379521441</v>
      </c>
      <c r="K107" s="345">
        <v>0.34220711073885274</v>
      </c>
      <c r="L107" s="380">
        <v>0.33730718840125967</v>
      </c>
      <c r="M107" s="296">
        <f t="shared" si="80"/>
        <v>8.2437487161265505E-2</v>
      </c>
      <c r="N107" s="298">
        <f t="shared" si="81"/>
        <v>8.3163538893282735E-2</v>
      </c>
      <c r="O107" s="344">
        <v>9.4278453511254107E-2</v>
      </c>
      <c r="P107" s="345">
        <v>0.19055654328778507</v>
      </c>
      <c r="Q107" s="345">
        <v>0.38934909352543218</v>
      </c>
      <c r="R107" s="345">
        <v>0.38930645105323758</v>
      </c>
      <c r="S107" s="345">
        <v>0.37275464903360545</v>
      </c>
      <c r="T107" s="345">
        <v>0.36519134443712786</v>
      </c>
      <c r="U107" s="345">
        <v>0.3543782797224963</v>
      </c>
      <c r="V107" s="345">
        <v>0.34746974373939787</v>
      </c>
      <c r="W107" s="345">
        <v>0.34466586454280385</v>
      </c>
      <c r="X107" s="345">
        <v>0.33996810602426042</v>
      </c>
      <c r="Y107" s="380">
        <v>0.33638337631832405</v>
      </c>
      <c r="Z107" s="296">
        <f t="shared" si="82"/>
        <v>0.27424744480900898</v>
      </c>
      <c r="AA107" s="298">
        <f t="shared" si="83"/>
        <v>0.26833996836284579</v>
      </c>
      <c r="AB107" s="949">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50">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8">
        <f t="shared" si="93"/>
        <v>0</v>
      </c>
      <c r="AE107" s="938">
        <f t="shared" si="90"/>
        <v>8.2437487161265505E-2</v>
      </c>
      <c r="AF107" s="938">
        <f t="shared" si="91"/>
        <v>0.27424744480900898</v>
      </c>
      <c r="AG107" s="938">
        <f t="shared" si="92"/>
        <v>0.35668493197027451</v>
      </c>
      <c r="AH107" s="1174">
        <f t="shared" si="88"/>
        <v>0.23112130559004299</v>
      </c>
      <c r="AI107" s="938">
        <f t="shared" si="89"/>
        <v>0.76887869440995693</v>
      </c>
      <c r="AJ107" s="1171"/>
      <c r="AK107" s="1173"/>
      <c r="AL107" s="1173"/>
      <c r="AM107" s="1173"/>
      <c r="AN107" s="1171"/>
      <c r="AO107" s="1173"/>
      <c r="AP107" s="1171"/>
      <c r="AQ107" s="1171"/>
      <c r="AR107" s="1171"/>
      <c r="AS107" s="1171"/>
    </row>
    <row r="108" spans="1:45" x14ac:dyDescent="0.2">
      <c r="A108" s="330">
        <v>2039</v>
      </c>
      <c r="B108" s="344">
        <v>9.427850306648293E-2</v>
      </c>
      <c r="C108" s="345">
        <v>0.18372841739384654</v>
      </c>
      <c r="D108" s="345">
        <v>0.36484999720811256</v>
      </c>
      <c r="E108" s="345">
        <v>0.3801627054817654</v>
      </c>
      <c r="F108" s="345">
        <v>0.37986952268103397</v>
      </c>
      <c r="G108" s="345">
        <v>0.36295754372500755</v>
      </c>
      <c r="H108" s="345">
        <v>0.35065879528066313</v>
      </c>
      <c r="I108" s="345">
        <v>0.33752101305687332</v>
      </c>
      <c r="J108" s="345">
        <v>0.32237328971994006</v>
      </c>
      <c r="K108" s="345">
        <v>0.30942561780529237</v>
      </c>
      <c r="L108" s="380">
        <v>0.28587634944672891</v>
      </c>
      <c r="M108" s="296">
        <f t="shared" si="80"/>
        <v>8.0292955124953283E-2</v>
      </c>
      <c r="N108" s="298">
        <f t="shared" si="81"/>
        <v>8.1833425132308485E-2</v>
      </c>
      <c r="O108" s="344">
        <v>9.427850306648293E-2</v>
      </c>
      <c r="P108" s="345">
        <v>0.21240527107786941</v>
      </c>
      <c r="Q108" s="345">
        <v>0.385881538137549</v>
      </c>
      <c r="R108" s="345">
        <v>0.38937946515792071</v>
      </c>
      <c r="S108" s="345">
        <v>0.36813120093137702</v>
      </c>
      <c r="T108" s="345">
        <v>0.36526391641905909</v>
      </c>
      <c r="U108" s="345">
        <v>0.35444517639760287</v>
      </c>
      <c r="V108" s="345">
        <v>0.3475312828810847</v>
      </c>
      <c r="W108" s="345">
        <v>0.34465532094247708</v>
      </c>
      <c r="X108" s="345">
        <v>0.33929446094987353</v>
      </c>
      <c r="Y108" s="380">
        <v>0.33300731427445129</v>
      </c>
      <c r="Z108" s="296">
        <f t="shared" si="82"/>
        <v>0.27379165957345508</v>
      </c>
      <c r="AA108" s="298">
        <f t="shared" si="83"/>
        <v>0.26822919083885699</v>
      </c>
      <c r="AB108" s="949">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50">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8">
        <f t="shared" si="93"/>
        <v>0</v>
      </c>
      <c r="AE108" s="938">
        <f t="shared" si="90"/>
        <v>8.0292955124953283E-2</v>
      </c>
      <c r="AF108" s="938">
        <f t="shared" si="91"/>
        <v>0.27379165957345508</v>
      </c>
      <c r="AG108" s="938">
        <f t="shared" si="92"/>
        <v>0.35408461469840835</v>
      </c>
      <c r="AH108" s="1174">
        <f t="shared" si="88"/>
        <v>0.22676205571186092</v>
      </c>
      <c r="AI108" s="938">
        <f t="shared" si="89"/>
        <v>0.77323794428813908</v>
      </c>
      <c r="AJ108" s="1171"/>
      <c r="AK108" s="1173"/>
      <c r="AL108" s="1173"/>
      <c r="AM108" s="1173"/>
      <c r="AN108" s="1171"/>
      <c r="AO108" s="1173"/>
      <c r="AP108" s="1171"/>
      <c r="AQ108" s="1171"/>
      <c r="AR108" s="1171"/>
      <c r="AS108" s="1171"/>
    </row>
    <row r="109" spans="1:45" ht="13.5" thickBot="1" x14ac:dyDescent="0.25">
      <c r="A109" s="328">
        <v>2040</v>
      </c>
      <c r="B109" s="346">
        <v>9.4278521296845968E-2</v>
      </c>
      <c r="C109" s="347">
        <v>0.18372845292088213</v>
      </c>
      <c r="D109" s="347">
        <v>0.38437090594097134</v>
      </c>
      <c r="E109" s="347">
        <v>0.37724906827495125</v>
      </c>
      <c r="F109" s="347">
        <v>0.36550846158764344</v>
      </c>
      <c r="G109" s="347">
        <v>0.33106977063502724</v>
      </c>
      <c r="H109" s="347">
        <v>0.31801576837496881</v>
      </c>
      <c r="I109" s="347">
        <v>0.3002792049224004</v>
      </c>
      <c r="J109" s="347">
        <v>0.28500009154083938</v>
      </c>
      <c r="K109" s="347">
        <v>0.27760542931163013</v>
      </c>
      <c r="L109" s="381">
        <v>0.25964387819944645</v>
      </c>
      <c r="M109" s="310">
        <f t="shared" si="80"/>
        <v>7.4193630524063012E-2</v>
      </c>
      <c r="N109" s="312">
        <f t="shared" si="81"/>
        <v>7.6618844380909587E-2</v>
      </c>
      <c r="O109" s="346">
        <v>9.4278521296845968E-2</v>
      </c>
      <c r="P109" s="347">
        <v>0.21238858242114994</v>
      </c>
      <c r="Q109" s="347">
        <v>0.38590745028685652</v>
      </c>
      <c r="R109" s="347">
        <v>0.38940019017145056</v>
      </c>
      <c r="S109" s="347">
        <v>0.36814191049859113</v>
      </c>
      <c r="T109" s="347">
        <v>0.36114553815125205</v>
      </c>
      <c r="U109" s="347">
        <v>0.35445296894557698</v>
      </c>
      <c r="V109" s="347">
        <v>0.34738970635632205</v>
      </c>
      <c r="W109" s="347">
        <v>0.34357804467052522</v>
      </c>
      <c r="X109" s="347">
        <v>0.33634875590992802</v>
      </c>
      <c r="Y109" s="381">
        <v>0.32561636373901576</v>
      </c>
      <c r="Z109" s="310">
        <f t="shared" si="82"/>
        <v>0.27252419663645722</v>
      </c>
      <c r="AA109" s="312">
        <f t="shared" si="83"/>
        <v>0.2671837603484073</v>
      </c>
      <c r="AB109" s="949">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50">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8">
        <f t="shared" si="93"/>
        <v>0</v>
      </c>
      <c r="AE109" s="938">
        <f t="shared" si="90"/>
        <v>7.4193630524063012E-2</v>
      </c>
      <c r="AF109" s="938">
        <f t="shared" si="91"/>
        <v>0.27252419663645722</v>
      </c>
      <c r="AG109" s="938">
        <f t="shared" si="92"/>
        <v>0.34671782716052024</v>
      </c>
      <c r="AH109" s="1174">
        <f t="shared" si="88"/>
        <v>0.21398850797975705</v>
      </c>
      <c r="AI109" s="938">
        <f t="shared" si="89"/>
        <v>0.7860114920202429</v>
      </c>
      <c r="AJ109" s="1171"/>
      <c r="AK109" s="1173"/>
      <c r="AL109" s="1173"/>
      <c r="AM109" s="1173"/>
      <c r="AN109" s="1171"/>
      <c r="AO109" s="1173"/>
      <c r="AP109" s="1171"/>
      <c r="AQ109" s="1171"/>
      <c r="AR109" s="1171"/>
      <c r="AS109" s="1171"/>
    </row>
    <row r="110" spans="1:45" x14ac:dyDescent="0.2">
      <c r="A110" s="329">
        <v>2041</v>
      </c>
      <c r="B110" s="342">
        <v>9.427852800342347E-2</v>
      </c>
      <c r="C110" s="343">
        <v>0.18372846599055162</v>
      </c>
      <c r="D110" s="343">
        <v>0.38180997196565719</v>
      </c>
      <c r="E110" s="343">
        <v>0.35392254570130022</v>
      </c>
      <c r="F110" s="343">
        <v>0.33433017930751407</v>
      </c>
      <c r="G110" s="343">
        <v>0.306306535745415</v>
      </c>
      <c r="H110" s="343">
        <v>0.29241039616308701</v>
      </c>
      <c r="I110" s="343">
        <v>0.27882827832426021</v>
      </c>
      <c r="J110" s="343">
        <v>0.26904132719440998</v>
      </c>
      <c r="K110" s="343">
        <v>0.26227366544125935</v>
      </c>
      <c r="L110" s="379">
        <v>0.24619071328266465</v>
      </c>
      <c r="M110" s="282">
        <f t="shared" si="80"/>
        <v>6.8823652785861056E-2</v>
      </c>
      <c r="N110" s="284">
        <f t="shared" si="81"/>
        <v>7.1246320030187701E-2</v>
      </c>
      <c r="O110" s="342">
        <v>9.427852800342347E-2</v>
      </c>
      <c r="P110" s="343">
        <v>0.21234454490680926</v>
      </c>
      <c r="Q110" s="343">
        <v>0.3821245973347786</v>
      </c>
      <c r="R110" s="343">
        <v>0.38426684074183831</v>
      </c>
      <c r="S110" s="343">
        <v>0.36793829068376466</v>
      </c>
      <c r="T110" s="343">
        <v>0.36090761079291123</v>
      </c>
      <c r="U110" s="343">
        <v>0.35388793315138811</v>
      </c>
      <c r="V110" s="343">
        <v>0.34527183516691523</v>
      </c>
      <c r="W110" s="343">
        <v>0.33652673451889303</v>
      </c>
      <c r="X110" s="343">
        <v>0.32821426396919801</v>
      </c>
      <c r="Y110" s="379">
        <v>0.31624799501672374</v>
      </c>
      <c r="Z110" s="282">
        <f t="shared" si="82"/>
        <v>0.27092572609238058</v>
      </c>
      <c r="AA110" s="284">
        <f t="shared" si="83"/>
        <v>0.26589133700491646</v>
      </c>
      <c r="AB110" s="949">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50">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8">
        <f t="shared" si="93"/>
        <v>0</v>
      </c>
      <c r="AE110" s="938">
        <f t="shared" si="90"/>
        <v>6.8823652785861056E-2</v>
      </c>
      <c r="AF110" s="938">
        <f t="shared" si="91"/>
        <v>0.27092572609238058</v>
      </c>
      <c r="AG110" s="938">
        <f t="shared" si="92"/>
        <v>0.33974937887824164</v>
      </c>
      <c r="AH110" s="1174">
        <f t="shared" si="88"/>
        <v>0.20257182813136465</v>
      </c>
      <c r="AI110" s="938">
        <f t="shared" si="89"/>
        <v>0.79742817186863535</v>
      </c>
      <c r="AJ110" s="1171"/>
      <c r="AK110" s="1173"/>
      <c r="AL110" s="1173"/>
      <c r="AM110" s="1173"/>
      <c r="AN110" s="1171"/>
      <c r="AO110" s="1173"/>
      <c r="AP110" s="1171"/>
      <c r="AQ110" s="1171"/>
      <c r="AR110" s="1171"/>
      <c r="AS110" s="1171"/>
    </row>
    <row r="111" spans="1:45" x14ac:dyDescent="0.2">
      <c r="A111" s="330">
        <v>2042</v>
      </c>
      <c r="B111" s="344">
        <v>9.4278530470635738E-2</v>
      </c>
      <c r="C111" s="345">
        <v>0.18372847079861485</v>
      </c>
      <c r="D111" s="345">
        <v>0.36725025492979307</v>
      </c>
      <c r="E111" s="345">
        <v>0.33044885888569758</v>
      </c>
      <c r="F111" s="345">
        <v>0.31243897563302897</v>
      </c>
      <c r="G111" s="345">
        <v>0.2885617454330876</v>
      </c>
      <c r="H111" s="345">
        <v>0.27835659145881098</v>
      </c>
      <c r="I111" s="345">
        <v>0.26887053726143312</v>
      </c>
      <c r="J111" s="345">
        <v>0.25782591608683741</v>
      </c>
      <c r="K111" s="345">
        <v>0.24961152147577098</v>
      </c>
      <c r="L111" s="380">
        <v>0.2359978176327131</v>
      </c>
      <c r="M111" s="296">
        <f t="shared" si="80"/>
        <v>6.5294021408550021E-2</v>
      </c>
      <c r="N111" s="298">
        <f t="shared" si="81"/>
        <v>6.7512245232867807E-2</v>
      </c>
      <c r="O111" s="344">
        <v>9.4278530470635738E-2</v>
      </c>
      <c r="P111" s="345">
        <v>0.20487642022289215</v>
      </c>
      <c r="Q111" s="345">
        <v>0.38558080589103205</v>
      </c>
      <c r="R111" s="345">
        <v>0.38897697054983166</v>
      </c>
      <c r="S111" s="345">
        <v>0.36742200929000352</v>
      </c>
      <c r="T111" s="345">
        <v>0.35854652607386722</v>
      </c>
      <c r="U111" s="345">
        <v>0.34883019746531935</v>
      </c>
      <c r="V111" s="345">
        <v>0.33612487744398217</v>
      </c>
      <c r="W111" s="345">
        <v>0.32676338728053406</v>
      </c>
      <c r="X111" s="345">
        <v>0.31574669471385042</v>
      </c>
      <c r="Y111" s="380">
        <v>0.30164729376076271</v>
      </c>
      <c r="Z111" s="296">
        <f t="shared" si="82"/>
        <v>0.26707976855945237</v>
      </c>
      <c r="AA111" s="298">
        <f t="shared" si="83"/>
        <v>0.26299846473387556</v>
      </c>
      <c r="AB111" s="949">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50">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8">
        <f t="shared" si="93"/>
        <v>0</v>
      </c>
      <c r="AE111" s="938">
        <f t="shared" si="90"/>
        <v>6.5294021408550021E-2</v>
      </c>
      <c r="AF111" s="938">
        <f t="shared" si="91"/>
        <v>0.26707976855945237</v>
      </c>
      <c r="AG111" s="938">
        <f t="shared" si="92"/>
        <v>0.33237378996800238</v>
      </c>
      <c r="AH111" s="1174">
        <f t="shared" si="88"/>
        <v>0.19644756409594114</v>
      </c>
      <c r="AI111" s="938">
        <f t="shared" si="89"/>
        <v>0.80355243590405889</v>
      </c>
      <c r="AJ111" s="1171"/>
      <c r="AK111" s="1173"/>
      <c r="AL111" s="1173"/>
      <c r="AM111" s="1173"/>
      <c r="AN111" s="1171"/>
      <c r="AO111" s="1173"/>
      <c r="AP111" s="1171"/>
      <c r="AQ111" s="1171"/>
      <c r="AR111" s="1171"/>
      <c r="AS111" s="1171"/>
    </row>
    <row r="112" spans="1:45" x14ac:dyDescent="0.2">
      <c r="A112" s="330">
        <v>2043</v>
      </c>
      <c r="B112" s="344">
        <v>9.4278531378272398E-2</v>
      </c>
      <c r="C112" s="345">
        <v>0.1834782224112079</v>
      </c>
      <c r="D112" s="345">
        <v>0.34717831258081439</v>
      </c>
      <c r="E112" s="345">
        <v>0.3126673960970181</v>
      </c>
      <c r="F112" s="345">
        <v>0.29825733894596018</v>
      </c>
      <c r="G112" s="345">
        <v>0.27727360501126191</v>
      </c>
      <c r="H112" s="345">
        <v>0.26616704500722482</v>
      </c>
      <c r="I112" s="345">
        <v>0.25534415396849275</v>
      </c>
      <c r="J112" s="345">
        <v>0.24666381532531093</v>
      </c>
      <c r="K112" s="345">
        <v>0.24063644044077198</v>
      </c>
      <c r="L112" s="380">
        <v>0.22842047369627419</v>
      </c>
      <c r="M112" s="296">
        <f t="shared" si="80"/>
        <v>6.2386411687491462E-2</v>
      </c>
      <c r="N112" s="298">
        <f t="shared" si="81"/>
        <v>6.4489620610477458E-2</v>
      </c>
      <c r="O112" s="344">
        <v>9.4278531378272398E-2</v>
      </c>
      <c r="P112" s="345">
        <v>0.20482242657649599</v>
      </c>
      <c r="Q112" s="345">
        <v>0.3850010272255871</v>
      </c>
      <c r="R112" s="345">
        <v>0.38617383015898665</v>
      </c>
      <c r="S112" s="345">
        <v>0.36053276422764424</v>
      </c>
      <c r="T112" s="345">
        <v>0.34696925366530029</v>
      </c>
      <c r="U112" s="345">
        <v>0.33497085743409183</v>
      </c>
      <c r="V112" s="345">
        <v>0.32161727806712642</v>
      </c>
      <c r="W112" s="345">
        <v>0.31299837376448242</v>
      </c>
      <c r="X112" s="345">
        <v>0.30254796803959083</v>
      </c>
      <c r="Y112" s="380">
        <v>0.29182697822457676</v>
      </c>
      <c r="Z112" s="296">
        <f t="shared" si="82"/>
        <v>0.25824079102050884</v>
      </c>
      <c r="AA112" s="298">
        <f t="shared" si="83"/>
        <v>0.2551356709633289</v>
      </c>
      <c r="AB112" s="949">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50">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8">
        <f t="shared" si="93"/>
        <v>0</v>
      </c>
      <c r="AE112" s="938">
        <f t="shared" si="90"/>
        <v>6.2386411687491462E-2</v>
      </c>
      <c r="AF112" s="938">
        <f t="shared" si="91"/>
        <v>0.25824079102050884</v>
      </c>
      <c r="AG112" s="938">
        <f t="shared" si="92"/>
        <v>0.32062720270800033</v>
      </c>
      <c r="AH112" s="1174">
        <f t="shared" si="88"/>
        <v>0.19457616559224902</v>
      </c>
      <c r="AI112" s="938">
        <f t="shared" si="89"/>
        <v>0.80542383440775089</v>
      </c>
      <c r="AJ112" s="1171"/>
      <c r="AK112" s="1173"/>
      <c r="AL112" s="1173"/>
      <c r="AM112" s="1173"/>
      <c r="AN112" s="1171"/>
      <c r="AO112" s="1173"/>
      <c r="AP112" s="1171"/>
      <c r="AQ112" s="1171"/>
      <c r="AR112" s="1171"/>
      <c r="AS112" s="1171"/>
    </row>
    <row r="113" spans="1:45" x14ac:dyDescent="0.2">
      <c r="A113" s="330">
        <v>2044</v>
      </c>
      <c r="B113" s="344">
        <v>9.4278531712173277E-2</v>
      </c>
      <c r="C113" s="345">
        <v>0.18189928696585614</v>
      </c>
      <c r="D113" s="345">
        <v>0.32721510165979589</v>
      </c>
      <c r="E113" s="345">
        <v>0.29461057279908015</v>
      </c>
      <c r="F113" s="345">
        <v>0.28320802909822973</v>
      </c>
      <c r="G113" s="345">
        <v>0.26442218361175346</v>
      </c>
      <c r="H113" s="345">
        <v>0.25601103262961439</v>
      </c>
      <c r="I113" s="345">
        <v>0.24575573964847411</v>
      </c>
      <c r="J113" s="345">
        <v>0.23679185834540822</v>
      </c>
      <c r="K113" s="345">
        <v>0.2321306496630974</v>
      </c>
      <c r="L113" s="380">
        <v>0.22221056948265255</v>
      </c>
      <c r="M113" s="296">
        <f t="shared" si="80"/>
        <v>5.9722874455256536E-2</v>
      </c>
      <c r="N113" s="298">
        <f t="shared" si="81"/>
        <v>6.1631980803091561E-2</v>
      </c>
      <c r="O113" s="344">
        <v>9.4278531712173277E-2</v>
      </c>
      <c r="P113" s="345">
        <v>0.2121474578147072</v>
      </c>
      <c r="Q113" s="345">
        <v>0.38205174972180506</v>
      </c>
      <c r="R113" s="345">
        <v>0.37386011820315218</v>
      </c>
      <c r="S113" s="345">
        <v>0.34581622910185272</v>
      </c>
      <c r="T113" s="345">
        <v>0.33612249186897342</v>
      </c>
      <c r="U113" s="345">
        <v>0.32059259958793823</v>
      </c>
      <c r="V113" s="345">
        <v>0.30800216117415546</v>
      </c>
      <c r="W113" s="345">
        <v>0.30100881511265687</v>
      </c>
      <c r="X113" s="345">
        <v>0.29036703977411715</v>
      </c>
      <c r="Y113" s="380">
        <v>0.28443174819108769</v>
      </c>
      <c r="Z113" s="296">
        <f t="shared" si="82"/>
        <v>0.2487228984075128</v>
      </c>
      <c r="AA113" s="298">
        <f t="shared" si="83"/>
        <v>0.246239290012639</v>
      </c>
      <c r="AB113" s="949">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50">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8">
        <f t="shared" si="93"/>
        <v>0</v>
      </c>
      <c r="AE113" s="938">
        <f t="shared" si="90"/>
        <v>5.9722874455256536E-2</v>
      </c>
      <c r="AF113" s="938">
        <f t="shared" si="91"/>
        <v>0.2487228984075128</v>
      </c>
      <c r="AG113" s="938">
        <f t="shared" si="92"/>
        <v>0.30844577286276931</v>
      </c>
      <c r="AH113" s="1174">
        <f t="shared" si="88"/>
        <v>0.19362519998556718</v>
      </c>
      <c r="AI113" s="938">
        <f t="shared" si="89"/>
        <v>0.80637480001443296</v>
      </c>
      <c r="AJ113" s="1171"/>
      <c r="AK113" s="1173"/>
      <c r="AL113" s="1173"/>
      <c r="AM113" s="1173"/>
      <c r="AN113" s="1171"/>
      <c r="AO113" s="1173"/>
      <c r="AP113" s="1171"/>
      <c r="AQ113" s="1171"/>
      <c r="AR113" s="1171"/>
      <c r="AS113" s="1171"/>
    </row>
    <row r="114" spans="1:45" ht="13.5" thickBot="1" x14ac:dyDescent="0.25">
      <c r="A114" s="328">
        <v>2045</v>
      </c>
      <c r="B114" s="346">
        <v>9.4278531835008533E-2</v>
      </c>
      <c r="C114" s="347">
        <v>0.17527915679325787</v>
      </c>
      <c r="D114" s="347">
        <v>0.3037701897412014</v>
      </c>
      <c r="E114" s="347">
        <v>0.27615161889623663</v>
      </c>
      <c r="F114" s="347">
        <v>0.26862630616510563</v>
      </c>
      <c r="G114" s="347">
        <v>0.25346071824719862</v>
      </c>
      <c r="H114" s="347">
        <v>0.24499113161911532</v>
      </c>
      <c r="I114" s="347">
        <v>0.23648935583207731</v>
      </c>
      <c r="J114" s="347">
        <v>0.23021005863883881</v>
      </c>
      <c r="K114" s="347">
        <v>0.22577140687755001</v>
      </c>
      <c r="L114" s="381">
        <v>0.21917176851999556</v>
      </c>
      <c r="M114" s="310">
        <f t="shared" si="80"/>
        <v>5.7145370440661196E-2</v>
      </c>
      <c r="N114" s="312">
        <f t="shared" si="81"/>
        <v>5.8783994387923158E-2</v>
      </c>
      <c r="O114" s="346">
        <v>9.4278531835008533E-2</v>
      </c>
      <c r="P114" s="347">
        <v>0.21153805006579651</v>
      </c>
      <c r="Q114" s="347">
        <v>0.37189569030347586</v>
      </c>
      <c r="R114" s="347">
        <v>0.35439673321059723</v>
      </c>
      <c r="S114" s="347">
        <v>0.32907158903139827</v>
      </c>
      <c r="T114" s="347">
        <v>0.3205347644505307</v>
      </c>
      <c r="U114" s="347">
        <v>0.30743378281029193</v>
      </c>
      <c r="V114" s="347">
        <v>0.29730216053479569</v>
      </c>
      <c r="W114" s="347">
        <v>0.29039754626215036</v>
      </c>
      <c r="X114" s="347">
        <v>0.28252036085736859</v>
      </c>
      <c r="Y114" s="381">
        <v>0.27695353545995621</v>
      </c>
      <c r="Z114" s="310">
        <f t="shared" si="82"/>
        <v>0.238538667555</v>
      </c>
      <c r="AA114" s="312">
        <f t="shared" si="83"/>
        <v>0.23605610933252902</v>
      </c>
      <c r="AB114" s="949">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50">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8">
        <f t="shared" si="93"/>
        <v>0</v>
      </c>
      <c r="AE114" s="938">
        <f t="shared" si="90"/>
        <v>5.7145370440661196E-2</v>
      </c>
      <c r="AF114" s="938">
        <f t="shared" si="91"/>
        <v>0.238538667555</v>
      </c>
      <c r="AG114" s="938">
        <f t="shared" si="92"/>
        <v>0.29568403799566118</v>
      </c>
      <c r="AH114" s="1174">
        <f t="shared" si="88"/>
        <v>0.19326498254024702</v>
      </c>
      <c r="AI114" s="938">
        <f t="shared" si="89"/>
        <v>0.80673501745975307</v>
      </c>
      <c r="AJ114" s="1171"/>
      <c r="AK114" s="1173"/>
      <c r="AL114" s="1173"/>
      <c r="AM114" s="1173"/>
      <c r="AN114" s="1171"/>
      <c r="AO114" s="1173"/>
      <c r="AP114" s="1171"/>
      <c r="AQ114" s="1171"/>
      <c r="AR114" s="1171"/>
      <c r="AS114" s="1171"/>
    </row>
    <row r="115" spans="1:45" x14ac:dyDescent="0.2">
      <c r="A115" s="329">
        <v>2046</v>
      </c>
      <c r="B115" s="342">
        <v>9.4278531835008533E-2</v>
      </c>
      <c r="C115" s="343">
        <v>0.17159688923422062</v>
      </c>
      <c r="D115" s="343">
        <v>0.27707275932848818</v>
      </c>
      <c r="E115" s="343">
        <v>0.26491219157873858</v>
      </c>
      <c r="F115" s="343">
        <v>0.26049745913257688</v>
      </c>
      <c r="G115" s="343">
        <v>0.24733085718683109</v>
      </c>
      <c r="H115" s="343">
        <v>0.23923448863205249</v>
      </c>
      <c r="I115" s="343">
        <v>0.23334588410040871</v>
      </c>
      <c r="J115" s="343">
        <v>0.22713339571255217</v>
      </c>
      <c r="K115" s="343">
        <v>0.22277679980097281</v>
      </c>
      <c r="L115" s="379">
        <v>0.21697714785499828</v>
      </c>
      <c r="M115" s="282">
        <f t="shared" si="80"/>
        <v>5.5730407187763051E-2</v>
      </c>
      <c r="N115" s="284">
        <f t="shared" si="81"/>
        <v>5.7120055771402098E-2</v>
      </c>
      <c r="O115" s="342">
        <v>9.4278531835008533E-2</v>
      </c>
      <c r="P115" s="343">
        <v>0.21079046893507014</v>
      </c>
      <c r="Q115" s="343">
        <v>0.36021722455312261</v>
      </c>
      <c r="R115" s="343">
        <v>0.34157216216889014</v>
      </c>
      <c r="S115" s="343">
        <v>0.32322475355536606</v>
      </c>
      <c r="T115" s="343">
        <v>0.311184032035903</v>
      </c>
      <c r="U115" s="343">
        <v>0.30102495869522861</v>
      </c>
      <c r="V115" s="343">
        <v>0.29114597370234896</v>
      </c>
      <c r="W115" s="343">
        <v>0.2844712570251306</v>
      </c>
      <c r="X115" s="343">
        <v>0.27913430970362019</v>
      </c>
      <c r="Y115" s="379">
        <v>0.27376362651553454</v>
      </c>
      <c r="Z115" s="282">
        <f t="shared" si="82"/>
        <v>0.23317066969466549</v>
      </c>
      <c r="AA115" s="284">
        <f t="shared" si="83"/>
        <v>0.23056675115212127</v>
      </c>
      <c r="AB115" s="949">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50">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8">
        <f t="shared" si="93"/>
        <v>0</v>
      </c>
      <c r="AE115" s="938">
        <f t="shared" si="90"/>
        <v>5.5730407187763051E-2</v>
      </c>
      <c r="AF115" s="938">
        <f t="shared" si="91"/>
        <v>0.23317066969466549</v>
      </c>
      <c r="AG115" s="938">
        <f t="shared" si="92"/>
        <v>0.28890107688242855</v>
      </c>
      <c r="AH115" s="1174">
        <f t="shared" si="88"/>
        <v>0.19290480945643254</v>
      </c>
      <c r="AI115" s="938">
        <f t="shared" si="89"/>
        <v>0.80709519054356738</v>
      </c>
      <c r="AJ115" s="1171"/>
      <c r="AK115" s="1173"/>
      <c r="AL115" s="1173"/>
      <c r="AM115" s="1173"/>
      <c r="AN115" s="1171"/>
      <c r="AO115" s="1173"/>
      <c r="AP115" s="1171"/>
      <c r="AQ115" s="1171"/>
      <c r="AR115" s="1171"/>
      <c r="AS115" s="1171"/>
    </row>
    <row r="116" spans="1:45" x14ac:dyDescent="0.2">
      <c r="A116" s="330">
        <v>2047</v>
      </c>
      <c r="B116" s="344">
        <v>9.4278531835008533E-2</v>
      </c>
      <c r="C116" s="345">
        <v>0.14797087799289327</v>
      </c>
      <c r="D116" s="345">
        <v>0.26581876375702834</v>
      </c>
      <c r="E116" s="345">
        <v>0.25891813575861877</v>
      </c>
      <c r="F116" s="345">
        <v>0.25528211807679196</v>
      </c>
      <c r="G116" s="345">
        <v>0.24268112347918208</v>
      </c>
      <c r="H116" s="345">
        <v>0.23598498903054638</v>
      </c>
      <c r="I116" s="345">
        <v>0.22954100411884071</v>
      </c>
      <c r="J116" s="345">
        <v>0.22369119339950969</v>
      </c>
      <c r="K116" s="345">
        <v>0.2212537409876256</v>
      </c>
      <c r="L116" s="380">
        <v>0.21560889502999828</v>
      </c>
      <c r="M116" s="296">
        <f t="shared" si="80"/>
        <v>5.4787221874071146E-2</v>
      </c>
      <c r="N116" s="298">
        <f t="shared" si="81"/>
        <v>5.5995076386600347E-2</v>
      </c>
      <c r="O116" s="344">
        <v>9.4278531835008533E-2</v>
      </c>
      <c r="P116" s="345">
        <v>0.18778089615569318</v>
      </c>
      <c r="Q116" s="345">
        <v>0.3511771614633315</v>
      </c>
      <c r="R116" s="345">
        <v>0.33321382552303919</v>
      </c>
      <c r="S116" s="345">
        <v>0.31555696382013904</v>
      </c>
      <c r="T116" s="345">
        <v>0.30661829995088524</v>
      </c>
      <c r="U116" s="345">
        <v>0.29426500918291632</v>
      </c>
      <c r="V116" s="345">
        <v>0.28475308745645983</v>
      </c>
      <c r="W116" s="345">
        <v>0.28061264155585708</v>
      </c>
      <c r="X116" s="345">
        <v>0.27544615683551027</v>
      </c>
      <c r="Y116" s="380">
        <v>0.27031107995877729</v>
      </c>
      <c r="Z116" s="296">
        <f t="shared" si="82"/>
        <v>0.22851440637031742</v>
      </c>
      <c r="AA116" s="298">
        <f t="shared" si="83"/>
        <v>0.22550911216743719</v>
      </c>
      <c r="AB116" s="949">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50">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8">
        <f t="shared" si="93"/>
        <v>0</v>
      </c>
      <c r="AE116" s="938">
        <f t="shared" si="90"/>
        <v>5.4787221874071146E-2</v>
      </c>
      <c r="AF116" s="938">
        <f t="shared" si="91"/>
        <v>0.22851440637031742</v>
      </c>
      <c r="AG116" s="938">
        <f t="shared" si="92"/>
        <v>0.28330162824438854</v>
      </c>
      <c r="AH116" s="1174">
        <f t="shared" si="88"/>
        <v>0.19338830565000939</v>
      </c>
      <c r="AI116" s="938">
        <f t="shared" si="89"/>
        <v>0.80661169434999069</v>
      </c>
      <c r="AJ116" s="1171"/>
      <c r="AK116" s="1173"/>
      <c r="AL116" s="1173"/>
      <c r="AM116" s="1173"/>
      <c r="AN116" s="1171"/>
      <c r="AO116" s="1173"/>
      <c r="AP116" s="1171"/>
      <c r="AQ116" s="1171"/>
      <c r="AR116" s="1171"/>
      <c r="AS116" s="1171"/>
    </row>
    <row r="117" spans="1:45" x14ac:dyDescent="0.2">
      <c r="A117" s="330">
        <v>2048</v>
      </c>
      <c r="B117" s="344">
        <v>9.4278531835008533E-2</v>
      </c>
      <c r="C117" s="345">
        <v>0.13805132695481617</v>
      </c>
      <c r="D117" s="345">
        <v>0.25511267499094475</v>
      </c>
      <c r="E117" s="345">
        <v>0.25291682473716054</v>
      </c>
      <c r="F117" s="345">
        <v>0.25014294070452914</v>
      </c>
      <c r="G117" s="345">
        <v>0.23982658809102708</v>
      </c>
      <c r="H117" s="345">
        <v>0.23343732796303163</v>
      </c>
      <c r="I117" s="345">
        <v>0.2279157845145712</v>
      </c>
      <c r="J117" s="345">
        <v>0.22215263511023856</v>
      </c>
      <c r="K117" s="345">
        <v>0.21960816411037826</v>
      </c>
      <c r="L117" s="380">
        <v>0.21430291076090285</v>
      </c>
      <c r="M117" s="296">
        <f t="shared" si="80"/>
        <v>5.4061474088185069E-2</v>
      </c>
      <c r="N117" s="298">
        <f t="shared" si="81"/>
        <v>5.5114579896600027E-2</v>
      </c>
      <c r="O117" s="344">
        <v>9.4278531835008533E-2</v>
      </c>
      <c r="P117" s="345">
        <v>0.18611582921898753</v>
      </c>
      <c r="Q117" s="345">
        <v>0.34342196538101977</v>
      </c>
      <c r="R117" s="345">
        <v>0.32538751230769419</v>
      </c>
      <c r="S117" s="345">
        <v>0.31136030203837645</v>
      </c>
      <c r="T117" s="345">
        <v>0.30271773329694329</v>
      </c>
      <c r="U117" s="345">
        <v>0.29065939703396287</v>
      </c>
      <c r="V117" s="345">
        <v>0.28140274629281525</v>
      </c>
      <c r="W117" s="345">
        <v>0.27739946650491637</v>
      </c>
      <c r="X117" s="345">
        <v>0.27239322006249023</v>
      </c>
      <c r="Y117" s="380">
        <v>0.26749824164866454</v>
      </c>
      <c r="Z117" s="296">
        <f t="shared" si="82"/>
        <v>0.22554410671134439</v>
      </c>
      <c r="AA117" s="298">
        <f t="shared" si="83"/>
        <v>0.22244387369536311</v>
      </c>
      <c r="AB117" s="949">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50">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8">
        <f t="shared" si="93"/>
        <v>0</v>
      </c>
      <c r="AE117" s="938">
        <f t="shared" si="90"/>
        <v>5.4061474088185069E-2</v>
      </c>
      <c r="AF117" s="938">
        <f t="shared" si="91"/>
        <v>0.22554410671134439</v>
      </c>
      <c r="AG117" s="938">
        <f t="shared" si="92"/>
        <v>0.27960558079952946</v>
      </c>
      <c r="AH117" s="1174">
        <f t="shared" si="88"/>
        <v>0.19334905238156122</v>
      </c>
      <c r="AI117" s="938">
        <f t="shared" si="89"/>
        <v>0.80665094761843881</v>
      </c>
      <c r="AJ117" s="1171"/>
      <c r="AK117" s="1173"/>
      <c r="AL117" s="1173"/>
      <c r="AM117" s="1173"/>
      <c r="AN117" s="1171"/>
      <c r="AO117" s="1173"/>
      <c r="AP117" s="1171"/>
      <c r="AQ117" s="1171"/>
      <c r="AR117" s="1171"/>
      <c r="AS117" s="1171"/>
    </row>
    <row r="118" spans="1:45" x14ac:dyDescent="0.2">
      <c r="A118" s="330">
        <v>2049</v>
      </c>
      <c r="B118" s="344">
        <v>9.4278531835008533E-2</v>
      </c>
      <c r="C118" s="345">
        <v>0.1306608936905253</v>
      </c>
      <c r="D118" s="345">
        <v>0.25031170486639692</v>
      </c>
      <c r="E118" s="345">
        <v>0.24678437632211234</v>
      </c>
      <c r="F118" s="345">
        <v>0.24827144841848917</v>
      </c>
      <c r="G118" s="345">
        <v>0.23717450619036093</v>
      </c>
      <c r="H118" s="345">
        <v>0.23110639846095735</v>
      </c>
      <c r="I118" s="345">
        <v>0.22589684414605959</v>
      </c>
      <c r="J118" s="345">
        <v>0.22187600278077327</v>
      </c>
      <c r="K118" s="345">
        <v>0.21816594328577665</v>
      </c>
      <c r="L118" s="380">
        <v>0.21417691273405623</v>
      </c>
      <c r="M118" s="296">
        <f t="shared" si="80"/>
        <v>5.3517746563005196E-2</v>
      </c>
      <c r="N118" s="298">
        <f t="shared" si="81"/>
        <v>5.446918155266299E-2</v>
      </c>
      <c r="O118" s="344">
        <v>9.4278531835008533E-2</v>
      </c>
      <c r="P118" s="345">
        <v>0.18261821379518131</v>
      </c>
      <c r="Q118" s="345">
        <v>0.33629073641289309</v>
      </c>
      <c r="R118" s="345">
        <v>0.32196688818444508</v>
      </c>
      <c r="S118" s="345">
        <v>0.30555129903784856</v>
      </c>
      <c r="T118" s="345">
        <v>0.29743189649893637</v>
      </c>
      <c r="U118" s="345">
        <v>0.28812275809848309</v>
      </c>
      <c r="V118" s="345">
        <v>0.27904614877528811</v>
      </c>
      <c r="W118" s="345">
        <v>0.27510240390185348</v>
      </c>
      <c r="X118" s="345">
        <v>0.26953411990838538</v>
      </c>
      <c r="Y118" s="380">
        <v>0.26534271761470801</v>
      </c>
      <c r="Z118" s="296">
        <f t="shared" si="82"/>
        <v>0.22276284241215602</v>
      </c>
      <c r="AA118" s="298">
        <f t="shared" si="83"/>
        <v>0.21952319184942665</v>
      </c>
      <c r="AB118" s="949">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50">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8">
        <f t="shared" si="93"/>
        <v>0</v>
      </c>
      <c r="AE118" s="938">
        <f t="shared" si="90"/>
        <v>5.3517746563005196E-2</v>
      </c>
      <c r="AF118" s="938">
        <f t="shared" si="91"/>
        <v>0.22276284241215602</v>
      </c>
      <c r="AG118" s="938">
        <f t="shared" si="92"/>
        <v>0.27628058897516122</v>
      </c>
      <c r="AH118" s="1174">
        <f t="shared" si="88"/>
        <v>0.193707950173136</v>
      </c>
      <c r="AI118" s="938">
        <f t="shared" si="89"/>
        <v>0.80629204982686398</v>
      </c>
      <c r="AJ118" s="1171"/>
      <c r="AK118" s="1173"/>
      <c r="AL118" s="1173"/>
      <c r="AM118" s="1173"/>
      <c r="AN118" s="1171"/>
      <c r="AO118" s="1173"/>
      <c r="AP118" s="1171"/>
      <c r="AQ118" s="1171"/>
      <c r="AR118" s="1171"/>
      <c r="AS118" s="1171"/>
    </row>
    <row r="119" spans="1:45" ht="13.5" thickBot="1" x14ac:dyDescent="0.25">
      <c r="A119" s="328">
        <v>2050</v>
      </c>
      <c r="B119" s="346">
        <v>9.4278531835008533E-2</v>
      </c>
      <c r="C119" s="347">
        <v>0.11953598088324711</v>
      </c>
      <c r="D119" s="347">
        <v>0.24237154041221884</v>
      </c>
      <c r="E119" s="347">
        <v>0.24492329850813499</v>
      </c>
      <c r="F119" s="347">
        <v>0.24678032448184339</v>
      </c>
      <c r="G119" s="347">
        <v>0.23542189597888738</v>
      </c>
      <c r="H119" s="347">
        <v>0.23099723642665362</v>
      </c>
      <c r="I119" s="347">
        <v>0.22578426429308965</v>
      </c>
      <c r="J119" s="347">
        <v>0.22037494052310003</v>
      </c>
      <c r="K119" s="347">
        <v>0.21804831261169455</v>
      </c>
      <c r="L119" s="381">
        <v>0.21294437741102309</v>
      </c>
      <c r="M119" s="310">
        <f t="shared" si="80"/>
        <v>5.3285569569823256E-2</v>
      </c>
      <c r="N119" s="312">
        <f t="shared" si="81"/>
        <v>5.4137189820920278E-2</v>
      </c>
      <c r="O119" s="346">
        <v>9.4249489284988747E-2</v>
      </c>
      <c r="P119" s="347">
        <v>0.17895380144105175</v>
      </c>
      <c r="Q119" s="347">
        <v>0.33344256555643892</v>
      </c>
      <c r="R119" s="347">
        <v>0.31662600712934424</v>
      </c>
      <c r="S119" s="347">
        <v>0.30103397930754799</v>
      </c>
      <c r="T119" s="347">
        <v>0.29318080314749079</v>
      </c>
      <c r="U119" s="347">
        <v>0.2865532445454288</v>
      </c>
      <c r="V119" s="347">
        <v>0.27542289932324704</v>
      </c>
      <c r="W119" s="347">
        <v>0.27162276048662742</v>
      </c>
      <c r="X119" s="347">
        <v>0.26816094508055294</v>
      </c>
      <c r="Y119" s="381">
        <v>0.26231924222161229</v>
      </c>
      <c r="Z119" s="310">
        <f t="shared" si="82"/>
        <v>0.22034058257196282</v>
      </c>
      <c r="AA119" s="312">
        <f t="shared" si="83"/>
        <v>0.2170211988006836</v>
      </c>
      <c r="AB119" s="951">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2">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9">
        <f t="shared" si="93"/>
        <v>0</v>
      </c>
      <c r="AE119" s="938">
        <f t="shared" si="90"/>
        <v>5.3285569569823256E-2</v>
      </c>
      <c r="AF119" s="938">
        <f t="shared" si="91"/>
        <v>0.22034058257196282</v>
      </c>
      <c r="AG119" s="938">
        <f t="shared" si="92"/>
        <v>0.27362615214178609</v>
      </c>
      <c r="AH119" s="1174">
        <f t="shared" si="88"/>
        <v>0.19473858457144855</v>
      </c>
      <c r="AI119" s="938">
        <f t="shared" si="89"/>
        <v>0.80526141542855134</v>
      </c>
      <c r="AJ119" s="1171"/>
      <c r="AK119" s="1173"/>
      <c r="AL119" s="1173"/>
      <c r="AM119" s="1173"/>
      <c r="AN119" s="1171"/>
      <c r="AO119" s="1173"/>
      <c r="AP119" s="1171"/>
      <c r="AQ119" s="1171"/>
      <c r="AR119" s="1171"/>
      <c r="AS119" s="1171"/>
    </row>
    <row r="120" spans="1:45" x14ac:dyDescent="0.2">
      <c r="B120" s="227" t="str">
        <f>"Output generated: "&amp; TEXT($P$4,"m/dd/yyyy hh:mm")</f>
        <v>Output generated: 4/26/2020 19:05</v>
      </c>
      <c r="U120" s="227" t="str">
        <f>"Output generated: "&amp; TEXT($P$5,"m/dd/yyyy hh:mm")</f>
        <v>Output generated: 4/26/2020 19:05</v>
      </c>
      <c r="AE120" s="938"/>
      <c r="AF120" s="938"/>
      <c r="AG120" s="938"/>
      <c r="AH120" s="938"/>
      <c r="AI120" s="938"/>
    </row>
    <row r="121" spans="1:45" ht="13.5" thickBot="1" x14ac:dyDescent="0.25">
      <c r="AE121" s="938"/>
      <c r="AF121" s="938"/>
      <c r="AG121" s="938"/>
      <c r="AH121" s="938"/>
      <c r="AI121" s="938"/>
    </row>
    <row r="122" spans="1:45" ht="15" x14ac:dyDescent="0.25">
      <c r="A122" s="333"/>
      <c r="B122" s="1559" t="s">
        <v>190</v>
      </c>
      <c r="C122" s="1560"/>
      <c r="D122" s="1560"/>
      <c r="E122" s="1560"/>
      <c r="F122" s="1560"/>
      <c r="G122" s="1560"/>
      <c r="H122" s="1560"/>
      <c r="I122" s="1560"/>
      <c r="J122" s="1560"/>
      <c r="K122" s="1560"/>
      <c r="L122" s="1560"/>
      <c r="M122" s="1560"/>
      <c r="N122" s="1561"/>
      <c r="O122" s="1559" t="s">
        <v>191</v>
      </c>
      <c r="P122" s="1560"/>
      <c r="Q122" s="1560"/>
      <c r="R122" s="1560"/>
      <c r="S122" s="1560"/>
      <c r="T122" s="1560"/>
      <c r="U122" s="1560"/>
      <c r="V122" s="1560"/>
      <c r="W122" s="1560"/>
      <c r="X122" s="1560"/>
      <c r="Y122" s="1560"/>
      <c r="Z122" s="1560"/>
      <c r="AA122" s="1561"/>
      <c r="AE122" s="938"/>
      <c r="AF122" s="938"/>
      <c r="AG122" s="938"/>
      <c r="AH122" s="938"/>
      <c r="AI122" s="938"/>
      <c r="AJ122" s="227"/>
      <c r="AK122" s="227"/>
      <c r="AL122" s="227"/>
      <c r="AM122" s="227"/>
    </row>
    <row r="123" spans="1:45" x14ac:dyDescent="0.2">
      <c r="A123" s="324"/>
      <c r="B123" s="1556" t="s">
        <v>121</v>
      </c>
      <c r="C123" s="1557"/>
      <c r="D123" s="1557"/>
      <c r="E123" s="1557"/>
      <c r="F123" s="1557"/>
      <c r="G123" s="1557"/>
      <c r="H123" s="1557"/>
      <c r="I123" s="1557"/>
      <c r="J123" s="1557"/>
      <c r="K123" s="1557"/>
      <c r="L123" s="1558"/>
      <c r="M123" s="382"/>
      <c r="N123" s="325"/>
      <c r="O123" s="1556" t="s">
        <v>121</v>
      </c>
      <c r="P123" s="1557"/>
      <c r="Q123" s="1557"/>
      <c r="R123" s="1557"/>
      <c r="S123" s="1557"/>
      <c r="T123" s="1557"/>
      <c r="U123" s="1557"/>
      <c r="V123" s="1557"/>
      <c r="W123" s="1557"/>
      <c r="X123" s="1557"/>
      <c r="Y123" s="1558"/>
      <c r="Z123" s="382"/>
      <c r="AA123" s="325"/>
      <c r="AE123" s="938"/>
      <c r="AF123" s="938"/>
      <c r="AG123" s="938"/>
      <c r="AH123" s="938"/>
      <c r="AI123" s="938"/>
      <c r="AJ123" s="227"/>
      <c r="AK123" s="227"/>
      <c r="AL123" s="227"/>
      <c r="AM123" s="227"/>
    </row>
    <row r="124" spans="1:45"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4" t="s">
        <v>268</v>
      </c>
      <c r="AD124" s="234" t="b">
        <f>INDEX(TECH_OPT_FUEL2_Cls1,MATCH(RIGHT(O122),TECH_OPT_ROWS_Cls1,0))&lt;&gt;"N/A"</f>
        <v>0</v>
      </c>
      <c r="AE124" s="938"/>
      <c r="AF124" s="938"/>
      <c r="AG124" s="938"/>
      <c r="AH124" s="938"/>
      <c r="AI124" s="938"/>
      <c r="AJ124" s="227"/>
      <c r="AK124" s="227"/>
      <c r="AL124" s="227"/>
      <c r="AM124" s="227"/>
    </row>
    <row r="125" spans="1:45" ht="14.25"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7"/>
      <c r="AC125" s="904" t="s">
        <v>269</v>
      </c>
      <c r="AD125" s="234">
        <f>MATCH(RIGHT(O122),TECH_OPT_ROWS_Cls1,0)</f>
        <v>3</v>
      </c>
      <c r="AE125" s="938"/>
      <c r="AF125" s="938"/>
      <c r="AG125" s="938"/>
      <c r="AH125" s="938"/>
      <c r="AI125" s="938"/>
      <c r="AJ125" s="227"/>
      <c r="AK125" s="227"/>
      <c r="AL125" s="227"/>
      <c r="AM125" s="227"/>
    </row>
    <row r="126" spans="1:45" x14ac:dyDescent="0.2">
      <c r="A126" s="331" t="s">
        <v>125</v>
      </c>
      <c r="B126" s="939">
        <f t="array" ref="B126:L126">TRANSPOSE(Cls1CentVMTShr)</f>
        <v>8.9762242961142352E-4</v>
      </c>
      <c r="C126" s="940">
        <v>1.2044238150123706E-3</v>
      </c>
      <c r="D126" s="940">
        <v>4.1499109643594731E-3</v>
      </c>
      <c r="E126" s="940">
        <v>1.9575808105519295E-2</v>
      </c>
      <c r="F126" s="940">
        <v>3.4523467949689302E-2</v>
      </c>
      <c r="G126" s="940">
        <v>2.7311948935134379E-2</v>
      </c>
      <c r="H126" s="940">
        <v>7.6478458482655817E-2</v>
      </c>
      <c r="I126" s="940">
        <v>3.2480526319280681E-2</v>
      </c>
      <c r="J126" s="940">
        <v>1.1772940427842455E-2</v>
      </c>
      <c r="K126" s="940">
        <v>6.0339283082965706E-3</v>
      </c>
      <c r="L126" s="941">
        <v>1.5952440951210019E-2</v>
      </c>
      <c r="M126" s="386"/>
      <c r="N126" s="334"/>
      <c r="O126" s="939">
        <f t="array" ref="O126:Y126">TRANSPOSE(Cls1NCentVMTShr)</f>
        <v>1.3589913425833078E-3</v>
      </c>
      <c r="P126" s="940">
        <v>5.8692629772239642E-3</v>
      </c>
      <c r="Q126" s="940">
        <v>1.2100393581509007E-2</v>
      </c>
      <c r="R126" s="940">
        <v>3.6555003327388577E-2</v>
      </c>
      <c r="S126" s="940">
        <v>8.3148735051829181E-2</v>
      </c>
      <c r="T126" s="940">
        <v>0.18151138394047112</v>
      </c>
      <c r="U126" s="940">
        <v>0.2383386372324876</v>
      </c>
      <c r="V126" s="940">
        <v>9.5602564448196578E-2</v>
      </c>
      <c r="W126" s="940">
        <v>2.9193025028929166E-2</v>
      </c>
      <c r="X126" s="940">
        <v>3.5209492159336005E-2</v>
      </c>
      <c r="Y126" s="941">
        <v>5.0731034221433824E-2</v>
      </c>
      <c r="Z126" s="386">
        <f>SUM(O126:Y126)</f>
        <v>0.76961852331138836</v>
      </c>
      <c r="AA126" s="334"/>
      <c r="AB126" s="1572" t="str">
        <f>"% of miles on f2 for Tech "&amp; RIGHT(O122)&amp;" adopters"</f>
        <v>% of miles on f2 for Tech B adopters</v>
      </c>
      <c r="AC126" s="1573"/>
      <c r="AD126" s="1574"/>
      <c r="AE126" s="938" t="s">
        <v>306</v>
      </c>
      <c r="AF126" s="938"/>
      <c r="AG126" s="938"/>
      <c r="AH126" s="1174" t="s">
        <v>309</v>
      </c>
      <c r="AI126" s="938"/>
      <c r="AJ126" s="227"/>
      <c r="AK126" s="227"/>
      <c r="AL126" s="227"/>
      <c r="AM126" s="227"/>
    </row>
    <row r="127" spans="1:45" ht="13.5" thickBot="1" x14ac:dyDescent="0.25">
      <c r="A127" s="943" t="s">
        <v>267</v>
      </c>
      <c r="B127" s="934">
        <f t="array" ref="B127:L127">TRANSPOSE(Cls1CentVMT/OPDAYS_Cls1)</f>
        <v>51.642967609234425</v>
      </c>
      <c r="C127" s="935">
        <v>110.97733417848234</v>
      </c>
      <c r="D127" s="935">
        <v>204.40224583551472</v>
      </c>
      <c r="E127" s="935">
        <v>290.24610572847212</v>
      </c>
      <c r="F127" s="935">
        <v>364.75750419264841</v>
      </c>
      <c r="G127" s="935">
        <v>443.63126889109378</v>
      </c>
      <c r="H127" s="935">
        <v>506.78134229373978</v>
      </c>
      <c r="I127" s="935">
        <v>595.71283413609137</v>
      </c>
      <c r="J127" s="935">
        <v>682.23089916089702</v>
      </c>
      <c r="K127" s="935">
        <v>765.26438827532684</v>
      </c>
      <c r="L127" s="936">
        <v>970.27871027310334</v>
      </c>
      <c r="M127" s="932"/>
      <c r="N127" s="933"/>
      <c r="O127" s="934">
        <f t="array" ref="O127:Y127">TRANSPOSE(Cls1NCentVMT/OPDAYS_Cls1)</f>
        <v>47.924548633512046</v>
      </c>
      <c r="P127" s="935">
        <v>112.56389213862748</v>
      </c>
      <c r="Q127" s="935">
        <v>214.67280220238027</v>
      </c>
      <c r="R127" s="935">
        <v>288.30186744262801</v>
      </c>
      <c r="S127" s="935">
        <v>368.60089210549245</v>
      </c>
      <c r="T127" s="935">
        <v>447.31558789932524</v>
      </c>
      <c r="U127" s="935">
        <v>511.28831950097862</v>
      </c>
      <c r="V127" s="935">
        <v>595.73726658362273</v>
      </c>
      <c r="W127" s="935">
        <v>672.11099195240695</v>
      </c>
      <c r="X127" s="935">
        <v>757.0793017898726</v>
      </c>
      <c r="Y127" s="936">
        <v>896.16800791754974</v>
      </c>
      <c r="Z127" s="944"/>
      <c r="AA127" s="933"/>
      <c r="AB127" s="946" t="s">
        <v>187</v>
      </c>
      <c r="AC127" s="947" t="s">
        <v>15</v>
      </c>
      <c r="AD127" s="948" t="s">
        <v>18</v>
      </c>
      <c r="AE127" s="938" t="s">
        <v>187</v>
      </c>
      <c r="AF127" s="938" t="s">
        <v>15</v>
      </c>
      <c r="AG127" s="938" t="s">
        <v>18</v>
      </c>
      <c r="AH127" s="1174" t="s">
        <v>187</v>
      </c>
      <c r="AI127" s="938" t="s">
        <v>15</v>
      </c>
      <c r="AJ127" s="227"/>
      <c r="AK127" s="227"/>
      <c r="AL127" s="227"/>
      <c r="AM127" s="227"/>
    </row>
    <row r="128" spans="1:45" ht="13.5" thickTop="1" x14ac:dyDescent="0.2">
      <c r="A128" s="942">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9">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50">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8">
        <f t="shared" ref="AD128:AD153" si="98">AB128*AH128+AC128*AI128</f>
        <v>0</v>
      </c>
      <c r="AE128" s="938">
        <f t="shared" ref="AE128:AE142" si="99">SUMPRODUCT($B$74:$L$74,B128:L128)</f>
        <v>0</v>
      </c>
      <c r="AF128" s="938">
        <f t="shared" ref="AF128:AF142" si="100">SUMPRODUCT($O$74:$Y$74,O128:Y128)</f>
        <v>0</v>
      </c>
      <c r="AG128" s="938">
        <f t="shared" ref="AG128:AG142" si="101">SUM(AE128:AF128)</f>
        <v>0</v>
      </c>
      <c r="AH128" s="1174">
        <f>IF(AG128&gt;0,AE128/AG128,0)</f>
        <v>0</v>
      </c>
      <c r="AI128" s="938">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9">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50">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8">
        <f t="shared" si="98"/>
        <v>0</v>
      </c>
      <c r="AE129" s="938">
        <f t="shared" si="99"/>
        <v>0</v>
      </c>
      <c r="AF129" s="938">
        <f t="shared" si="100"/>
        <v>0</v>
      </c>
      <c r="AG129" s="938">
        <f t="shared" si="101"/>
        <v>0</v>
      </c>
      <c r="AH129" s="1174">
        <f t="shared" ref="AH129:AH171" si="102">IF(AG129&gt;0,AE129/AG129,0)</f>
        <v>0</v>
      </c>
      <c r="AI129" s="938">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9">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50">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8">
        <f t="shared" si="98"/>
        <v>0</v>
      </c>
      <c r="AE130" s="938">
        <f t="shared" si="99"/>
        <v>0</v>
      </c>
      <c r="AF130" s="938">
        <f t="shared" si="100"/>
        <v>0</v>
      </c>
      <c r="AG130" s="938">
        <f t="shared" si="101"/>
        <v>0</v>
      </c>
      <c r="AH130" s="1174">
        <f t="shared" si="102"/>
        <v>0</v>
      </c>
      <c r="AI130" s="938">
        <f t="shared" si="103"/>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9">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50">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8">
        <f t="shared" si="98"/>
        <v>0</v>
      </c>
      <c r="AE131" s="938">
        <f t="shared" si="99"/>
        <v>0</v>
      </c>
      <c r="AF131" s="938">
        <f t="shared" si="100"/>
        <v>0</v>
      </c>
      <c r="AG131" s="938">
        <f t="shared" si="101"/>
        <v>0</v>
      </c>
      <c r="AH131" s="1174">
        <f t="shared" si="102"/>
        <v>0</v>
      </c>
      <c r="AI131" s="938">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9">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50">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8">
        <f t="shared" si="98"/>
        <v>0</v>
      </c>
      <c r="AE132" s="938">
        <f t="shared" si="99"/>
        <v>0</v>
      </c>
      <c r="AF132" s="938">
        <f t="shared" si="100"/>
        <v>0</v>
      </c>
      <c r="AG132" s="938">
        <f t="shared" si="101"/>
        <v>0</v>
      </c>
      <c r="AH132" s="1174">
        <f t="shared" si="102"/>
        <v>0</v>
      </c>
      <c r="AI132" s="938">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9">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50">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8">
        <f t="shared" si="98"/>
        <v>0</v>
      </c>
      <c r="AE133" s="938">
        <f t="shared" si="99"/>
        <v>0</v>
      </c>
      <c r="AF133" s="938">
        <f t="shared" si="100"/>
        <v>0</v>
      </c>
      <c r="AG133" s="938">
        <f t="shared" si="101"/>
        <v>0</v>
      </c>
      <c r="AH133" s="1174">
        <f t="shared" si="102"/>
        <v>0</v>
      </c>
      <c r="AI133" s="938">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9">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50">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8">
        <f t="shared" si="98"/>
        <v>0</v>
      </c>
      <c r="AE134" s="938">
        <f t="shared" si="99"/>
        <v>0</v>
      </c>
      <c r="AF134" s="938">
        <f t="shared" si="100"/>
        <v>0</v>
      </c>
      <c r="AG134" s="938">
        <f t="shared" si="101"/>
        <v>0</v>
      </c>
      <c r="AH134" s="1174">
        <f t="shared" si="102"/>
        <v>0</v>
      </c>
      <c r="AI134" s="938">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9">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50">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8">
        <f t="shared" si="98"/>
        <v>0</v>
      </c>
      <c r="AE135" s="938">
        <f t="shared" si="99"/>
        <v>0</v>
      </c>
      <c r="AF135" s="938">
        <f t="shared" si="100"/>
        <v>0</v>
      </c>
      <c r="AG135" s="938">
        <f t="shared" si="101"/>
        <v>0</v>
      </c>
      <c r="AH135" s="1174">
        <f t="shared" si="102"/>
        <v>0</v>
      </c>
      <c r="AI135" s="938">
        <f t="shared" si="103"/>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9">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50">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8">
        <f t="shared" si="98"/>
        <v>0</v>
      </c>
      <c r="AE136" s="938">
        <f t="shared" si="99"/>
        <v>0</v>
      </c>
      <c r="AF136" s="938">
        <f t="shared" si="100"/>
        <v>0</v>
      </c>
      <c r="AG136" s="938">
        <f t="shared" si="101"/>
        <v>0</v>
      </c>
      <c r="AH136" s="1174">
        <f t="shared" si="102"/>
        <v>0</v>
      </c>
      <c r="AI136" s="938">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9">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50">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8">
        <f t="shared" si="98"/>
        <v>0</v>
      </c>
      <c r="AE137" s="938">
        <f t="shared" si="99"/>
        <v>0</v>
      </c>
      <c r="AF137" s="938">
        <f t="shared" si="100"/>
        <v>0</v>
      </c>
      <c r="AG137" s="938">
        <f t="shared" si="101"/>
        <v>0</v>
      </c>
      <c r="AH137" s="1174">
        <f t="shared" si="102"/>
        <v>0</v>
      </c>
      <c r="AI137" s="938">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9">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50">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8">
        <f t="shared" si="98"/>
        <v>0</v>
      </c>
      <c r="AE138" s="938">
        <f t="shared" si="99"/>
        <v>0</v>
      </c>
      <c r="AF138" s="938">
        <f t="shared" si="100"/>
        <v>0</v>
      </c>
      <c r="AG138" s="938">
        <f t="shared" si="101"/>
        <v>0</v>
      </c>
      <c r="AH138" s="1174">
        <f t="shared" si="102"/>
        <v>0</v>
      </c>
      <c r="AI138" s="938">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9">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50">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8">
        <f t="shared" si="98"/>
        <v>0</v>
      </c>
      <c r="AE139" s="938">
        <f t="shared" si="99"/>
        <v>0</v>
      </c>
      <c r="AF139" s="938">
        <f t="shared" si="100"/>
        <v>0</v>
      </c>
      <c r="AG139" s="938">
        <f t="shared" si="101"/>
        <v>0</v>
      </c>
      <c r="AH139" s="1174">
        <f t="shared" si="102"/>
        <v>0</v>
      </c>
      <c r="AI139" s="938">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9">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50">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8">
        <f t="shared" si="98"/>
        <v>0</v>
      </c>
      <c r="AE140" s="938">
        <f t="shared" si="99"/>
        <v>0</v>
      </c>
      <c r="AF140" s="938">
        <f t="shared" si="100"/>
        <v>0</v>
      </c>
      <c r="AG140" s="938">
        <f t="shared" si="101"/>
        <v>0</v>
      </c>
      <c r="AH140" s="1174">
        <f t="shared" si="102"/>
        <v>0</v>
      </c>
      <c r="AI140" s="938">
        <f t="shared" si="103"/>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9">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50">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8">
        <f t="shared" si="98"/>
        <v>0</v>
      </c>
      <c r="AE141" s="938">
        <f t="shared" si="99"/>
        <v>0</v>
      </c>
      <c r="AF141" s="938">
        <f t="shared" si="100"/>
        <v>0</v>
      </c>
      <c r="AG141" s="938">
        <f t="shared" si="101"/>
        <v>0</v>
      </c>
      <c r="AH141" s="1174">
        <f t="shared" si="102"/>
        <v>0</v>
      </c>
      <c r="AI141" s="938">
        <f t="shared" si="103"/>
        <v>0</v>
      </c>
      <c r="AJ141" s="227"/>
      <c r="AK141" s="227"/>
      <c r="AL141" s="227"/>
      <c r="AM141" s="227"/>
    </row>
    <row r="142" spans="1:39" x14ac:dyDescent="0.2">
      <c r="A142" s="329">
        <v>2021</v>
      </c>
      <c r="B142" s="342">
        <v>1.153955826293288E-2</v>
      </c>
      <c r="C142" s="343">
        <v>1.153955826293288E-2</v>
      </c>
      <c r="D142" s="343">
        <v>1.2410305037600758E-2</v>
      </c>
      <c r="E142" s="343">
        <v>1.4201861037045571E-2</v>
      </c>
      <c r="F142" s="343">
        <v>1.4707454835413735E-2</v>
      </c>
      <c r="G142" s="343">
        <v>1.4956965485819257E-2</v>
      </c>
      <c r="H142" s="343">
        <v>1.5135543056377621E-2</v>
      </c>
      <c r="I142" s="343">
        <v>1.6772755744078133E-2</v>
      </c>
      <c r="J142" s="343">
        <v>1.8667690408056981E-2</v>
      </c>
      <c r="K142" s="343">
        <v>2.0321104612797781E-2</v>
      </c>
      <c r="L142" s="379">
        <v>2.2064032407646914E-2</v>
      </c>
      <c r="M142" s="282">
        <f t="shared" si="94"/>
        <v>3.6667232809144985E-3</v>
      </c>
      <c r="N142" s="284">
        <f t="shared" si="95"/>
        <v>3.6080176385662084E-3</v>
      </c>
      <c r="O142" s="342">
        <v>1.153955826293288E-2</v>
      </c>
      <c r="P142" s="343">
        <v>1.153955826293288E-2</v>
      </c>
      <c r="Q142" s="343">
        <v>1.3009188885527349E-2</v>
      </c>
      <c r="R142" s="343">
        <v>1.4201861037045571E-2</v>
      </c>
      <c r="S142" s="343">
        <v>1.484102888822828E-2</v>
      </c>
      <c r="T142" s="343">
        <v>1.5055002624716563E-2</v>
      </c>
      <c r="U142" s="343">
        <v>1.5135543056377621E-2</v>
      </c>
      <c r="V142" s="343">
        <v>1.7405336050714641E-2</v>
      </c>
      <c r="W142" s="343">
        <v>1.9236631416968367E-2</v>
      </c>
      <c r="X142" s="343">
        <v>2.0321104612797781E-2</v>
      </c>
      <c r="Y142" s="379">
        <v>2.1678835069297579E-2</v>
      </c>
      <c r="Z142" s="282">
        <f t="shared" si="96"/>
        <v>1.2374883812685856E-2</v>
      </c>
      <c r="AA142" s="284">
        <f t="shared" si="97"/>
        <v>1.1783901156219559E-2</v>
      </c>
      <c r="AB142" s="949">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50">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8">
        <f t="shared" si="98"/>
        <v>0</v>
      </c>
      <c r="AE142" s="938">
        <f t="shared" si="99"/>
        <v>3.6667232809144985E-3</v>
      </c>
      <c r="AF142" s="938">
        <f t="shared" si="100"/>
        <v>1.2374883812685856E-2</v>
      </c>
      <c r="AG142" s="938">
        <f t="shared" si="101"/>
        <v>1.6041607093600356E-2</v>
      </c>
      <c r="AH142" s="1174">
        <f t="shared" si="102"/>
        <v>0.22857580662085297</v>
      </c>
      <c r="AI142" s="938">
        <f t="shared" si="103"/>
        <v>0.77142419337914692</v>
      </c>
      <c r="AJ142" s="227"/>
      <c r="AK142" s="227"/>
      <c r="AL142" s="227"/>
      <c r="AM142" s="227"/>
    </row>
    <row r="143" spans="1:39" x14ac:dyDescent="0.2">
      <c r="A143" s="330">
        <v>2022</v>
      </c>
      <c r="B143" s="344">
        <v>2.7132239746877389E-2</v>
      </c>
      <c r="C143" s="345">
        <v>2.7132239746877389E-2</v>
      </c>
      <c r="D143" s="345">
        <v>2.7589889562314868E-2</v>
      </c>
      <c r="E143" s="345">
        <v>3.2479998914072723E-2</v>
      </c>
      <c r="F143" s="345">
        <v>3.7182218536776508E-2</v>
      </c>
      <c r="G143" s="345">
        <v>4.4436754139358346E-2</v>
      </c>
      <c r="H143" s="345">
        <v>4.8941023629922829E-2</v>
      </c>
      <c r="I143" s="345">
        <v>5.3147754924019269E-2</v>
      </c>
      <c r="J143" s="345">
        <v>5.5359671990123288E-2</v>
      </c>
      <c r="K143" s="345">
        <v>5.7016082952423316E-2</v>
      </c>
      <c r="L143" s="380">
        <v>5.8305618059601182E-2</v>
      </c>
      <c r="M143" s="296">
        <f t="shared" si="94"/>
        <v>1.0699759626746701E-2</v>
      </c>
      <c r="N143" s="298">
        <f t="shared" si="95"/>
        <v>1.0249002169707176E-2</v>
      </c>
      <c r="O143" s="344">
        <v>2.7132239746877389E-2</v>
      </c>
      <c r="P143" s="345">
        <v>2.7132239746877389E-2</v>
      </c>
      <c r="Q143" s="345">
        <v>2.9046544722619565E-2</v>
      </c>
      <c r="R143" s="345">
        <v>3.2479998914072723E-2</v>
      </c>
      <c r="S143" s="345">
        <v>3.9136441872129106E-2</v>
      </c>
      <c r="T143" s="345">
        <v>4.7229607097164152E-2</v>
      </c>
      <c r="U143" s="345">
        <v>5.0545248537027139E-2</v>
      </c>
      <c r="V143" s="345">
        <v>5.4191853139111755E-2</v>
      </c>
      <c r="W143" s="345">
        <v>5.62346288314194E-2</v>
      </c>
      <c r="X143" s="345">
        <v>5.7105790028025058E-2</v>
      </c>
      <c r="Y143" s="380">
        <v>5.8334170308843587E-2</v>
      </c>
      <c r="Z143" s="296">
        <f t="shared" si="96"/>
        <v>3.7401200174749523E-2</v>
      </c>
      <c r="AA143" s="298">
        <f t="shared" si="97"/>
        <v>3.5014829314235989E-2</v>
      </c>
      <c r="AB143" s="949">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50">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8">
        <f t="shared" si="98"/>
        <v>0</v>
      </c>
      <c r="AE143" s="938">
        <f>SUMPRODUCT($B$74:$L$74,B143:L143)</f>
        <v>1.0699759626746701E-2</v>
      </c>
      <c r="AF143" s="938">
        <f>SUMPRODUCT($O$74:$Y$74,O143:Y143)</f>
        <v>3.7401200174749523E-2</v>
      </c>
      <c r="AG143" s="938">
        <f>SUM(AE143:AF143)</f>
        <v>4.8100959801496222E-2</v>
      </c>
      <c r="AH143" s="1174">
        <f t="shared" si="102"/>
        <v>0.22244378637978604</v>
      </c>
      <c r="AI143" s="938">
        <f t="shared" si="103"/>
        <v>0.77755621362021399</v>
      </c>
      <c r="AJ143" s="227"/>
      <c r="AK143" s="227"/>
      <c r="AL143" s="227"/>
      <c r="AM143" s="227"/>
    </row>
    <row r="144" spans="1:39" x14ac:dyDescent="0.2">
      <c r="A144" s="330">
        <v>2023</v>
      </c>
      <c r="B144" s="344">
        <v>5.387808325783993E-2</v>
      </c>
      <c r="C144" s="345">
        <v>5.387808325783993E-2</v>
      </c>
      <c r="D144" s="345">
        <v>5.38807846800207E-2</v>
      </c>
      <c r="E144" s="345">
        <v>7.6147580969600143E-2</v>
      </c>
      <c r="F144" s="345">
        <v>0.10008401491490586</v>
      </c>
      <c r="G144" s="345">
        <v>0.1136369079120486</v>
      </c>
      <c r="H144" s="345">
        <v>0.1206183181272418</v>
      </c>
      <c r="I144" s="345">
        <v>0.12534688861442167</v>
      </c>
      <c r="J144" s="345">
        <v>0.12845695704913765</v>
      </c>
      <c r="K144" s="345">
        <v>0.12855324628786721</v>
      </c>
      <c r="L144" s="380">
        <v>0.12324666054425515</v>
      </c>
      <c r="M144" s="296">
        <f t="shared" si="94"/>
        <v>2.5936516021053336E-2</v>
      </c>
      <c r="N144" s="298">
        <f t="shared" si="95"/>
        <v>2.4921354831641523E-2</v>
      </c>
      <c r="O144" s="344">
        <v>5.387808325783993E-2</v>
      </c>
      <c r="P144" s="345">
        <v>5.387808325783993E-2</v>
      </c>
      <c r="Q144" s="345">
        <v>5.7479914579255768E-2</v>
      </c>
      <c r="R144" s="345">
        <v>8.0597987292494191E-2</v>
      </c>
      <c r="S144" s="345">
        <v>0.10430188145226225</v>
      </c>
      <c r="T144" s="345">
        <v>0.11727343598689985</v>
      </c>
      <c r="U144" s="345">
        <v>0.12268990698572745</v>
      </c>
      <c r="V144" s="345">
        <v>0.12767469995362909</v>
      </c>
      <c r="W144" s="345">
        <v>0.12860679799285696</v>
      </c>
      <c r="X144" s="345">
        <v>0.12777463370844444</v>
      </c>
      <c r="Y144" s="380">
        <v>0.12414194015592105</v>
      </c>
      <c r="Z144" s="296">
        <f t="shared" si="96"/>
        <v>8.9989191357528336E-2</v>
      </c>
      <c r="AA144" s="298">
        <f t="shared" si="97"/>
        <v>8.4643041842186129E-2</v>
      </c>
      <c r="AB144" s="949">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50">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8">
        <f t="shared" si="98"/>
        <v>0</v>
      </c>
      <c r="AE144" s="938">
        <f t="shared" ref="AE144:AE171" si="104">SUMPRODUCT($B$74:$L$74,B144:L144)</f>
        <v>2.5936516021053336E-2</v>
      </c>
      <c r="AF144" s="938">
        <f t="shared" ref="AF144:AF171" si="105">SUMPRODUCT($O$74:$Y$74,O144:Y144)</f>
        <v>8.9989191357528336E-2</v>
      </c>
      <c r="AG144" s="938">
        <f t="shared" ref="AG144:AG171" si="106">SUM(AE144:AF144)</f>
        <v>0.11592570737858167</v>
      </c>
      <c r="AH144" s="1174">
        <f t="shared" si="102"/>
        <v>0.22373394657279738</v>
      </c>
      <c r="AI144" s="938">
        <f t="shared" si="103"/>
        <v>0.77626605342720267</v>
      </c>
      <c r="AJ144" s="227"/>
      <c r="AK144" s="227"/>
      <c r="AL144" s="227"/>
      <c r="AM144" s="227"/>
    </row>
    <row r="145" spans="1:39" x14ac:dyDescent="0.2">
      <c r="A145" s="330">
        <v>2024</v>
      </c>
      <c r="B145" s="344">
        <v>7.4927119930206357E-2</v>
      </c>
      <c r="C145" s="345">
        <v>7.4927119930206357E-2</v>
      </c>
      <c r="D145" s="345">
        <v>7.9572291766640116E-2</v>
      </c>
      <c r="E145" s="345">
        <v>0.15565011781264615</v>
      </c>
      <c r="F145" s="345">
        <v>0.19353589462667298</v>
      </c>
      <c r="G145" s="345">
        <v>0.21913946547391114</v>
      </c>
      <c r="H145" s="345">
        <v>0.22695405830373908</v>
      </c>
      <c r="I145" s="345">
        <v>0.23088008194995921</v>
      </c>
      <c r="J145" s="345">
        <v>0.22739509241488273</v>
      </c>
      <c r="K145" s="345">
        <v>0.22156658876185914</v>
      </c>
      <c r="L145" s="380">
        <v>0.20614512822676034</v>
      </c>
      <c r="M145" s="296">
        <f t="shared" si="94"/>
        <v>4.8360098058917805E-2</v>
      </c>
      <c r="N145" s="298">
        <f t="shared" si="95"/>
        <v>4.660137244282548E-2</v>
      </c>
      <c r="O145" s="344">
        <v>7.4927119930206357E-2</v>
      </c>
      <c r="P145" s="345">
        <v>7.4927119930206357E-2</v>
      </c>
      <c r="Q145" s="345">
        <v>0.10515139583993639</v>
      </c>
      <c r="R145" s="345">
        <v>0.16400076124377602</v>
      </c>
      <c r="S145" s="345">
        <v>0.20118228257834528</v>
      </c>
      <c r="T145" s="345">
        <v>0.22107486240319288</v>
      </c>
      <c r="U145" s="345">
        <v>0.2279408345513371</v>
      </c>
      <c r="V145" s="345">
        <v>0.22880344818504067</v>
      </c>
      <c r="W145" s="345">
        <v>0.22417710571997523</v>
      </c>
      <c r="X145" s="345">
        <v>0.2174033429635317</v>
      </c>
      <c r="Y145" s="380">
        <v>0.20862560118305312</v>
      </c>
      <c r="Z145" s="296">
        <f t="shared" si="96"/>
        <v>0.16564883641550709</v>
      </c>
      <c r="AA145" s="298">
        <f t="shared" si="97"/>
        <v>0.15656602637516243</v>
      </c>
      <c r="AB145" s="949">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50">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8">
        <f t="shared" si="98"/>
        <v>0</v>
      </c>
      <c r="AE145" s="938">
        <f t="shared" si="104"/>
        <v>4.8360098058917805E-2</v>
      </c>
      <c r="AF145" s="938">
        <f t="shared" si="105"/>
        <v>0.16564883641550709</v>
      </c>
      <c r="AG145" s="938">
        <f t="shared" si="106"/>
        <v>0.2140089344744249</v>
      </c>
      <c r="AH145" s="1174">
        <f t="shared" si="102"/>
        <v>0.2259723323125889</v>
      </c>
      <c r="AI145" s="938">
        <f t="shared" si="103"/>
        <v>0.77402766768741116</v>
      </c>
      <c r="AJ145" s="227"/>
      <c r="AK145" s="227"/>
      <c r="AL145" s="227"/>
      <c r="AM145" s="227"/>
    </row>
    <row r="146" spans="1:39" ht="13.5" thickBot="1" x14ac:dyDescent="0.25">
      <c r="A146" s="328">
        <v>2025</v>
      </c>
      <c r="B146" s="346">
        <v>4.4719419242083225E-2</v>
      </c>
      <c r="C146" s="347">
        <v>4.4719419242083225E-2</v>
      </c>
      <c r="D146" s="347">
        <v>0.13206366611583095</v>
      </c>
      <c r="E146" s="347">
        <v>0.24222307128156453</v>
      </c>
      <c r="F146" s="347">
        <v>0.2950651114007572</v>
      </c>
      <c r="G146" s="347">
        <v>0.31625583589542555</v>
      </c>
      <c r="H146" s="347">
        <v>0.319785328830203</v>
      </c>
      <c r="I146" s="347">
        <v>0.31945826211046302</v>
      </c>
      <c r="J146" s="347">
        <v>0.30976494137884064</v>
      </c>
      <c r="K146" s="347">
        <v>0.30288573425483123</v>
      </c>
      <c r="L146" s="381">
        <v>0.27943326076319391</v>
      </c>
      <c r="M146" s="310">
        <f t="shared" si="94"/>
        <v>6.8972940346763476E-2</v>
      </c>
      <c r="N146" s="312">
        <f t="shared" si="95"/>
        <v>6.6600616936694432E-2</v>
      </c>
      <c r="O146" s="346">
        <v>4.4719419242083225E-2</v>
      </c>
      <c r="P146" s="347">
        <v>4.4719419242083225E-2</v>
      </c>
      <c r="Q146" s="347">
        <v>0.16385074951221756</v>
      </c>
      <c r="R146" s="347">
        <v>0.24907736023951554</v>
      </c>
      <c r="S146" s="347">
        <v>0.30504256036025651</v>
      </c>
      <c r="T146" s="347">
        <v>0.31661904608532632</v>
      </c>
      <c r="U146" s="347">
        <v>0.32206077466628391</v>
      </c>
      <c r="V146" s="347">
        <v>0.31738335981455656</v>
      </c>
      <c r="W146" s="347">
        <v>0.30635290794814302</v>
      </c>
      <c r="X146" s="347">
        <v>0.29926804447154182</v>
      </c>
      <c r="Y146" s="381">
        <v>0.28299614712186899</v>
      </c>
      <c r="Z146" s="310">
        <f t="shared" si="96"/>
        <v>0.23518411034356465</v>
      </c>
      <c r="AA146" s="312">
        <f t="shared" si="97"/>
        <v>0.22218645779112559</v>
      </c>
      <c r="AB146" s="949">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50">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8">
        <f t="shared" si="98"/>
        <v>0</v>
      </c>
      <c r="AE146" s="938">
        <f t="shared" si="104"/>
        <v>6.8972940346763476E-2</v>
      </c>
      <c r="AF146" s="938">
        <f t="shared" si="105"/>
        <v>0.23518411034356465</v>
      </c>
      <c r="AG146" s="938">
        <f t="shared" si="106"/>
        <v>0.30415705069032811</v>
      </c>
      <c r="AH146" s="1174">
        <f t="shared" si="102"/>
        <v>0.22676752089165608</v>
      </c>
      <c r="AI146" s="938">
        <f t="shared" si="103"/>
        <v>0.77323247910834392</v>
      </c>
      <c r="AJ146" s="227"/>
      <c r="AK146" s="227"/>
      <c r="AL146" s="227"/>
      <c r="AM146" s="227"/>
    </row>
    <row r="147" spans="1:39" x14ac:dyDescent="0.2">
      <c r="A147" s="329">
        <v>2026</v>
      </c>
      <c r="B147" s="342">
        <v>5.387867309847328E-2</v>
      </c>
      <c r="C147" s="343">
        <v>5.387867309847328E-2</v>
      </c>
      <c r="D147" s="343">
        <v>0.20541556399695299</v>
      </c>
      <c r="E147" s="343">
        <v>0.32845420817063753</v>
      </c>
      <c r="F147" s="343">
        <v>0.36910229616523921</v>
      </c>
      <c r="G147" s="343">
        <v>0.37858783735267759</v>
      </c>
      <c r="H147" s="343">
        <v>0.37827744256205592</v>
      </c>
      <c r="I147" s="343">
        <v>0.36901916212882624</v>
      </c>
      <c r="J147" s="343">
        <v>0.35164571303809133</v>
      </c>
      <c r="K147" s="343">
        <v>0.34016688393791189</v>
      </c>
      <c r="L147" s="379">
        <v>0.32115138097957946</v>
      </c>
      <c r="M147" s="282">
        <f t="shared" si="94"/>
        <v>8.2709738644457922E-2</v>
      </c>
      <c r="N147" s="284">
        <f t="shared" si="95"/>
        <v>8.1065440130588723E-2</v>
      </c>
      <c r="O147" s="342">
        <v>5.387867309847328E-2</v>
      </c>
      <c r="P147" s="343">
        <v>5.3882298733276185E-2</v>
      </c>
      <c r="Q147" s="343">
        <v>0.24151100221124372</v>
      </c>
      <c r="R147" s="343">
        <v>0.32806751099417175</v>
      </c>
      <c r="S147" s="343">
        <v>0.37129952149774631</v>
      </c>
      <c r="T147" s="343">
        <v>0.37872454840958464</v>
      </c>
      <c r="U147" s="343">
        <v>0.37087439839459507</v>
      </c>
      <c r="V147" s="343">
        <v>0.36052111206940407</v>
      </c>
      <c r="W147" s="343">
        <v>0.35164571303809133</v>
      </c>
      <c r="X147" s="343">
        <v>0.34084923620708252</v>
      </c>
      <c r="Y147" s="379">
        <v>0.3249625157161436</v>
      </c>
      <c r="Z147" s="282">
        <f t="shared" si="96"/>
        <v>0.27653311628693678</v>
      </c>
      <c r="AA147" s="284">
        <f t="shared" si="97"/>
        <v>0.26389413171928822</v>
      </c>
      <c r="AB147" s="949">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50">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8">
        <f t="shared" si="98"/>
        <v>0</v>
      </c>
      <c r="AE147" s="938">
        <f t="shared" si="104"/>
        <v>8.2709738644457922E-2</v>
      </c>
      <c r="AF147" s="938">
        <f t="shared" si="105"/>
        <v>0.27653311628693678</v>
      </c>
      <c r="AG147" s="938">
        <f t="shared" si="106"/>
        <v>0.35924285493139468</v>
      </c>
      <c r="AH147" s="1174">
        <f t="shared" si="102"/>
        <v>0.23023349666969206</v>
      </c>
      <c r="AI147" s="938">
        <f t="shared" si="103"/>
        <v>0.76976650333030794</v>
      </c>
      <c r="AJ147" s="227"/>
      <c r="AK147" s="227"/>
      <c r="AL147" s="227"/>
      <c r="AM147" s="227"/>
    </row>
    <row r="148" spans="1:39" x14ac:dyDescent="0.2">
      <c r="A148" s="330">
        <v>2027</v>
      </c>
      <c r="B148" s="344">
        <v>5.6619117773254485E-2</v>
      </c>
      <c r="C148" s="345">
        <v>5.6623895011254054E-2</v>
      </c>
      <c r="D148" s="345">
        <v>0.26799563266674481</v>
      </c>
      <c r="E148" s="345">
        <v>0.37433953367018258</v>
      </c>
      <c r="F148" s="345">
        <v>0.40063298142567372</v>
      </c>
      <c r="G148" s="345">
        <v>0.40148727863644584</v>
      </c>
      <c r="H148" s="345">
        <v>0.38803311136743884</v>
      </c>
      <c r="I148" s="345">
        <v>0.37357813670052692</v>
      </c>
      <c r="J148" s="345">
        <v>0.36312595914627288</v>
      </c>
      <c r="K148" s="345">
        <v>0.35487756846267088</v>
      </c>
      <c r="L148" s="380">
        <v>0.33603859574218636</v>
      </c>
      <c r="M148" s="296">
        <f t="shared" si="94"/>
        <v>8.6943009241695124E-2</v>
      </c>
      <c r="N148" s="298">
        <f t="shared" si="95"/>
        <v>8.6147474015217176E-2</v>
      </c>
      <c r="O148" s="344">
        <v>5.6619117773254485E-2</v>
      </c>
      <c r="P148" s="345">
        <v>6.440084647054671E-2</v>
      </c>
      <c r="Q148" s="345">
        <v>0.30848091009957684</v>
      </c>
      <c r="R148" s="345">
        <v>0.37867727712189381</v>
      </c>
      <c r="S148" s="345">
        <v>0.40172440952120886</v>
      </c>
      <c r="T148" s="345">
        <v>0.39330427035487131</v>
      </c>
      <c r="U148" s="345">
        <v>0.38233947878480828</v>
      </c>
      <c r="V148" s="345">
        <v>0.37065152766421527</v>
      </c>
      <c r="W148" s="345">
        <v>0.35857774785939328</v>
      </c>
      <c r="X148" s="345">
        <v>0.35131637831931195</v>
      </c>
      <c r="Y148" s="380">
        <v>0.33953214391301395</v>
      </c>
      <c r="Z148" s="296">
        <f t="shared" si="96"/>
        <v>0.2894462630006715</v>
      </c>
      <c r="AA148" s="298">
        <f t="shared" si="97"/>
        <v>0.27860571914884558</v>
      </c>
      <c r="AB148" s="949">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50">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8">
        <f t="shared" si="98"/>
        <v>0</v>
      </c>
      <c r="AE148" s="938">
        <f t="shared" si="104"/>
        <v>8.6943009241695124E-2</v>
      </c>
      <c r="AF148" s="938">
        <f t="shared" si="105"/>
        <v>0.2894462630006715</v>
      </c>
      <c r="AG148" s="938">
        <f t="shared" si="106"/>
        <v>0.37638927224236662</v>
      </c>
      <c r="AH148" s="1174">
        <f t="shared" si="102"/>
        <v>0.23099226161183017</v>
      </c>
      <c r="AI148" s="938">
        <f t="shared" si="103"/>
        <v>0.76900773838816983</v>
      </c>
      <c r="AJ148" s="227"/>
      <c r="AK148" s="227"/>
      <c r="AL148" s="227"/>
      <c r="AM148" s="227"/>
    </row>
    <row r="149" spans="1:39" x14ac:dyDescent="0.2">
      <c r="A149" s="330">
        <v>2028</v>
      </c>
      <c r="B149" s="344">
        <v>5.6114533395509494E-2</v>
      </c>
      <c r="C149" s="345">
        <v>6.8547039146621747E-2</v>
      </c>
      <c r="D149" s="345">
        <v>0.31022314689051311</v>
      </c>
      <c r="E149" s="345">
        <v>0.39710152935150972</v>
      </c>
      <c r="F149" s="345">
        <v>0.41185121650440032</v>
      </c>
      <c r="G149" s="345">
        <v>0.39993634625454005</v>
      </c>
      <c r="H149" s="345">
        <v>0.38708792266211106</v>
      </c>
      <c r="I149" s="345">
        <v>0.37235291993779396</v>
      </c>
      <c r="J149" s="345">
        <v>0.36129891593773267</v>
      </c>
      <c r="K149" s="345">
        <v>0.35373426269033442</v>
      </c>
      <c r="L149" s="380">
        <v>0.33988295395282953</v>
      </c>
      <c r="M149" s="296">
        <f t="shared" si="94"/>
        <v>8.7843511452158851E-2</v>
      </c>
      <c r="N149" s="298">
        <f t="shared" si="95"/>
        <v>8.765275843793649E-2</v>
      </c>
      <c r="O149" s="344">
        <v>5.6114533395509494E-2</v>
      </c>
      <c r="P149" s="345">
        <v>8.4197789661063935E-2</v>
      </c>
      <c r="Q149" s="345">
        <v>0.34161720567640108</v>
      </c>
      <c r="R149" s="345">
        <v>0.40097548792941562</v>
      </c>
      <c r="S149" s="345">
        <v>0.40409118604739297</v>
      </c>
      <c r="T149" s="345">
        <v>0.39033882579823614</v>
      </c>
      <c r="U149" s="345">
        <v>0.3772829517366037</v>
      </c>
      <c r="V149" s="345">
        <v>0.36953835315312711</v>
      </c>
      <c r="W149" s="345">
        <v>0.35704878085844077</v>
      </c>
      <c r="X149" s="345">
        <v>0.34989229606900629</v>
      </c>
      <c r="Y149" s="380">
        <v>0.34294561388223233</v>
      </c>
      <c r="Z149" s="296">
        <f t="shared" si="96"/>
        <v>0.28920318103133841</v>
      </c>
      <c r="AA149" s="298">
        <f t="shared" si="97"/>
        <v>0.2797799019089236</v>
      </c>
      <c r="AB149" s="949">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50">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8">
        <f t="shared" si="98"/>
        <v>0</v>
      </c>
      <c r="AE149" s="938">
        <f t="shared" si="104"/>
        <v>8.7843511452158851E-2</v>
      </c>
      <c r="AF149" s="938">
        <f t="shared" si="105"/>
        <v>0.28920318103133841</v>
      </c>
      <c r="AG149" s="938">
        <f t="shared" si="106"/>
        <v>0.37704669248349726</v>
      </c>
      <c r="AH149" s="1174">
        <f t="shared" si="102"/>
        <v>0.23297780673677074</v>
      </c>
      <c r="AI149" s="938">
        <f t="shared" si="103"/>
        <v>0.76702219326322929</v>
      </c>
      <c r="AJ149" s="227"/>
      <c r="AK149" s="227"/>
      <c r="AL149" s="227"/>
      <c r="AM149" s="227"/>
    </row>
    <row r="150" spans="1:39" x14ac:dyDescent="0.2">
      <c r="A150" s="330">
        <v>2029</v>
      </c>
      <c r="B150" s="344">
        <v>5.3737526604108646E-2</v>
      </c>
      <c r="C150" s="345">
        <v>0.10102643091259966</v>
      </c>
      <c r="D150" s="345">
        <v>0.34408253360373003</v>
      </c>
      <c r="E150" s="345">
        <v>0.40337040395600399</v>
      </c>
      <c r="F150" s="345">
        <v>0.40087196512075474</v>
      </c>
      <c r="G150" s="345">
        <v>0.38361666839990322</v>
      </c>
      <c r="H150" s="345">
        <v>0.37463507278895214</v>
      </c>
      <c r="I150" s="345">
        <v>0.36027859586942063</v>
      </c>
      <c r="J150" s="345">
        <v>0.35378640891690299</v>
      </c>
      <c r="K150" s="345">
        <v>0.34675662904483334</v>
      </c>
      <c r="L150" s="380">
        <v>0.33839637639004427</v>
      </c>
      <c r="M150" s="296">
        <f t="shared" si="94"/>
        <v>8.5820147893198209E-2</v>
      </c>
      <c r="N150" s="298">
        <f t="shared" si="95"/>
        <v>8.611251309041329E-2</v>
      </c>
      <c r="O150" s="344">
        <v>5.3737526604108646E-2</v>
      </c>
      <c r="P150" s="345">
        <v>0.1209171336758128</v>
      </c>
      <c r="Q150" s="345">
        <v>0.37133932766343236</v>
      </c>
      <c r="R150" s="345">
        <v>0.40318173498190096</v>
      </c>
      <c r="S150" s="345">
        <v>0.3959014931085848</v>
      </c>
      <c r="T150" s="345">
        <v>0.38151319961399005</v>
      </c>
      <c r="U150" s="345">
        <v>0.37178076680421934</v>
      </c>
      <c r="V150" s="345">
        <v>0.36102927099819959</v>
      </c>
      <c r="W150" s="345">
        <v>0.35378640891690299</v>
      </c>
      <c r="X150" s="345">
        <v>0.34675662904483334</v>
      </c>
      <c r="Y150" s="380">
        <v>0.34086346127108996</v>
      </c>
      <c r="Z150" s="296">
        <f t="shared" si="96"/>
        <v>0.28513670385904599</v>
      </c>
      <c r="AA150" s="298">
        <f t="shared" si="97"/>
        <v>0.27705422176236721</v>
      </c>
      <c r="AB150" s="949">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50">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8">
        <f t="shared" si="98"/>
        <v>0</v>
      </c>
      <c r="AE150" s="938">
        <f t="shared" si="104"/>
        <v>8.5820147893198209E-2</v>
      </c>
      <c r="AF150" s="938">
        <f t="shared" si="105"/>
        <v>0.28513670385904599</v>
      </c>
      <c r="AG150" s="938">
        <f t="shared" si="106"/>
        <v>0.37095685175224419</v>
      </c>
      <c r="AH150" s="1174">
        <f t="shared" si="102"/>
        <v>0.23134805972128542</v>
      </c>
      <c r="AI150" s="938">
        <f t="shared" si="103"/>
        <v>0.76865194027871464</v>
      </c>
      <c r="AJ150" s="227"/>
      <c r="AK150" s="227"/>
      <c r="AL150" s="227"/>
      <c r="AM150" s="227"/>
    </row>
    <row r="151" spans="1:39" ht="13.5" thickBot="1" x14ac:dyDescent="0.25">
      <c r="A151" s="328">
        <v>2030</v>
      </c>
      <c r="B151" s="346">
        <v>4.9964642267292997E-2</v>
      </c>
      <c r="C151" s="347">
        <v>0.12728517220141911</v>
      </c>
      <c r="D151" s="347">
        <v>0.36401102079859088</v>
      </c>
      <c r="E151" s="347">
        <v>0.39916509485047708</v>
      </c>
      <c r="F151" s="347">
        <v>0.38765236588766555</v>
      </c>
      <c r="G151" s="347">
        <v>0.37611581148438628</v>
      </c>
      <c r="H151" s="347">
        <v>0.36600622424003454</v>
      </c>
      <c r="I151" s="347">
        <v>0.35516460496898988</v>
      </c>
      <c r="J151" s="347">
        <v>0.34810192329420786</v>
      </c>
      <c r="K151" s="347">
        <v>0.34498826734826743</v>
      </c>
      <c r="L151" s="381">
        <v>0.33757561393592128</v>
      </c>
      <c r="M151" s="310">
        <f t="shared" si="94"/>
        <v>8.4270805018491851E-2</v>
      </c>
      <c r="N151" s="312">
        <f t="shared" si="95"/>
        <v>8.4704838857489542E-2</v>
      </c>
      <c r="O151" s="346">
        <v>4.9964642267292997E-2</v>
      </c>
      <c r="P151" s="347">
        <v>0.15614235300312754</v>
      </c>
      <c r="Q151" s="347">
        <v>0.37789504914159028</v>
      </c>
      <c r="R151" s="347">
        <v>0.39659674333902939</v>
      </c>
      <c r="S151" s="347">
        <v>0.38141426846307802</v>
      </c>
      <c r="T151" s="347">
        <v>0.37136321175749082</v>
      </c>
      <c r="U151" s="347">
        <v>0.36168834106610537</v>
      </c>
      <c r="V151" s="347">
        <v>0.35150110466216905</v>
      </c>
      <c r="W151" s="347">
        <v>0.34810192329420786</v>
      </c>
      <c r="X151" s="347">
        <v>0.34218134594843846</v>
      </c>
      <c r="Y151" s="381">
        <v>0.33757561393592128</v>
      </c>
      <c r="Z151" s="310">
        <f t="shared" si="96"/>
        <v>0.27831983353569073</v>
      </c>
      <c r="AA151" s="312">
        <f t="shared" si="97"/>
        <v>0.271110272321201</v>
      </c>
      <c r="AB151" s="949">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50">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8">
        <f t="shared" si="98"/>
        <v>0</v>
      </c>
      <c r="AE151" s="938">
        <f t="shared" si="104"/>
        <v>8.4270805018491851E-2</v>
      </c>
      <c r="AF151" s="938">
        <f t="shared" si="105"/>
        <v>0.27831983353569073</v>
      </c>
      <c r="AG151" s="938">
        <f t="shared" si="106"/>
        <v>0.36259063855418261</v>
      </c>
      <c r="AH151" s="1174">
        <f t="shared" si="102"/>
        <v>0.23241307429921168</v>
      </c>
      <c r="AI151" s="938">
        <f t="shared" si="103"/>
        <v>0.76758692570078824</v>
      </c>
      <c r="AJ151" s="227"/>
      <c r="AK151" s="227"/>
      <c r="AL151" s="227"/>
      <c r="AM151" s="227"/>
    </row>
    <row r="152" spans="1:39" x14ac:dyDescent="0.2">
      <c r="A152" s="329">
        <v>2031</v>
      </c>
      <c r="B152" s="342">
        <v>5.0042859052394743E-2</v>
      </c>
      <c r="C152" s="343">
        <v>0.13257293092366729</v>
      </c>
      <c r="D152" s="343">
        <v>0.36829136159136439</v>
      </c>
      <c r="E152" s="343">
        <v>0.39138989828043763</v>
      </c>
      <c r="F152" s="343">
        <v>0.38344266241011193</v>
      </c>
      <c r="G152" s="343">
        <v>0.37212592237999997</v>
      </c>
      <c r="H152" s="343">
        <v>0.36244962775044515</v>
      </c>
      <c r="I152" s="343">
        <v>0.35592311608842647</v>
      </c>
      <c r="J152" s="343">
        <v>0.3488551861064989</v>
      </c>
      <c r="K152" s="343">
        <v>0.34292990206947677</v>
      </c>
      <c r="L152" s="379">
        <v>0.33832031493562215</v>
      </c>
      <c r="M152" s="282">
        <f t="shared" si="94"/>
        <v>8.364945770857897E-2</v>
      </c>
      <c r="N152" s="284">
        <f t="shared" si="95"/>
        <v>8.401489765014844E-2</v>
      </c>
      <c r="O152" s="342">
        <v>5.0042859052394743E-2</v>
      </c>
      <c r="P152" s="343">
        <v>0.15638678491169178</v>
      </c>
      <c r="Q152" s="343">
        <v>0.3740865922784537</v>
      </c>
      <c r="R152" s="343">
        <v>0.39285314723762582</v>
      </c>
      <c r="S152" s="343">
        <v>0.37722561818583672</v>
      </c>
      <c r="T152" s="343">
        <v>0.36749788957060664</v>
      </c>
      <c r="U152" s="343">
        <v>0.3583271406819914</v>
      </c>
      <c r="V152" s="343">
        <v>0.35225694316684064</v>
      </c>
      <c r="W152" s="343">
        <v>0.34573908980884743</v>
      </c>
      <c r="X152" s="343">
        <v>0.34292990206947677</v>
      </c>
      <c r="Y152" s="379">
        <v>0.33832031493562215</v>
      </c>
      <c r="Z152" s="282">
        <f t="shared" si="96"/>
        <v>0.27635487617624432</v>
      </c>
      <c r="AA152" s="284">
        <f t="shared" si="97"/>
        <v>0.26898039685764985</v>
      </c>
      <c r="AB152" s="949">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50">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8">
        <f t="shared" si="98"/>
        <v>0</v>
      </c>
      <c r="AE152" s="938">
        <f t="shared" si="104"/>
        <v>8.364945770857897E-2</v>
      </c>
      <c r="AF152" s="938">
        <f t="shared" si="105"/>
        <v>0.27635487617624432</v>
      </c>
      <c r="AG152" s="938">
        <f t="shared" si="106"/>
        <v>0.36000433388482328</v>
      </c>
      <c r="AH152" s="1174">
        <f t="shared" si="102"/>
        <v>0.23235680750260373</v>
      </c>
      <c r="AI152" s="938">
        <f t="shared" si="103"/>
        <v>0.76764319249739632</v>
      </c>
      <c r="AJ152" s="227"/>
      <c r="AK152" s="227"/>
      <c r="AL152" s="227"/>
      <c r="AM152" s="227"/>
    </row>
    <row r="153" spans="1:39" x14ac:dyDescent="0.2">
      <c r="A153" s="330">
        <v>2032</v>
      </c>
      <c r="B153" s="344">
        <v>5.0071695050664181E-2</v>
      </c>
      <c r="C153" s="345">
        <v>0.13885948244970123</v>
      </c>
      <c r="D153" s="345">
        <v>0.36509654008321801</v>
      </c>
      <c r="E153" s="345">
        <v>0.38727874638557336</v>
      </c>
      <c r="F153" s="345">
        <v>0.37887156655792775</v>
      </c>
      <c r="G153" s="345">
        <v>0.36790760030927744</v>
      </c>
      <c r="H153" s="345">
        <v>0.36286614858836341</v>
      </c>
      <c r="I153" s="345">
        <v>0.35267878782477097</v>
      </c>
      <c r="J153" s="345">
        <v>0.34616270478847788</v>
      </c>
      <c r="K153" s="345">
        <v>0.34335416887947212</v>
      </c>
      <c r="L153" s="380">
        <v>0.33699376993803537</v>
      </c>
      <c r="M153" s="296">
        <f t="shared" si="94"/>
        <v>8.3166474565928059E-2</v>
      </c>
      <c r="N153" s="298">
        <f t="shared" si="95"/>
        <v>8.3491575621461478E-2</v>
      </c>
      <c r="O153" s="344">
        <v>5.0071695050664181E-2</v>
      </c>
      <c r="P153" s="345">
        <v>0.16335511288118854</v>
      </c>
      <c r="Q153" s="345">
        <v>0.3770094963846099</v>
      </c>
      <c r="R153" s="345">
        <v>0.38392963805986868</v>
      </c>
      <c r="S153" s="345">
        <v>0.37273026314203361</v>
      </c>
      <c r="T153" s="345">
        <v>0.36343282927878551</v>
      </c>
      <c r="U153" s="345">
        <v>0.35874522107302753</v>
      </c>
      <c r="V153" s="345">
        <v>0.34927799969666651</v>
      </c>
      <c r="W153" s="345">
        <v>0.34616270478847788</v>
      </c>
      <c r="X153" s="345">
        <v>0.34087412249530458</v>
      </c>
      <c r="Y153" s="380">
        <v>0.33874550621849159</v>
      </c>
      <c r="Z153" s="296">
        <f t="shared" si="96"/>
        <v>0.27476975000799547</v>
      </c>
      <c r="AA153" s="298">
        <f t="shared" si="97"/>
        <v>0.26733351028244179</v>
      </c>
      <c r="AB153" s="949">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50">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8">
        <f t="shared" si="98"/>
        <v>0</v>
      </c>
      <c r="AE153" s="938">
        <f t="shared" si="104"/>
        <v>8.3166474565928059E-2</v>
      </c>
      <c r="AF153" s="938">
        <f t="shared" si="105"/>
        <v>0.27476975000799547</v>
      </c>
      <c r="AG153" s="938">
        <f t="shared" si="106"/>
        <v>0.35793622457392354</v>
      </c>
      <c r="AH153" s="1174">
        <f t="shared" si="102"/>
        <v>0.23234997984606592</v>
      </c>
      <c r="AI153" s="938">
        <f t="shared" si="103"/>
        <v>0.76765002015393402</v>
      </c>
      <c r="AJ153" s="227"/>
      <c r="AK153" s="227"/>
      <c r="AL153" s="227"/>
      <c r="AM153" s="227"/>
    </row>
    <row r="154" spans="1:39" x14ac:dyDescent="0.2">
      <c r="A154" s="330">
        <v>2033</v>
      </c>
      <c r="B154" s="344">
        <v>5.0082311584808518E-2</v>
      </c>
      <c r="C154" s="345">
        <v>0.13888892436164768</v>
      </c>
      <c r="D154" s="345">
        <v>0.36326056453620403</v>
      </c>
      <c r="E154" s="345">
        <v>0.38292759003352439</v>
      </c>
      <c r="F154" s="345">
        <v>0.37421098937961572</v>
      </c>
      <c r="G154" s="345">
        <v>0.36819543499119961</v>
      </c>
      <c r="H154" s="345">
        <v>0.3590456105386855</v>
      </c>
      <c r="I154" s="345">
        <v>0.35298560446116267</v>
      </c>
      <c r="J154" s="345">
        <v>0.34647401211234047</v>
      </c>
      <c r="K154" s="345">
        <v>0.3411887937946681</v>
      </c>
      <c r="L154" s="380">
        <v>0.33731074944905659</v>
      </c>
      <c r="M154" s="296">
        <f t="shared" si="94"/>
        <v>8.2634117645269775E-2</v>
      </c>
      <c r="N154" s="298">
        <f t="shared" si="95"/>
        <v>8.2888145655040227E-2</v>
      </c>
      <c r="O154" s="344">
        <v>5.0082311584808518E-2</v>
      </c>
      <c r="P154" s="345">
        <v>0.16936081541344297</v>
      </c>
      <c r="Q154" s="345">
        <v>0.37430049977542035</v>
      </c>
      <c r="R154" s="345">
        <v>0.38415256433708644</v>
      </c>
      <c r="S154" s="345">
        <v>0.37670699450610268</v>
      </c>
      <c r="T154" s="345">
        <v>0.36372457064811903</v>
      </c>
      <c r="U154" s="345">
        <v>0.35514812420807024</v>
      </c>
      <c r="V154" s="345">
        <v>0.34958720769629303</v>
      </c>
      <c r="W154" s="345">
        <v>0.3436672939895003</v>
      </c>
      <c r="X154" s="345">
        <v>0.3411887937946681</v>
      </c>
      <c r="Y154" s="380">
        <v>0.33731074944905659</v>
      </c>
      <c r="Z154" s="296">
        <f t="shared" si="96"/>
        <v>0.27420167523607636</v>
      </c>
      <c r="AA154" s="298">
        <f t="shared" si="97"/>
        <v>0.26706027280671002</v>
      </c>
      <c r="AB154" s="949">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50">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8">
        <f>AB154*AH154+AC154*AI154</f>
        <v>0</v>
      </c>
      <c r="AE154" s="938">
        <f t="shared" si="104"/>
        <v>8.2634117645269775E-2</v>
      </c>
      <c r="AF154" s="938">
        <f t="shared" si="105"/>
        <v>0.27420167523607636</v>
      </c>
      <c r="AG154" s="938">
        <f t="shared" si="106"/>
        <v>0.35683579288134615</v>
      </c>
      <c r="AH154" s="1174">
        <f t="shared" si="102"/>
        <v>0.23157463262870326</v>
      </c>
      <c r="AI154" s="938">
        <f t="shared" si="103"/>
        <v>0.76842536737129674</v>
      </c>
      <c r="AJ154" s="227"/>
      <c r="AK154" s="227"/>
      <c r="AL154" s="227"/>
      <c r="AM154" s="227"/>
    </row>
    <row r="155" spans="1:39" x14ac:dyDescent="0.2">
      <c r="A155" s="330">
        <v>2034</v>
      </c>
      <c r="B155" s="344">
        <v>5.0086218322275514E-2</v>
      </c>
      <c r="C155" s="345">
        <v>0.14428954924035223</v>
      </c>
      <c r="D155" s="345">
        <v>0.36122018500921421</v>
      </c>
      <c r="E155" s="345">
        <v>0.3843319584348367</v>
      </c>
      <c r="F155" s="345">
        <v>0.37443522937400098</v>
      </c>
      <c r="G155" s="345">
        <v>0.36397972208016832</v>
      </c>
      <c r="H155" s="345">
        <v>0.35931059902348234</v>
      </c>
      <c r="I155" s="345">
        <v>0.34986291938511527</v>
      </c>
      <c r="J155" s="345">
        <v>0.34675240402528668</v>
      </c>
      <c r="K155" s="345">
        <v>0.34147152488717325</v>
      </c>
      <c r="L155" s="380">
        <v>0.33759649550328469</v>
      </c>
      <c r="M155" s="296">
        <f t="shared" si="94"/>
        <v>8.2480633526375843E-2</v>
      </c>
      <c r="N155" s="298">
        <f t="shared" si="95"/>
        <v>8.2776195501483255E-2</v>
      </c>
      <c r="O155" s="344">
        <v>5.0086218322275514E-2</v>
      </c>
      <c r="P155" s="345">
        <v>0.16937402662958054</v>
      </c>
      <c r="Q155" s="345">
        <v>0.37857713282553662</v>
      </c>
      <c r="R155" s="345">
        <v>0.37957969127281171</v>
      </c>
      <c r="S155" s="345">
        <v>0.37212244728707577</v>
      </c>
      <c r="T155" s="345">
        <v>0.35968758862741351</v>
      </c>
      <c r="U155" s="345">
        <v>0.3554168474633993</v>
      </c>
      <c r="V155" s="345">
        <v>0.34986291938511527</v>
      </c>
      <c r="W155" s="345">
        <v>0.34394802329377694</v>
      </c>
      <c r="X155" s="345">
        <v>0.34147152488717325</v>
      </c>
      <c r="Y155" s="380">
        <v>0.33759649550328469</v>
      </c>
      <c r="Z155" s="296">
        <f t="shared" si="96"/>
        <v>0.27309544037047589</v>
      </c>
      <c r="AA155" s="298">
        <f t="shared" si="97"/>
        <v>0.26578057374915098</v>
      </c>
      <c r="AB155" s="949">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50">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8">
        <f t="shared" ref="AD155:AD171" si="107">AB155*AH155+AC155*AI155</f>
        <v>0</v>
      </c>
      <c r="AE155" s="938">
        <f t="shared" si="104"/>
        <v>8.2480633526375843E-2</v>
      </c>
      <c r="AF155" s="938">
        <f t="shared" si="105"/>
        <v>0.27309544037047589</v>
      </c>
      <c r="AG155" s="938">
        <f t="shared" si="106"/>
        <v>0.35557607389685175</v>
      </c>
      <c r="AH155" s="1174">
        <f t="shared" si="102"/>
        <v>0.23196339568759192</v>
      </c>
      <c r="AI155" s="938">
        <f t="shared" si="103"/>
        <v>0.76803660431240806</v>
      </c>
      <c r="AJ155" s="227"/>
      <c r="AK155" s="227"/>
      <c r="AL155" s="227"/>
      <c r="AM155" s="227"/>
    </row>
    <row r="156" spans="1:39" ht="13.5" thickBot="1" x14ac:dyDescent="0.25">
      <c r="A156" s="328">
        <v>2035</v>
      </c>
      <c r="B156" s="346">
        <v>5.0087655684030903E-2</v>
      </c>
      <c r="C156" s="347">
        <v>0.14429369002571649</v>
      </c>
      <c r="D156" s="347">
        <v>0.35900272954605306</v>
      </c>
      <c r="E156" s="347">
        <v>0.38450027903050815</v>
      </c>
      <c r="F156" s="347">
        <v>0.36979863400429691</v>
      </c>
      <c r="G156" s="347">
        <v>0.36422899478900173</v>
      </c>
      <c r="H156" s="347">
        <v>0.35957050052268341</v>
      </c>
      <c r="I156" s="347">
        <v>0.35013464779102305</v>
      </c>
      <c r="J156" s="347">
        <v>0.34422536898066625</v>
      </c>
      <c r="K156" s="347">
        <v>0.34175111833707283</v>
      </c>
      <c r="L156" s="381">
        <v>0.33787948274431695</v>
      </c>
      <c r="M156" s="310">
        <f t="shared" si="94"/>
        <v>8.2326622843340247E-2</v>
      </c>
      <c r="N156" s="312">
        <f t="shared" si="95"/>
        <v>8.2575132193558776E-2</v>
      </c>
      <c r="O156" s="346">
        <v>5.0087655684030903E-2</v>
      </c>
      <c r="P156" s="347">
        <v>0.1693314468044731</v>
      </c>
      <c r="Q156" s="347">
        <v>0.37545358360201997</v>
      </c>
      <c r="R156" s="347">
        <v>0.38008295830317468</v>
      </c>
      <c r="S156" s="347">
        <v>0.37235324208443715</v>
      </c>
      <c r="T156" s="347">
        <v>0.36180402645146181</v>
      </c>
      <c r="U156" s="347">
        <v>0.35568090061440072</v>
      </c>
      <c r="V156" s="347">
        <v>0.34702713014419945</v>
      </c>
      <c r="W156" s="347">
        <v>0.34422536898066625</v>
      </c>
      <c r="X156" s="347">
        <v>0.34175111833707283</v>
      </c>
      <c r="Y156" s="381">
        <v>0.33787948274431695</v>
      </c>
      <c r="Z156" s="310">
        <f t="shared" si="96"/>
        <v>0.27330326350143541</v>
      </c>
      <c r="AA156" s="312">
        <f t="shared" si="97"/>
        <v>0.26601167539799692</v>
      </c>
      <c r="AB156" s="949">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50">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8">
        <f t="shared" si="107"/>
        <v>0</v>
      </c>
      <c r="AE156" s="938">
        <f t="shared" si="104"/>
        <v>8.2326622843340247E-2</v>
      </c>
      <c r="AF156" s="938">
        <f t="shared" si="105"/>
        <v>0.27330326350143541</v>
      </c>
      <c r="AG156" s="938">
        <f t="shared" si="106"/>
        <v>0.35562988634477566</v>
      </c>
      <c r="AH156" s="1174">
        <f t="shared" si="102"/>
        <v>0.23149523143149539</v>
      </c>
      <c r="AI156" s="938">
        <f t="shared" si="103"/>
        <v>0.76850476856850458</v>
      </c>
      <c r="AJ156" s="227"/>
      <c r="AK156" s="227"/>
      <c r="AL156" s="227"/>
      <c r="AM156" s="227"/>
    </row>
    <row r="157" spans="1:39" x14ac:dyDescent="0.2">
      <c r="A157" s="329">
        <v>2036</v>
      </c>
      <c r="B157" s="342">
        <v>5.0088184480627566E-2</v>
      </c>
      <c r="C157" s="343">
        <v>0.15084455250322185</v>
      </c>
      <c r="D157" s="343">
        <v>0.36465874055926467</v>
      </c>
      <c r="E157" s="343">
        <v>0.37982920519558772</v>
      </c>
      <c r="F157" s="343">
        <v>0.37354892764547931</v>
      </c>
      <c r="G157" s="343">
        <v>0.3643332767307243</v>
      </c>
      <c r="H157" s="343">
        <v>0.35579142023351612</v>
      </c>
      <c r="I157" s="343">
        <v>0.35024840918335171</v>
      </c>
      <c r="J157" s="343">
        <v>0.34434150672451286</v>
      </c>
      <c r="K157" s="343">
        <v>0.34186820729354922</v>
      </c>
      <c r="L157" s="379">
        <v>0.3379655391586624</v>
      </c>
      <c r="M157" s="282">
        <f t="shared" si="94"/>
        <v>8.2116989909123403E-2</v>
      </c>
      <c r="N157" s="284">
        <f t="shared" si="95"/>
        <v>8.2425418178232943E-2</v>
      </c>
      <c r="O157" s="342">
        <v>5.0088184480627566E-2</v>
      </c>
      <c r="P157" s="343">
        <v>0.176525109641304</v>
      </c>
      <c r="Q157" s="343">
        <v>0.37549352411899872</v>
      </c>
      <c r="R157" s="343">
        <v>0.38015996254667872</v>
      </c>
      <c r="S157" s="343">
        <v>0.37244973231698525</v>
      </c>
      <c r="T157" s="343">
        <v>0.36191062120509876</v>
      </c>
      <c r="U157" s="343">
        <v>0.35214474743398327</v>
      </c>
      <c r="V157" s="343">
        <v>0.34714215956636929</v>
      </c>
      <c r="W157" s="343">
        <v>0.34434150672451286</v>
      </c>
      <c r="X157" s="343">
        <v>0.33974522174924671</v>
      </c>
      <c r="Y157" s="379">
        <v>0.33783460102754159</v>
      </c>
      <c r="Z157" s="282">
        <f t="shared" si="96"/>
        <v>0.27247483720106386</v>
      </c>
      <c r="AA157" s="284">
        <f t="shared" si="97"/>
        <v>0.26543173197493702</v>
      </c>
      <c r="AB157" s="949">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50">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8">
        <f t="shared" si="107"/>
        <v>0</v>
      </c>
      <c r="AE157" s="938">
        <f t="shared" si="104"/>
        <v>8.2116989909123403E-2</v>
      </c>
      <c r="AF157" s="938">
        <f t="shared" si="105"/>
        <v>0.27247483720106386</v>
      </c>
      <c r="AG157" s="938">
        <f t="shared" si="106"/>
        <v>0.35459182711018727</v>
      </c>
      <c r="AH157" s="1174">
        <f t="shared" si="102"/>
        <v>0.23158173322366521</v>
      </c>
      <c r="AI157" s="938">
        <f t="shared" si="103"/>
        <v>0.76841826677633474</v>
      </c>
      <c r="AJ157" s="227"/>
      <c r="AK157" s="227"/>
      <c r="AL157" s="227"/>
      <c r="AM157" s="227"/>
    </row>
    <row r="158" spans="1:39" x14ac:dyDescent="0.2">
      <c r="A158" s="330">
        <v>2037</v>
      </c>
      <c r="B158" s="344">
        <v>5.0088379016833377E-2</v>
      </c>
      <c r="C158" s="345">
        <v>0.1508451383644826</v>
      </c>
      <c r="D158" s="345">
        <v>0.36468597021909821</v>
      </c>
      <c r="E158" s="345">
        <v>0.37990147326665336</v>
      </c>
      <c r="F158" s="345">
        <v>0.3736416333757826</v>
      </c>
      <c r="G158" s="345">
        <v>0.36443710475219204</v>
      </c>
      <c r="H158" s="345">
        <v>0.35590167289002117</v>
      </c>
      <c r="I158" s="345">
        <v>0.35036200896166925</v>
      </c>
      <c r="J158" s="345">
        <v>0.34445757337354421</v>
      </c>
      <c r="K158" s="345">
        <v>0.34198526222667358</v>
      </c>
      <c r="L158" s="380">
        <v>0.33797811232089608</v>
      </c>
      <c r="M158" s="296">
        <f t="shared" si="94"/>
        <v>8.2138949818103227E-2</v>
      </c>
      <c r="N158" s="298">
        <f t="shared" si="95"/>
        <v>8.2446707258414839E-2</v>
      </c>
      <c r="O158" s="344">
        <v>5.0088379016833377E-2</v>
      </c>
      <c r="P158" s="345">
        <v>0.17652585730060491</v>
      </c>
      <c r="Q158" s="345">
        <v>0.37553165380150549</v>
      </c>
      <c r="R158" s="345">
        <v>0.3802358543235666</v>
      </c>
      <c r="S158" s="345">
        <v>0.37254555419179242</v>
      </c>
      <c r="T158" s="345">
        <v>0.36201682600418933</v>
      </c>
      <c r="U158" s="345">
        <v>0.35225664607215434</v>
      </c>
      <c r="V158" s="345">
        <v>0.34725707532366856</v>
      </c>
      <c r="W158" s="345">
        <v>0.34445757337354421</v>
      </c>
      <c r="X158" s="345">
        <v>0.33986307121364395</v>
      </c>
      <c r="Y158" s="380">
        <v>0.3376012165341965</v>
      </c>
      <c r="Z158" s="296">
        <f t="shared" si="96"/>
        <v>0.27253867623940004</v>
      </c>
      <c r="AA158" s="298">
        <f t="shared" si="97"/>
        <v>0.26549776501765343</v>
      </c>
      <c r="AB158" s="949">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50">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8">
        <f t="shared" si="107"/>
        <v>0</v>
      </c>
      <c r="AE158" s="938">
        <f t="shared" si="104"/>
        <v>8.2138949818103227E-2</v>
      </c>
      <c r="AF158" s="938">
        <f t="shared" si="105"/>
        <v>0.27253867623940004</v>
      </c>
      <c r="AG158" s="938">
        <f t="shared" si="106"/>
        <v>0.35467762605750325</v>
      </c>
      <c r="AH158" s="1174">
        <f t="shared" si="102"/>
        <v>0.23158762713942996</v>
      </c>
      <c r="AI158" s="938">
        <f t="shared" si="103"/>
        <v>0.76841237286057007</v>
      </c>
      <c r="AJ158" s="227"/>
      <c r="AK158" s="227"/>
      <c r="AL158" s="227"/>
      <c r="AM158" s="227"/>
    </row>
    <row r="159" spans="1:39" x14ac:dyDescent="0.2">
      <c r="A159" s="330">
        <v>2038</v>
      </c>
      <c r="B159" s="344">
        <v>5.008845058308424E-2</v>
      </c>
      <c r="C159" s="345">
        <v>0.15084535389194084</v>
      </c>
      <c r="D159" s="345">
        <v>0.3647127907825532</v>
      </c>
      <c r="E159" s="345">
        <v>0.37997415896757647</v>
      </c>
      <c r="F159" s="345">
        <v>0.37373517327171268</v>
      </c>
      <c r="G159" s="345">
        <v>0.36454201145223031</v>
      </c>
      <c r="H159" s="345">
        <v>0.35601315519327792</v>
      </c>
      <c r="I159" s="345">
        <v>0.35047692040972667</v>
      </c>
      <c r="J159" s="345">
        <v>0.34457501737070179</v>
      </c>
      <c r="K159" s="345">
        <v>0.34210372118203519</v>
      </c>
      <c r="L159" s="380">
        <v>0.33720527923682159</v>
      </c>
      <c r="M159" s="296">
        <f t="shared" si="94"/>
        <v>8.2148606093147919E-2</v>
      </c>
      <c r="N159" s="298">
        <f t="shared" si="95"/>
        <v>8.2462299214624377E-2</v>
      </c>
      <c r="O159" s="344">
        <v>5.008845058308424E-2</v>
      </c>
      <c r="P159" s="345">
        <v>0.17651400540314538</v>
      </c>
      <c r="Q159" s="345">
        <v>0.37556955431163691</v>
      </c>
      <c r="R159" s="345">
        <v>0.3803122334377288</v>
      </c>
      <c r="S159" s="345">
        <v>0.37264203028093817</v>
      </c>
      <c r="T159" s="345">
        <v>0.36212245010969529</v>
      </c>
      <c r="U159" s="345">
        <v>0.35311178437447754</v>
      </c>
      <c r="V159" s="345">
        <v>0.34736476420599438</v>
      </c>
      <c r="W159" s="345">
        <v>0.3445617321333157</v>
      </c>
      <c r="X159" s="345">
        <v>0.33986539292826995</v>
      </c>
      <c r="Y159" s="380">
        <v>0.3362817462612418</v>
      </c>
      <c r="Z159" s="296">
        <f t="shared" si="96"/>
        <v>0.27271934346199633</v>
      </c>
      <c r="AA159" s="298">
        <f t="shared" si="97"/>
        <v>0.26569053786079805</v>
      </c>
      <c r="AB159" s="949">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50">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8">
        <f t="shared" si="107"/>
        <v>0</v>
      </c>
      <c r="AE159" s="938">
        <f t="shared" si="104"/>
        <v>8.2148606093147919E-2</v>
      </c>
      <c r="AF159" s="938">
        <f t="shared" si="105"/>
        <v>0.27271934346199633</v>
      </c>
      <c r="AG159" s="938">
        <f t="shared" si="106"/>
        <v>0.35486794955514422</v>
      </c>
      <c r="AH159" s="1174">
        <f t="shared" si="102"/>
        <v>0.23149063249055843</v>
      </c>
      <c r="AI159" s="938">
        <f t="shared" si="103"/>
        <v>0.76850936750944165</v>
      </c>
      <c r="AJ159" s="227"/>
      <c r="AK159" s="227"/>
      <c r="AL159" s="227"/>
      <c r="AM159" s="227"/>
    </row>
    <row r="160" spans="1:39" x14ac:dyDescent="0.2">
      <c r="A160" s="330">
        <v>2039</v>
      </c>
      <c r="B160" s="344">
        <v>5.0088476910888087E-2</v>
      </c>
      <c r="C160" s="345">
        <v>0.15652934331781446</v>
      </c>
      <c r="D160" s="345">
        <v>0.36473976665377145</v>
      </c>
      <c r="E160" s="345">
        <v>0.38004784856498924</v>
      </c>
      <c r="F160" s="345">
        <v>0.37370233741849979</v>
      </c>
      <c r="G160" s="345">
        <v>0.36284788492946618</v>
      </c>
      <c r="H160" s="345">
        <v>0.35055285225288685</v>
      </c>
      <c r="I160" s="345">
        <v>0.33741903929051525</v>
      </c>
      <c r="J160" s="345">
        <v>0.32227589246983029</v>
      </c>
      <c r="K160" s="345">
        <v>0.30933213237939394</v>
      </c>
      <c r="L160" s="380">
        <v>0.28578997885960084</v>
      </c>
      <c r="M160" s="296">
        <f t="shared" si="94"/>
        <v>7.9987413392498402E-2</v>
      </c>
      <c r="N160" s="298">
        <f t="shared" si="95"/>
        <v>8.1061233381524003E-2</v>
      </c>
      <c r="O160" s="344">
        <v>5.0088476910888087E-2</v>
      </c>
      <c r="P160" s="345">
        <v>0.18276494625083817</v>
      </c>
      <c r="Q160" s="345">
        <v>0.37222471993746076</v>
      </c>
      <c r="R160" s="345">
        <v>0.38038356068429602</v>
      </c>
      <c r="S160" s="345">
        <v>0.36801997904112221</v>
      </c>
      <c r="T160" s="345">
        <v>0.36219441223121474</v>
      </c>
      <c r="U160" s="345">
        <v>0.35317844197080117</v>
      </c>
      <c r="V160" s="345">
        <v>0.34742628475512605</v>
      </c>
      <c r="W160" s="345">
        <v>0.34455119171848131</v>
      </c>
      <c r="X160" s="345">
        <v>0.3391919513793607</v>
      </c>
      <c r="Y160" s="380">
        <v>0.33290670421241753</v>
      </c>
      <c r="Z160" s="296">
        <f t="shared" si="96"/>
        <v>0.27217343968686608</v>
      </c>
      <c r="AA160" s="298">
        <f t="shared" si="97"/>
        <v>0.26521102734929414</v>
      </c>
      <c r="AB160" s="949">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50">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8">
        <f t="shared" si="107"/>
        <v>0</v>
      </c>
      <c r="AE160" s="938">
        <f t="shared" si="104"/>
        <v>7.9987413392498402E-2</v>
      </c>
      <c r="AF160" s="938">
        <f t="shared" si="105"/>
        <v>0.27217343968686608</v>
      </c>
      <c r="AG160" s="938">
        <f t="shared" si="106"/>
        <v>0.35216085307936451</v>
      </c>
      <c r="AH160" s="1174">
        <f t="shared" si="102"/>
        <v>0.22713317704984118</v>
      </c>
      <c r="AI160" s="938">
        <f t="shared" si="103"/>
        <v>0.77286682295015874</v>
      </c>
      <c r="AJ160" s="227"/>
      <c r="AK160" s="227"/>
      <c r="AL160" s="227"/>
      <c r="AM160" s="227"/>
    </row>
    <row r="161" spans="1:48" ht="13.5" thickBot="1" x14ac:dyDescent="0.25">
      <c r="A161" s="328">
        <v>2040</v>
      </c>
      <c r="B161" s="346">
        <v>5.0088486596352823E-2</v>
      </c>
      <c r="C161" s="347">
        <v>0.15652937358544339</v>
      </c>
      <c r="D161" s="347">
        <v>0.3696646808884082</v>
      </c>
      <c r="E161" s="347">
        <v>0.37713509164280412</v>
      </c>
      <c r="F161" s="347">
        <v>0.35957442828661546</v>
      </c>
      <c r="G161" s="347">
        <v>0.33096974595468748</v>
      </c>
      <c r="H161" s="347">
        <v>0.31791968764396855</v>
      </c>
      <c r="I161" s="347">
        <v>0.3001884828627347</v>
      </c>
      <c r="J161" s="347">
        <v>0.284913985693729</v>
      </c>
      <c r="K161" s="347">
        <v>0.27752155758189101</v>
      </c>
      <c r="L161" s="381">
        <v>0.25956543311559216</v>
      </c>
      <c r="M161" s="310">
        <f t="shared" si="94"/>
        <v>7.3837283360116565E-2</v>
      </c>
      <c r="N161" s="312">
        <f t="shared" si="95"/>
        <v>7.5722709143171085E-2</v>
      </c>
      <c r="O161" s="346">
        <v>5.0088486596352823E-2</v>
      </c>
      <c r="P161" s="347">
        <v>0.18275058643089187</v>
      </c>
      <c r="Q161" s="347">
        <v>0.37224971502420562</v>
      </c>
      <c r="R161" s="347">
        <v>0.38040380688407577</v>
      </c>
      <c r="S161" s="347">
        <v>0.36803068537270095</v>
      </c>
      <c r="T161" s="347">
        <v>0.35811064285514854</v>
      </c>
      <c r="U161" s="347">
        <v>0.35318620666936601</v>
      </c>
      <c r="V161" s="347">
        <v>0.34728475100426748</v>
      </c>
      <c r="W161" s="347">
        <v>0.34347424091935819</v>
      </c>
      <c r="X161" s="347">
        <v>0.3362471363125602</v>
      </c>
      <c r="Y161" s="381">
        <v>0.32551798667295528</v>
      </c>
      <c r="Z161" s="310">
        <f t="shared" si="96"/>
        <v>0.27091239501669134</v>
      </c>
      <c r="AA161" s="312">
        <f t="shared" si="97"/>
        <v>0.26417210109807115</v>
      </c>
      <c r="AB161" s="949">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50">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8">
        <f t="shared" si="107"/>
        <v>0</v>
      </c>
      <c r="AE161" s="938">
        <f t="shared" si="104"/>
        <v>7.3837283360116565E-2</v>
      </c>
      <c r="AF161" s="938">
        <f t="shared" si="105"/>
        <v>0.27091239501669134</v>
      </c>
      <c r="AG161" s="938">
        <f t="shared" si="106"/>
        <v>0.34474967837680792</v>
      </c>
      <c r="AH161" s="1174">
        <f t="shared" si="102"/>
        <v>0.2141765112233496</v>
      </c>
      <c r="AI161" s="938">
        <f t="shared" si="103"/>
        <v>0.78582348877665031</v>
      </c>
      <c r="AJ161" s="227"/>
      <c r="AK161" s="227"/>
      <c r="AL161" s="227"/>
      <c r="AM161" s="227"/>
    </row>
    <row r="162" spans="1:48" x14ac:dyDescent="0.2">
      <c r="A162" s="329">
        <v>2041</v>
      </c>
      <c r="B162" s="342">
        <v>5.0088490159437109E-2</v>
      </c>
      <c r="C162" s="343">
        <v>0.15652938472028474</v>
      </c>
      <c r="D162" s="343">
        <v>0.36720172954082059</v>
      </c>
      <c r="E162" s="343">
        <v>0.35381561661070132</v>
      </c>
      <c r="F162" s="343">
        <v>0.32890232571164396</v>
      </c>
      <c r="G162" s="343">
        <v>0.3062139926743121</v>
      </c>
      <c r="H162" s="343">
        <v>0.29232205147263662</v>
      </c>
      <c r="I162" s="343">
        <v>0.27874403714042884</v>
      </c>
      <c r="J162" s="343">
        <v>0.26896004289986625</v>
      </c>
      <c r="K162" s="343">
        <v>0.26219442583114039</v>
      </c>
      <c r="L162" s="379">
        <v>0.24611633274543987</v>
      </c>
      <c r="M162" s="282">
        <f t="shared" si="94"/>
        <v>6.8486481309304958E-2</v>
      </c>
      <c r="N162" s="284">
        <f t="shared" si="95"/>
        <v>7.0374204645847732E-2</v>
      </c>
      <c r="O162" s="342">
        <v>5.0088490159437109E-2</v>
      </c>
      <c r="P162" s="343">
        <v>0.18271269417943947</v>
      </c>
      <c r="Q162" s="343">
        <v>0.36860074185112285</v>
      </c>
      <c r="R162" s="343">
        <v>0.37538905415827223</v>
      </c>
      <c r="S162" s="343">
        <v>0.36782712707665</v>
      </c>
      <c r="T162" s="343">
        <v>0.35787471492513884</v>
      </c>
      <c r="U162" s="343">
        <v>0.35262319022920013</v>
      </c>
      <c r="V162" s="343">
        <v>0.3451675196781388</v>
      </c>
      <c r="W162" s="343">
        <v>0.33642506114961657</v>
      </c>
      <c r="X162" s="343">
        <v>0.32811510201075794</v>
      </c>
      <c r="Y162" s="379">
        <v>0.31615244837545553</v>
      </c>
      <c r="Z162" s="282">
        <f t="shared" si="96"/>
        <v>0.26932111864918284</v>
      </c>
      <c r="AA162" s="284">
        <f t="shared" si="97"/>
        <v>0.26289117095202802</v>
      </c>
      <c r="AB162" s="949">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50">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8">
        <f t="shared" si="107"/>
        <v>0</v>
      </c>
      <c r="AE162" s="938">
        <f t="shared" si="104"/>
        <v>6.8486481309304958E-2</v>
      </c>
      <c r="AF162" s="938">
        <f t="shared" si="105"/>
        <v>0.26932111864918284</v>
      </c>
      <c r="AG162" s="938">
        <f t="shared" si="106"/>
        <v>0.3378075999584878</v>
      </c>
      <c r="AH162" s="1174">
        <f t="shared" si="102"/>
        <v>0.20273813057409326</v>
      </c>
      <c r="AI162" s="938">
        <f t="shared" si="103"/>
        <v>0.79726186942590671</v>
      </c>
      <c r="AJ162" s="227"/>
      <c r="AK162" s="227"/>
      <c r="AL162" s="227"/>
      <c r="AM162" s="227"/>
    </row>
    <row r="163" spans="1:48" x14ac:dyDescent="0.2">
      <c r="A163" s="330">
        <v>2042</v>
      </c>
      <c r="B163" s="344">
        <v>5.0088491470222693E-2</v>
      </c>
      <c r="C163" s="345">
        <v>0.15652938881656436</v>
      </c>
      <c r="D163" s="345">
        <v>0.35319907463458583</v>
      </c>
      <c r="E163" s="345">
        <v>0.3303490217987437</v>
      </c>
      <c r="F163" s="345">
        <v>0.30736652593407476</v>
      </c>
      <c r="G163" s="345">
        <v>0.28847456351886491</v>
      </c>
      <c r="H163" s="345">
        <v>0.27827249278369565</v>
      </c>
      <c r="I163" s="345">
        <v>0.26878930456691447</v>
      </c>
      <c r="J163" s="345">
        <v>0.25774802025602678</v>
      </c>
      <c r="K163" s="345">
        <v>0.24953610742453688</v>
      </c>
      <c r="L163" s="380">
        <v>0.23592651663104114</v>
      </c>
      <c r="M163" s="296">
        <f t="shared" si="94"/>
        <v>6.4972251266190523E-2</v>
      </c>
      <c r="N163" s="298">
        <f t="shared" si="95"/>
        <v>6.6661479494878398E-2</v>
      </c>
      <c r="O163" s="344">
        <v>5.0088491470222693E-2</v>
      </c>
      <c r="P163" s="345">
        <v>0.19025367519920225</v>
      </c>
      <c r="Q163" s="345">
        <v>0.37193463097187768</v>
      </c>
      <c r="R163" s="345">
        <v>0.37999036498220873</v>
      </c>
      <c r="S163" s="345">
        <v>0.36731100166475722</v>
      </c>
      <c r="T163" s="345">
        <v>0.35553347163884297</v>
      </c>
      <c r="U163" s="345">
        <v>0.34758353013942045</v>
      </c>
      <c r="V163" s="345">
        <v>0.33602332548604869</v>
      </c>
      <c r="W163" s="345">
        <v>0.32666466366920355</v>
      </c>
      <c r="X163" s="345">
        <v>0.3156512995282782</v>
      </c>
      <c r="Y163" s="380">
        <v>0.30155615836632338</v>
      </c>
      <c r="Z163" s="296">
        <f t="shared" si="96"/>
        <v>0.2655664247663404</v>
      </c>
      <c r="AA163" s="298">
        <f t="shared" si="97"/>
        <v>0.26035461750591149</v>
      </c>
      <c r="AB163" s="949">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50">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8">
        <f t="shared" si="107"/>
        <v>0</v>
      </c>
      <c r="AE163" s="938">
        <f t="shared" si="104"/>
        <v>6.4972251266190523E-2</v>
      </c>
      <c r="AF163" s="938">
        <f t="shared" si="105"/>
        <v>0.2655664247663404</v>
      </c>
      <c r="AG163" s="938">
        <f t="shared" si="106"/>
        <v>0.33053867603253095</v>
      </c>
      <c r="AH163" s="1174">
        <f t="shared" si="102"/>
        <v>0.19656474711539076</v>
      </c>
      <c r="AI163" s="938">
        <f t="shared" si="103"/>
        <v>0.80343525288460915</v>
      </c>
      <c r="AJ163" s="227"/>
      <c r="AK163" s="227"/>
      <c r="AL163" s="227"/>
      <c r="AM163" s="227"/>
    </row>
    <row r="164" spans="1:48" x14ac:dyDescent="0.2">
      <c r="A164" s="330">
        <v>2043</v>
      </c>
      <c r="B164" s="344">
        <v>5.0088491952433783E-2</v>
      </c>
      <c r="C164" s="345">
        <v>0.15631618709032744</v>
      </c>
      <c r="D164" s="345">
        <v>0.33389509494059399</v>
      </c>
      <c r="E164" s="345">
        <v>0.31257293124664148</v>
      </c>
      <c r="F164" s="345">
        <v>0.29341512825159327</v>
      </c>
      <c r="G164" s="345">
        <v>0.27718983353416593</v>
      </c>
      <c r="H164" s="345">
        <v>0.26608662910714803</v>
      </c>
      <c r="I164" s="345">
        <v>0.25526700794175544</v>
      </c>
      <c r="J164" s="345">
        <v>0.2465892918518087</v>
      </c>
      <c r="K164" s="345">
        <v>0.24056373799201916</v>
      </c>
      <c r="L164" s="380">
        <v>0.22835146200480894</v>
      </c>
      <c r="M164" s="296">
        <f t="shared" si="94"/>
        <v>6.2076527076066729E-2</v>
      </c>
      <c r="N164" s="298">
        <f t="shared" si="95"/>
        <v>6.3656800038039391E-2</v>
      </c>
      <c r="O164" s="344">
        <v>5.0088491952433783E-2</v>
      </c>
      <c r="P164" s="345">
        <v>0.19020353526775918</v>
      </c>
      <c r="Q164" s="345">
        <v>0.37137537138041721</v>
      </c>
      <c r="R164" s="345">
        <v>0.37725198605271093</v>
      </c>
      <c r="S164" s="345">
        <v>0.36042383802026295</v>
      </c>
      <c r="T164" s="345">
        <v>0.34405348911998185</v>
      </c>
      <c r="U164" s="345">
        <v>0.33377372133140987</v>
      </c>
      <c r="V164" s="345">
        <v>0.32152010922755303</v>
      </c>
      <c r="W164" s="345">
        <v>0.31290380891725211</v>
      </c>
      <c r="X164" s="345">
        <v>0.30245656052832043</v>
      </c>
      <c r="Y164" s="380">
        <v>0.29173880979966904</v>
      </c>
      <c r="Z164" s="296">
        <f t="shared" si="96"/>
        <v>0.25676055434929973</v>
      </c>
      <c r="AA164" s="298">
        <f t="shared" si="97"/>
        <v>0.25252558201421016</v>
      </c>
      <c r="AB164" s="949">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50">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8">
        <f t="shared" si="107"/>
        <v>0</v>
      </c>
      <c r="AE164" s="938">
        <f t="shared" si="104"/>
        <v>6.2076527076066729E-2</v>
      </c>
      <c r="AF164" s="938">
        <f t="shared" si="105"/>
        <v>0.25676055434929973</v>
      </c>
      <c r="AG164" s="938">
        <f t="shared" si="106"/>
        <v>0.31883708142536649</v>
      </c>
      <c r="AH164" s="1174">
        <f t="shared" si="102"/>
        <v>0.19469669838449336</v>
      </c>
      <c r="AI164" s="938">
        <f t="shared" si="103"/>
        <v>0.80530330161550656</v>
      </c>
      <c r="AJ164" s="227"/>
      <c r="AK164" s="227"/>
      <c r="AL164" s="227"/>
      <c r="AM164" s="227"/>
    </row>
    <row r="165" spans="1:48" x14ac:dyDescent="0.2">
      <c r="A165" s="330">
        <v>2044</v>
      </c>
      <c r="B165" s="344">
        <v>5.0088492129829326E-2</v>
      </c>
      <c r="C165" s="345">
        <v>0.15497099655362165</v>
      </c>
      <c r="D165" s="345">
        <v>0.31469568655519559</v>
      </c>
      <c r="E165" s="345">
        <v>0.2945215633787624</v>
      </c>
      <c r="F165" s="345">
        <v>0.27861014409034907</v>
      </c>
      <c r="G165" s="345">
        <v>0.26434229487911631</v>
      </c>
      <c r="H165" s="345">
        <v>0.25593368512170661</v>
      </c>
      <c r="I165" s="345">
        <v>0.24568149052795532</v>
      </c>
      <c r="J165" s="345">
        <v>0.23672031744364413</v>
      </c>
      <c r="K165" s="345">
        <v>0.23206051703218677</v>
      </c>
      <c r="L165" s="380">
        <v>0.22214343396273484</v>
      </c>
      <c r="M165" s="296">
        <f t="shared" si="94"/>
        <v>5.9425498202113791E-2</v>
      </c>
      <c r="N165" s="298">
        <f t="shared" si="95"/>
        <v>6.0818589353152729E-2</v>
      </c>
      <c r="O165" s="344">
        <v>5.0088492129829326E-2</v>
      </c>
      <c r="P165" s="345">
        <v>0.18254310982020028</v>
      </c>
      <c r="Q165" s="345">
        <v>0.36853047240400688</v>
      </c>
      <c r="R165" s="345">
        <v>0.36522276001969084</v>
      </c>
      <c r="S165" s="345">
        <v>0.34571174913768726</v>
      </c>
      <c r="T165" s="345">
        <v>0.33329787834969882</v>
      </c>
      <c r="U165" s="345">
        <v>0.3194468492436866</v>
      </c>
      <c r="V165" s="345">
        <v>0.30790910581106296</v>
      </c>
      <c r="W165" s="345">
        <v>0.3009178726190147</v>
      </c>
      <c r="X165" s="345">
        <v>0.29027931243410993</v>
      </c>
      <c r="Y165" s="380">
        <v>0.28434581405509962</v>
      </c>
      <c r="Z165" s="296">
        <f t="shared" si="96"/>
        <v>0.2471962743462158</v>
      </c>
      <c r="AA165" s="298">
        <f t="shared" si="97"/>
        <v>0.24331999875673002</v>
      </c>
      <c r="AB165" s="949">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50">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8">
        <f t="shared" si="107"/>
        <v>0</v>
      </c>
      <c r="AE165" s="938">
        <f t="shared" si="104"/>
        <v>5.9425498202113791E-2</v>
      </c>
      <c r="AF165" s="938">
        <f t="shared" si="105"/>
        <v>0.2471962743462158</v>
      </c>
      <c r="AG165" s="938">
        <f t="shared" si="106"/>
        <v>0.30662177254832956</v>
      </c>
      <c r="AH165" s="1174">
        <f t="shared" si="102"/>
        <v>0.193807170665766</v>
      </c>
      <c r="AI165" s="938">
        <f t="shared" si="103"/>
        <v>0.80619282933423408</v>
      </c>
      <c r="AJ165" s="227"/>
      <c r="AK165" s="227"/>
      <c r="AL165" s="227"/>
      <c r="AM165" s="227"/>
    </row>
    <row r="166" spans="1:48" ht="13.5" thickBot="1" x14ac:dyDescent="0.25">
      <c r="A166" s="328">
        <v>2045</v>
      </c>
      <c r="B166" s="346">
        <v>5.0088492195089498E-2</v>
      </c>
      <c r="C166" s="347">
        <v>0.14933090753911754</v>
      </c>
      <c r="D166" s="347">
        <v>0.29214778881140796</v>
      </c>
      <c r="E166" s="347">
        <v>0.27606818639996128</v>
      </c>
      <c r="F166" s="347">
        <v>0.26426515556576818</v>
      </c>
      <c r="G166" s="347">
        <v>0.25338414125476366</v>
      </c>
      <c r="H166" s="347">
        <v>0.24491711350631912</v>
      </c>
      <c r="I166" s="347">
        <v>0.23641790632409146</v>
      </c>
      <c r="J166" s="347">
        <v>0.2301405062678018</v>
      </c>
      <c r="K166" s="347">
        <v>0.22570319553720483</v>
      </c>
      <c r="L166" s="381">
        <v>0.21910555109989205</v>
      </c>
      <c r="M166" s="310">
        <f t="shared" si="94"/>
        <v>5.6861664826587333E-2</v>
      </c>
      <c r="N166" s="312">
        <f t="shared" si="95"/>
        <v>5.7994628648869576E-2</v>
      </c>
      <c r="O166" s="346">
        <v>5.0088492195089498E-2</v>
      </c>
      <c r="P166" s="347">
        <v>0.18201874253915634</v>
      </c>
      <c r="Q166" s="347">
        <v>0.35873384831335586</v>
      </c>
      <c r="R166" s="347">
        <v>0.34620904114410844</v>
      </c>
      <c r="S166" s="347">
        <v>0.32897216805303886</v>
      </c>
      <c r="T166" s="347">
        <v>0.31784114277698489</v>
      </c>
      <c r="U166" s="347">
        <v>0.30633506012317374</v>
      </c>
      <c r="V166" s="347">
        <v>0.29721233791669688</v>
      </c>
      <c r="W166" s="347">
        <v>0.29030980970534964</v>
      </c>
      <c r="X166" s="347">
        <v>0.28243500420058287</v>
      </c>
      <c r="Y166" s="381">
        <v>0.27686986068409186</v>
      </c>
      <c r="Z166" s="310">
        <f t="shared" si="96"/>
        <v>0.23706933588094958</v>
      </c>
      <c r="AA166" s="312">
        <f t="shared" si="97"/>
        <v>0.23320942567711786</v>
      </c>
      <c r="AB166" s="949">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50">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8">
        <f t="shared" si="107"/>
        <v>0</v>
      </c>
      <c r="AE166" s="938">
        <f t="shared" si="104"/>
        <v>5.6861664826587333E-2</v>
      </c>
      <c r="AF166" s="938">
        <f t="shared" si="105"/>
        <v>0.23706933588094958</v>
      </c>
      <c r="AG166" s="938">
        <f t="shared" si="106"/>
        <v>0.29393100070753692</v>
      </c>
      <c r="AH166" s="1174">
        <f t="shared" si="102"/>
        <v>0.1934524248538351</v>
      </c>
      <c r="AI166" s="938">
        <f t="shared" si="103"/>
        <v>0.80654757514616493</v>
      </c>
      <c r="AJ166" s="227"/>
      <c r="AK166" s="227"/>
      <c r="AL166" s="227"/>
      <c r="AM166" s="227"/>
    </row>
    <row r="167" spans="1:48" x14ac:dyDescent="0.2">
      <c r="A167" s="329">
        <v>2046</v>
      </c>
      <c r="B167" s="342">
        <v>5.0088492195089498E-2</v>
      </c>
      <c r="C167" s="343">
        <v>0.1461937612494337</v>
      </c>
      <c r="D167" s="343">
        <v>0.27698904853203121</v>
      </c>
      <c r="E167" s="343">
        <v>0.26483215480211009</v>
      </c>
      <c r="F167" s="343">
        <v>0.25626828044103184</v>
      </c>
      <c r="G167" s="343">
        <v>0.24725613218285133</v>
      </c>
      <c r="H167" s="343">
        <v>0.23916220974894647</v>
      </c>
      <c r="I167" s="343">
        <v>0.23327538431596456</v>
      </c>
      <c r="J167" s="343">
        <v>0.22706477288040094</v>
      </c>
      <c r="K167" s="343">
        <v>0.22270949320833389</v>
      </c>
      <c r="L167" s="379">
        <v>0.21691159348616057</v>
      </c>
      <c r="M167" s="282">
        <f t="shared" si="94"/>
        <v>5.550010669172703E-2</v>
      </c>
      <c r="N167" s="284">
        <f t="shared" si="95"/>
        <v>5.6446518563535969E-2</v>
      </c>
      <c r="O167" s="342">
        <v>5.0088492195089498E-2</v>
      </c>
      <c r="P167" s="343">
        <v>0.1813754834313103</v>
      </c>
      <c r="Q167" s="343">
        <v>0.34746869770727801</v>
      </c>
      <c r="R167" s="343">
        <v>0.33368075849542078</v>
      </c>
      <c r="S167" s="343">
        <v>0.3231270990561641</v>
      </c>
      <c r="T167" s="343">
        <v>0.30856898946917805</v>
      </c>
      <c r="U167" s="343">
        <v>0.2999491401938138</v>
      </c>
      <c r="V167" s="343">
        <v>0.29105801102639722</v>
      </c>
      <c r="W167" s="343">
        <v>0.28438531095250907</v>
      </c>
      <c r="X167" s="343">
        <v>0.27904997605984955</v>
      </c>
      <c r="Y167" s="379">
        <v>0.27368091549308654</v>
      </c>
      <c r="Z167" s="282">
        <f t="shared" si="96"/>
        <v>0.23173796624532078</v>
      </c>
      <c r="AA167" s="284">
        <f t="shared" si="97"/>
        <v>0.22777023817296274</v>
      </c>
      <c r="AB167" s="949">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50">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8">
        <f t="shared" si="107"/>
        <v>0</v>
      </c>
      <c r="AE167" s="938">
        <f t="shared" si="104"/>
        <v>5.550010669172703E-2</v>
      </c>
      <c r="AF167" s="938">
        <f t="shared" si="105"/>
        <v>0.23173796624532078</v>
      </c>
      <c r="AG167" s="938">
        <f t="shared" si="106"/>
        <v>0.28723807293704784</v>
      </c>
      <c r="AH167" s="1174">
        <f t="shared" si="102"/>
        <v>0.19321988246276336</v>
      </c>
      <c r="AI167" s="938">
        <f t="shared" si="103"/>
        <v>0.80678011753723655</v>
      </c>
      <c r="AJ167" s="227"/>
      <c r="AK167" s="227"/>
      <c r="AL167" s="227"/>
      <c r="AM167" s="227"/>
    </row>
    <row r="168" spans="1:48" x14ac:dyDescent="0.2">
      <c r="A168" s="330">
        <v>2047</v>
      </c>
      <c r="B168" s="344">
        <v>5.0088492195089498E-2</v>
      </c>
      <c r="C168" s="345">
        <v>0.13639111728877176</v>
      </c>
      <c r="D168" s="345">
        <v>0.26573845308166194</v>
      </c>
      <c r="E168" s="345">
        <v>0.25883990994019462</v>
      </c>
      <c r="F168" s="345">
        <v>0.25113761049618866</v>
      </c>
      <c r="G168" s="345">
        <v>0.24260780327917122</v>
      </c>
      <c r="H168" s="345">
        <v>0.23591369190472458</v>
      </c>
      <c r="I168" s="345">
        <v>0.22947165388635707</v>
      </c>
      <c r="J168" s="345">
        <v>0.22362361054508087</v>
      </c>
      <c r="K168" s="345">
        <v>0.22118689455016979</v>
      </c>
      <c r="L168" s="380">
        <v>0.21554375404547885</v>
      </c>
      <c r="M168" s="296">
        <f t="shared" si="94"/>
        <v>5.4576715676245321E-2</v>
      </c>
      <c r="N168" s="298">
        <f t="shared" si="95"/>
        <v>5.5394024044566094E-2</v>
      </c>
      <c r="O168" s="344">
        <v>5.0088492195089498E-2</v>
      </c>
      <c r="P168" s="345">
        <v>0.17394290191638995</v>
      </c>
      <c r="Q168" s="345">
        <v>0.33874857347419013</v>
      </c>
      <c r="R168" s="345">
        <v>0.32551552601851713</v>
      </c>
      <c r="S168" s="345">
        <v>0.3154616259571425</v>
      </c>
      <c r="T168" s="345">
        <v>0.30404162562456283</v>
      </c>
      <c r="U168" s="345">
        <v>0.29321334973723395</v>
      </c>
      <c r="V168" s="345">
        <v>0.28466705623562694</v>
      </c>
      <c r="W168" s="345">
        <v>0.28052786127006696</v>
      </c>
      <c r="X168" s="345">
        <v>0.27536293747744128</v>
      </c>
      <c r="Y168" s="380">
        <v>0.27022941203931333</v>
      </c>
      <c r="Z168" s="296">
        <f t="shared" si="96"/>
        <v>0.2271972844589627</v>
      </c>
      <c r="AA168" s="298">
        <f t="shared" si="97"/>
        <v>0.22311606838292808</v>
      </c>
      <c r="AB168" s="949">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50">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8">
        <f t="shared" si="107"/>
        <v>0</v>
      </c>
      <c r="AE168" s="938">
        <f t="shared" si="104"/>
        <v>5.4576715676245321E-2</v>
      </c>
      <c r="AF168" s="938">
        <f t="shared" si="105"/>
        <v>0.2271972844589627</v>
      </c>
      <c r="AG168" s="938">
        <f t="shared" si="106"/>
        <v>0.28177400013520804</v>
      </c>
      <c r="AH168" s="1174">
        <f t="shared" si="102"/>
        <v>0.19368967914022203</v>
      </c>
      <c r="AI168" s="938">
        <f t="shared" si="103"/>
        <v>0.80631032085977794</v>
      </c>
      <c r="AJ168" s="227"/>
      <c r="AK168" s="227"/>
      <c r="AL168" s="227"/>
      <c r="AM168" s="227"/>
    </row>
    <row r="169" spans="1:48" x14ac:dyDescent="0.2">
      <c r="A169" s="330">
        <v>2048</v>
      </c>
      <c r="B169" s="344">
        <v>5.0088492195089498E-2</v>
      </c>
      <c r="C169" s="345">
        <v>0.12724784080465634</v>
      </c>
      <c r="D169" s="345">
        <v>0.25503559889995148</v>
      </c>
      <c r="E169" s="345">
        <v>0.25284041206892344</v>
      </c>
      <c r="F169" s="345">
        <v>0.24608186771675156</v>
      </c>
      <c r="G169" s="345">
        <v>0.23975413031946799</v>
      </c>
      <c r="H169" s="345">
        <v>0.23336680055104811</v>
      </c>
      <c r="I169" s="345">
        <v>0.22784692530266937</v>
      </c>
      <c r="J169" s="345">
        <v>0.22208551709378266</v>
      </c>
      <c r="K169" s="345">
        <v>0.21954181484395929</v>
      </c>
      <c r="L169" s="380">
        <v>0.21423816434777182</v>
      </c>
      <c r="M169" s="296">
        <f t="shared" si="94"/>
        <v>5.3854945359045149E-2</v>
      </c>
      <c r="N169" s="298">
        <f t="shared" si="95"/>
        <v>5.4521173180915657E-2</v>
      </c>
      <c r="O169" s="344">
        <v>5.0088492195089498E-2</v>
      </c>
      <c r="P169" s="345">
        <v>0.17240053748643497</v>
      </c>
      <c r="Q169" s="345">
        <v>0.33126784323834862</v>
      </c>
      <c r="R169" s="345">
        <v>0.31787002553821803</v>
      </c>
      <c r="S169" s="345">
        <v>0.31126623209468413</v>
      </c>
      <c r="T169" s="345">
        <v>0.30017383747717752</v>
      </c>
      <c r="U169" s="345">
        <v>0.28962062351068235</v>
      </c>
      <c r="V169" s="345">
        <v>0.28131772729609239</v>
      </c>
      <c r="W169" s="345">
        <v>0.27731565700183081</v>
      </c>
      <c r="X169" s="345">
        <v>0.27231092307502686</v>
      </c>
      <c r="Y169" s="380">
        <v>0.26741742355989423</v>
      </c>
      <c r="Z169" s="296">
        <f t="shared" si="96"/>
        <v>0.22424696273962272</v>
      </c>
      <c r="AA169" s="298">
        <f t="shared" si="97"/>
        <v>0.22008040091208095</v>
      </c>
      <c r="AB169" s="949">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50">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8">
        <f t="shared" si="107"/>
        <v>0</v>
      </c>
      <c r="AE169" s="938">
        <f t="shared" si="104"/>
        <v>5.3854945359045149E-2</v>
      </c>
      <c r="AF169" s="938">
        <f t="shared" si="105"/>
        <v>0.22424696273962272</v>
      </c>
      <c r="AG169" s="938">
        <f t="shared" si="106"/>
        <v>0.27810190809866786</v>
      </c>
      <c r="AH169" s="1174">
        <f t="shared" si="102"/>
        <v>0.19365183693719187</v>
      </c>
      <c r="AI169" s="938">
        <f t="shared" si="103"/>
        <v>0.8063481630628081</v>
      </c>
      <c r="AJ169" s="227"/>
      <c r="AK169" s="227"/>
      <c r="AL169" s="227"/>
      <c r="AM169" s="227"/>
    </row>
    <row r="170" spans="1:48" x14ac:dyDescent="0.2">
      <c r="A170" s="330">
        <v>2049</v>
      </c>
      <c r="B170" s="344">
        <v>5.0088492195089498E-2</v>
      </c>
      <c r="C170" s="345">
        <v>0.12043576086137758</v>
      </c>
      <c r="D170" s="345">
        <v>0.25023607927177827</v>
      </c>
      <c r="E170" s="345">
        <v>0.24670981642403675</v>
      </c>
      <c r="F170" s="345">
        <v>0.24424075912552329</v>
      </c>
      <c r="G170" s="345">
        <v>0.2371028496808556</v>
      </c>
      <c r="H170" s="345">
        <v>0.23103657528263999</v>
      </c>
      <c r="I170" s="345">
        <v>0.22582859490789406</v>
      </c>
      <c r="J170" s="345">
        <v>0.22180896834204866</v>
      </c>
      <c r="K170" s="345">
        <v>0.21810002975130832</v>
      </c>
      <c r="L170" s="380">
        <v>0.21411220438816503</v>
      </c>
      <c r="M170" s="296">
        <f t="shared" si="94"/>
        <v>5.3313105431194469E-2</v>
      </c>
      <c r="N170" s="298">
        <f t="shared" si="95"/>
        <v>5.3880118477456537E-2</v>
      </c>
      <c r="O170" s="344">
        <v>5.0088492195089498E-2</v>
      </c>
      <c r="P170" s="345">
        <v>0.16916066916617756</v>
      </c>
      <c r="Q170" s="345">
        <v>0.32438899715962105</v>
      </c>
      <c r="R170" s="345">
        <v>0.31452842871508718</v>
      </c>
      <c r="S170" s="345">
        <v>0.3054589841431512</v>
      </c>
      <c r="T170" s="345">
        <v>0.29493242033700817</v>
      </c>
      <c r="U170" s="345">
        <v>0.28709305014607756</v>
      </c>
      <c r="V170" s="345">
        <v>0.27896184176719807</v>
      </c>
      <c r="W170" s="345">
        <v>0.27501928840037415</v>
      </c>
      <c r="X170" s="345">
        <v>0.26945268672850675</v>
      </c>
      <c r="Y170" s="380">
        <v>0.26526255076510719</v>
      </c>
      <c r="Z170" s="296">
        <f t="shared" si="96"/>
        <v>0.22148367506116906</v>
      </c>
      <c r="AA170" s="298">
        <f t="shared" si="97"/>
        <v>0.21718740175441809</v>
      </c>
      <c r="AB170" s="949">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50">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8">
        <f t="shared" si="107"/>
        <v>0</v>
      </c>
      <c r="AE170" s="938">
        <f t="shared" si="104"/>
        <v>5.3313105431194469E-2</v>
      </c>
      <c r="AF170" s="938">
        <f t="shared" si="105"/>
        <v>0.22148367506116906</v>
      </c>
      <c r="AG170" s="938">
        <f t="shared" si="106"/>
        <v>0.27479678049236356</v>
      </c>
      <c r="AH170" s="1174">
        <f t="shared" si="102"/>
        <v>0.19400920686068959</v>
      </c>
      <c r="AI170" s="938">
        <f t="shared" si="103"/>
        <v>0.80599079313931032</v>
      </c>
      <c r="AJ170" s="227"/>
      <c r="AK170" s="227"/>
      <c r="AL170" s="227"/>
      <c r="AM170" s="227"/>
    </row>
    <row r="171" spans="1:48" ht="13.5" thickBot="1" x14ac:dyDescent="0.25">
      <c r="A171" s="328">
        <v>2050</v>
      </c>
      <c r="B171" s="346">
        <v>5.0088492195089498E-2</v>
      </c>
      <c r="C171" s="347">
        <v>0.11018145063421442</v>
      </c>
      <c r="D171" s="347">
        <v>0.24229831374520333</v>
      </c>
      <c r="E171" s="347">
        <v>0.24484930088946374</v>
      </c>
      <c r="F171" s="347">
        <v>0.24277384359997031</v>
      </c>
      <c r="G171" s="347">
        <v>0.235350768977938</v>
      </c>
      <c r="H171" s="347">
        <v>0.23092744622899039</v>
      </c>
      <c r="I171" s="347">
        <v>0.22571604906818904</v>
      </c>
      <c r="J171" s="347">
        <v>0.22030835959383416</v>
      </c>
      <c r="K171" s="347">
        <v>0.21798243461647387</v>
      </c>
      <c r="L171" s="381">
        <v>0.2128800414457073</v>
      </c>
      <c r="M171" s="310">
        <f t="shared" si="94"/>
        <v>5.3082863316156796E-2</v>
      </c>
      <c r="N171" s="312">
        <f t="shared" si="95"/>
        <v>5.3553557872844548E-2</v>
      </c>
      <c r="O171" s="346">
        <v>5.0073062409414233E-2</v>
      </c>
      <c r="P171" s="347">
        <v>0.16576629555445996</v>
      </c>
      <c r="Q171" s="347">
        <v>0.32164162654299461</v>
      </c>
      <c r="R171" s="347">
        <v>0.30931093900461515</v>
      </c>
      <c r="S171" s="347">
        <v>0.30094302921115629</v>
      </c>
      <c r="T171" s="347">
        <v>0.29071705115173019</v>
      </c>
      <c r="U171" s="347">
        <v>0.28552914580139566</v>
      </c>
      <c r="V171" s="347">
        <v>0.27533968699186984</v>
      </c>
      <c r="W171" s="347">
        <v>0.27154069627478905</v>
      </c>
      <c r="X171" s="347">
        <v>0.26807992677205611</v>
      </c>
      <c r="Y171" s="381">
        <v>0.26223998884157745</v>
      </c>
      <c r="Z171" s="310">
        <f t="shared" si="96"/>
        <v>0.21907687995065209</v>
      </c>
      <c r="AA171" s="312">
        <f t="shared" si="97"/>
        <v>0.2147098688779617</v>
      </c>
      <c r="AB171" s="951">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2">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9">
        <f t="shared" si="107"/>
        <v>0</v>
      </c>
      <c r="AE171" s="938">
        <f t="shared" si="104"/>
        <v>5.3082863316156796E-2</v>
      </c>
      <c r="AF171" s="938">
        <f t="shared" si="105"/>
        <v>0.21907687995065209</v>
      </c>
      <c r="AG171" s="938">
        <f t="shared" si="106"/>
        <v>0.27215974326680886</v>
      </c>
      <c r="AH171" s="1174">
        <f t="shared" si="102"/>
        <v>0.19504303861764591</v>
      </c>
      <c r="AI171" s="938">
        <f t="shared" si="103"/>
        <v>0.80495696138235417</v>
      </c>
      <c r="AJ171" s="227"/>
      <c r="AK171" s="227"/>
      <c r="AL171" s="227"/>
      <c r="AM171" s="227"/>
    </row>
    <row r="172" spans="1:48" x14ac:dyDescent="0.2">
      <c r="B172" s="227" t="str">
        <f>B$120</f>
        <v>Output generated: 4/26/2020 19:05</v>
      </c>
      <c r="O172" s="227" t="str">
        <f>U$120</f>
        <v>Output generated: 4/26/2020 19:05</v>
      </c>
      <c r="W172" s="323"/>
      <c r="X172" s="323"/>
      <c r="Y172" s="323"/>
      <c r="AE172" s="938"/>
      <c r="AF172" s="938"/>
      <c r="AG172" s="938"/>
      <c r="AH172" s="938"/>
      <c r="AI172" s="938"/>
      <c r="AJ172" s="227"/>
      <c r="AK172" s="227"/>
      <c r="AL172" s="227"/>
      <c r="AM172" s="227"/>
    </row>
    <row r="173" spans="1:48" ht="13.5" thickBot="1" x14ac:dyDescent="0.25">
      <c r="W173" s="323"/>
      <c r="X173" s="323"/>
      <c r="Y173" s="323"/>
      <c r="AE173" s="938"/>
      <c r="AF173" s="938"/>
      <c r="AG173" s="938"/>
      <c r="AH173" s="938"/>
      <c r="AI173" s="938"/>
      <c r="AJ173" s="227"/>
      <c r="AK173" s="227"/>
      <c r="AL173" s="227"/>
      <c r="AM173" s="227"/>
    </row>
    <row r="174" spans="1:48" ht="15" x14ac:dyDescent="0.25">
      <c r="A174" s="333"/>
      <c r="B174" s="1559" t="s">
        <v>192</v>
      </c>
      <c r="C174" s="1560"/>
      <c r="D174" s="1560"/>
      <c r="E174" s="1560"/>
      <c r="F174" s="1560"/>
      <c r="G174" s="1560"/>
      <c r="H174" s="1560"/>
      <c r="I174" s="1560"/>
      <c r="J174" s="1560"/>
      <c r="K174" s="1560"/>
      <c r="L174" s="1560"/>
      <c r="M174" s="1560"/>
      <c r="N174" s="1561"/>
      <c r="O174" s="1559" t="s">
        <v>193</v>
      </c>
      <c r="P174" s="1560"/>
      <c r="Q174" s="1560"/>
      <c r="R174" s="1560"/>
      <c r="S174" s="1560"/>
      <c r="T174" s="1560"/>
      <c r="U174" s="1560"/>
      <c r="V174" s="1560"/>
      <c r="W174" s="1560"/>
      <c r="X174" s="1560"/>
      <c r="Y174" s="1560"/>
      <c r="Z174" s="1560"/>
      <c r="AA174" s="1561"/>
      <c r="AE174" s="938"/>
      <c r="AF174" s="938"/>
      <c r="AG174" s="938"/>
      <c r="AH174" s="938"/>
      <c r="AI174" s="938"/>
      <c r="AJ174" s="227"/>
      <c r="AK174" s="227"/>
      <c r="AL174" s="227"/>
      <c r="AM174" s="227"/>
    </row>
    <row r="175" spans="1:48" x14ac:dyDescent="0.2">
      <c r="A175" s="324"/>
      <c r="B175" s="1556" t="s">
        <v>121</v>
      </c>
      <c r="C175" s="1557"/>
      <c r="D175" s="1557"/>
      <c r="E175" s="1557"/>
      <c r="F175" s="1557"/>
      <c r="G175" s="1557"/>
      <c r="H175" s="1557"/>
      <c r="I175" s="1557"/>
      <c r="J175" s="1557"/>
      <c r="K175" s="1557"/>
      <c r="L175" s="1558"/>
      <c r="M175" s="382"/>
      <c r="N175" s="325"/>
      <c r="O175" s="1556" t="s">
        <v>121</v>
      </c>
      <c r="P175" s="1557"/>
      <c r="Q175" s="1557"/>
      <c r="R175" s="1557"/>
      <c r="S175" s="1557"/>
      <c r="T175" s="1557"/>
      <c r="U175" s="1557"/>
      <c r="V175" s="1557"/>
      <c r="W175" s="1557"/>
      <c r="X175" s="1557"/>
      <c r="Y175" s="1558"/>
      <c r="Z175" s="382"/>
      <c r="AA175" s="325"/>
      <c r="AE175" s="938"/>
      <c r="AF175" s="938"/>
      <c r="AG175" s="938"/>
      <c r="AH175" s="938"/>
      <c r="AI175" s="938"/>
      <c r="AJ175" s="227"/>
      <c r="AK175" s="227"/>
      <c r="AL175" s="227"/>
      <c r="AM175" s="227"/>
    </row>
    <row r="176" spans="1:48"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4" t="s">
        <v>268</v>
      </c>
      <c r="AD176" s="234" t="b">
        <f>INDEX(TECH_OPT_FUEL2_Cls1,MATCH(RIGHT(O174),TECH_OPT_ROWS_Cls1,0))&lt;&gt;"N/A"</f>
        <v>0</v>
      </c>
      <c r="AE176" s="938"/>
      <c r="AF176" s="938"/>
      <c r="AG176" s="938"/>
      <c r="AH176" s="938"/>
      <c r="AI176" s="938"/>
      <c r="AJ176" s="227"/>
      <c r="AK176"/>
      <c r="AL176"/>
      <c r="AM176"/>
      <c r="AN176"/>
      <c r="AO176"/>
      <c r="AP176"/>
      <c r="AQ176"/>
      <c r="AR176"/>
      <c r="AS176"/>
      <c r="AT176"/>
      <c r="AU176"/>
      <c r="AV176"/>
    </row>
    <row r="177" spans="1:48" ht="14.25"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7"/>
      <c r="AC177" s="904" t="s">
        <v>269</v>
      </c>
      <c r="AD177" s="234">
        <f>MATCH(RIGHT(O174),TECH_OPT_ROWS_Cls1,0)</f>
        <v>4</v>
      </c>
      <c r="AE177" s="938"/>
      <c r="AF177" s="938"/>
      <c r="AG177" s="938"/>
      <c r="AH177" s="938"/>
      <c r="AI177" s="938"/>
      <c r="AJ177" s="227"/>
      <c r="AK177"/>
      <c r="AL177"/>
      <c r="AM177"/>
      <c r="AN177"/>
      <c r="AO177"/>
      <c r="AP177"/>
      <c r="AQ177"/>
      <c r="AR177"/>
      <c r="AS177"/>
      <c r="AT177"/>
      <c r="AU177"/>
      <c r="AV177"/>
    </row>
    <row r="178" spans="1:48" x14ac:dyDescent="0.2">
      <c r="A178" s="331" t="s">
        <v>125</v>
      </c>
      <c r="B178" s="924">
        <f t="array" ref="B178:L178">TRANSPOSE(Cls1CentVMTShr)</f>
        <v>8.9762242961142352E-4</v>
      </c>
      <c r="C178" s="925">
        <v>1.2044238150123706E-3</v>
      </c>
      <c r="D178" s="925">
        <v>4.1499109643594731E-3</v>
      </c>
      <c r="E178" s="925">
        <v>1.9575808105519295E-2</v>
      </c>
      <c r="F178" s="925">
        <v>3.4523467949689302E-2</v>
      </c>
      <c r="G178" s="925">
        <v>2.7311948935134379E-2</v>
      </c>
      <c r="H178" s="925">
        <v>7.6478458482655817E-2</v>
      </c>
      <c r="I178" s="925">
        <v>3.2480526319280681E-2</v>
      </c>
      <c r="J178" s="925">
        <v>1.1772940427842455E-2</v>
      </c>
      <c r="K178" s="925">
        <v>6.0339283082965706E-3</v>
      </c>
      <c r="L178" s="926">
        <v>1.5952440951210019E-2</v>
      </c>
      <c r="M178" s="927"/>
      <c r="N178" s="928"/>
      <c r="O178" s="929">
        <f t="array" ref="O178:Y178">TRANSPOSE(Cls1NCentVMTShr)</f>
        <v>1.3589913425833078E-3</v>
      </c>
      <c r="P178" s="930">
        <v>5.8692629772239642E-3</v>
      </c>
      <c r="Q178" s="930">
        <v>1.2100393581509007E-2</v>
      </c>
      <c r="R178" s="930">
        <v>3.6555003327388577E-2</v>
      </c>
      <c r="S178" s="930">
        <v>8.3148735051829181E-2</v>
      </c>
      <c r="T178" s="930">
        <v>0.18151138394047112</v>
      </c>
      <c r="U178" s="930">
        <v>0.2383386372324876</v>
      </c>
      <c r="V178" s="930">
        <v>9.5602564448196578E-2</v>
      </c>
      <c r="W178" s="930">
        <v>2.9193025028929166E-2</v>
      </c>
      <c r="X178" s="930">
        <v>3.5209492159336005E-2</v>
      </c>
      <c r="Y178" s="931">
        <v>5.0731034221433824E-2</v>
      </c>
      <c r="Z178" s="927"/>
      <c r="AA178" s="928"/>
      <c r="AB178" s="1572" t="str">
        <f>"% of miles on f2 for Tech "&amp; RIGHT(O174)&amp;" adopters"</f>
        <v>% of miles on f2 for Tech C adopters</v>
      </c>
      <c r="AC178" s="1573"/>
      <c r="AD178" s="1574"/>
      <c r="AE178" s="938" t="s">
        <v>304</v>
      </c>
      <c r="AF178" s="938"/>
      <c r="AG178" s="938"/>
      <c r="AH178" s="1174" t="s">
        <v>310</v>
      </c>
      <c r="AI178" s="938"/>
      <c r="AJ178" s="829"/>
      <c r="AK178"/>
      <c r="AL178"/>
      <c r="AM178"/>
      <c r="AN178"/>
      <c r="AO178"/>
      <c r="AP178"/>
      <c r="AQ178"/>
      <c r="AR178"/>
      <c r="AS178"/>
      <c r="AT178"/>
      <c r="AU178"/>
      <c r="AV178"/>
    </row>
    <row r="179" spans="1:48" ht="13.5" thickBot="1" x14ac:dyDescent="0.25">
      <c r="A179" s="331" t="s">
        <v>267</v>
      </c>
      <c r="B179" s="934">
        <f t="array" ref="B179:L179">TRANSPOSE(Cls1CentVMT/OPDAYS_Cls1)</f>
        <v>51.642967609234425</v>
      </c>
      <c r="C179" s="935">
        <v>110.97733417848234</v>
      </c>
      <c r="D179" s="935">
        <v>204.40224583551472</v>
      </c>
      <c r="E179" s="935">
        <v>290.24610572847212</v>
      </c>
      <c r="F179" s="935">
        <v>364.75750419264841</v>
      </c>
      <c r="G179" s="935">
        <v>443.63126889109378</v>
      </c>
      <c r="H179" s="935">
        <v>506.78134229373978</v>
      </c>
      <c r="I179" s="935">
        <v>595.71283413609137</v>
      </c>
      <c r="J179" s="935">
        <v>682.23089916089702</v>
      </c>
      <c r="K179" s="935">
        <v>765.26438827532684</v>
      </c>
      <c r="L179" s="936">
        <v>970.27871027310334</v>
      </c>
      <c r="M179" s="932"/>
      <c r="N179" s="933"/>
      <c r="O179" s="934">
        <f t="array" ref="O179:Y179">TRANSPOSE(Cls1NCentVMT/OPDAYS_Cls1)</f>
        <v>47.924548633512046</v>
      </c>
      <c r="P179" s="935">
        <v>112.56389213862748</v>
      </c>
      <c r="Q179" s="935">
        <v>214.67280220238027</v>
      </c>
      <c r="R179" s="935">
        <v>288.30186744262801</v>
      </c>
      <c r="S179" s="935">
        <v>368.60089210549245</v>
      </c>
      <c r="T179" s="935">
        <v>447.31558789932524</v>
      </c>
      <c r="U179" s="935">
        <v>511.28831950097862</v>
      </c>
      <c r="V179" s="935">
        <v>595.73726658362273</v>
      </c>
      <c r="W179" s="935">
        <v>672.11099195240695</v>
      </c>
      <c r="X179" s="935">
        <v>757.0793017898726</v>
      </c>
      <c r="Y179" s="936">
        <v>896.16800791754974</v>
      </c>
      <c r="Z179" s="932"/>
      <c r="AA179" s="933"/>
      <c r="AB179" s="946" t="s">
        <v>187</v>
      </c>
      <c r="AC179" s="947" t="s">
        <v>15</v>
      </c>
      <c r="AD179" s="948" t="s">
        <v>18</v>
      </c>
      <c r="AE179" s="938" t="s">
        <v>187</v>
      </c>
      <c r="AF179" s="938" t="s">
        <v>15</v>
      </c>
      <c r="AG179" s="938" t="s">
        <v>18</v>
      </c>
      <c r="AH179" s="1174" t="s">
        <v>187</v>
      </c>
      <c r="AI179" s="938" t="s">
        <v>15</v>
      </c>
      <c r="AJ179" s="227"/>
      <c r="AK179"/>
      <c r="AL179"/>
      <c r="AM179"/>
      <c r="AN179"/>
      <c r="AO179"/>
      <c r="AP179"/>
      <c r="AQ179"/>
      <c r="AR179"/>
      <c r="AS179"/>
      <c r="AT179"/>
      <c r="AU179"/>
      <c r="AV179"/>
    </row>
    <row r="180" spans="1:48" ht="13.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9">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50">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8">
        <f t="shared" ref="AD180:AD205" si="112">AB180*AH180+AC180*AI180</f>
        <v>0</v>
      </c>
      <c r="AE180" s="938">
        <f t="shared" ref="AE180:AE194" si="113">SUMPRODUCT($B$74:$L$74,B180:L180)</f>
        <v>0</v>
      </c>
      <c r="AF180" s="938">
        <f t="shared" ref="AF180:AF194" si="114">SUMPRODUCT($O$74:$Y$74,O180:Y180)</f>
        <v>0</v>
      </c>
      <c r="AG180" s="938">
        <f t="shared" ref="AG180:AG194" si="115">SUM(AE180:AF180)</f>
        <v>0</v>
      </c>
      <c r="AH180" s="1174">
        <f>IF(AG180&gt;0,AE180/AG180,0)</f>
        <v>0</v>
      </c>
      <c r="AI180" s="938">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9">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50">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8">
        <f t="shared" si="112"/>
        <v>0</v>
      </c>
      <c r="AE181" s="938">
        <f t="shared" si="113"/>
        <v>0</v>
      </c>
      <c r="AF181" s="938">
        <f t="shared" si="114"/>
        <v>0</v>
      </c>
      <c r="AG181" s="938">
        <f t="shared" si="115"/>
        <v>0</v>
      </c>
      <c r="AH181" s="1174">
        <f t="shared" ref="AH181:AH223" si="116">IF(AG181&gt;0,AE181/AG181,0)</f>
        <v>0</v>
      </c>
      <c r="AI181" s="938">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9">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50">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8">
        <f t="shared" si="112"/>
        <v>0</v>
      </c>
      <c r="AE182" s="938">
        <f t="shared" si="113"/>
        <v>0</v>
      </c>
      <c r="AF182" s="938">
        <f t="shared" si="114"/>
        <v>0</v>
      </c>
      <c r="AG182" s="938">
        <f t="shared" si="115"/>
        <v>0</v>
      </c>
      <c r="AH182" s="1174">
        <f t="shared" si="116"/>
        <v>0</v>
      </c>
      <c r="AI182" s="938">
        <f t="shared" si="117"/>
        <v>0</v>
      </c>
      <c r="AJ182" s="227"/>
      <c r="AK182"/>
      <c r="AL182"/>
      <c r="AM182"/>
      <c r="AN182"/>
      <c r="AO182"/>
      <c r="AP182"/>
      <c r="AQ182"/>
      <c r="AR182"/>
      <c r="AS182"/>
      <c r="AT182"/>
      <c r="AU182"/>
      <c r="AV182"/>
    </row>
    <row r="183" spans="1:48"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9">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50">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8">
        <f t="shared" si="112"/>
        <v>0</v>
      </c>
      <c r="AE183" s="938">
        <f t="shared" si="113"/>
        <v>0</v>
      </c>
      <c r="AF183" s="938">
        <f t="shared" si="114"/>
        <v>0</v>
      </c>
      <c r="AG183" s="938">
        <f t="shared" si="115"/>
        <v>0</v>
      </c>
      <c r="AH183" s="1174">
        <f t="shared" si="116"/>
        <v>0</v>
      </c>
      <c r="AI183" s="938">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9">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50">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8">
        <f t="shared" si="112"/>
        <v>0</v>
      </c>
      <c r="AE184" s="938">
        <f t="shared" si="113"/>
        <v>0</v>
      </c>
      <c r="AF184" s="938">
        <f t="shared" si="114"/>
        <v>0</v>
      </c>
      <c r="AG184" s="938">
        <f t="shared" si="115"/>
        <v>0</v>
      </c>
      <c r="AH184" s="1174">
        <f t="shared" si="116"/>
        <v>0</v>
      </c>
      <c r="AI184" s="938">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9">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50">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8">
        <f t="shared" si="112"/>
        <v>0</v>
      </c>
      <c r="AE185" s="938">
        <f t="shared" si="113"/>
        <v>0</v>
      </c>
      <c r="AF185" s="938">
        <f t="shared" si="114"/>
        <v>0</v>
      </c>
      <c r="AG185" s="938">
        <f t="shared" si="115"/>
        <v>0</v>
      </c>
      <c r="AH185" s="1174">
        <f t="shared" si="116"/>
        <v>0</v>
      </c>
      <c r="AI185" s="938">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9">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50">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8">
        <f t="shared" si="112"/>
        <v>0</v>
      </c>
      <c r="AE186" s="938">
        <f t="shared" si="113"/>
        <v>0</v>
      </c>
      <c r="AF186" s="938">
        <f t="shared" si="114"/>
        <v>0</v>
      </c>
      <c r="AG186" s="938">
        <f t="shared" si="115"/>
        <v>0</v>
      </c>
      <c r="AH186" s="1174">
        <f t="shared" si="116"/>
        <v>0</v>
      </c>
      <c r="AI186" s="938">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9">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50">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8">
        <f t="shared" si="112"/>
        <v>0</v>
      </c>
      <c r="AE187" s="938">
        <f t="shared" si="113"/>
        <v>0</v>
      </c>
      <c r="AF187" s="938">
        <f t="shared" si="114"/>
        <v>0</v>
      </c>
      <c r="AG187" s="938">
        <f t="shared" si="115"/>
        <v>0</v>
      </c>
      <c r="AH187" s="1174">
        <f t="shared" si="116"/>
        <v>0</v>
      </c>
      <c r="AI187" s="938">
        <f t="shared" si="117"/>
        <v>0</v>
      </c>
      <c r="AJ187" s="227"/>
      <c r="AK187"/>
      <c r="AL187"/>
      <c r="AM187"/>
      <c r="AN187"/>
      <c r="AO187"/>
      <c r="AP187"/>
      <c r="AQ187"/>
      <c r="AR187"/>
      <c r="AS187"/>
      <c r="AT187"/>
      <c r="AU187"/>
      <c r="AV187"/>
    </row>
    <row r="188" spans="1:48"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9">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50">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8">
        <f t="shared" si="112"/>
        <v>0</v>
      </c>
      <c r="AE188" s="938">
        <f t="shared" si="113"/>
        <v>0</v>
      </c>
      <c r="AF188" s="938">
        <f t="shared" si="114"/>
        <v>0</v>
      </c>
      <c r="AG188" s="938">
        <f t="shared" si="115"/>
        <v>0</v>
      </c>
      <c r="AH188" s="1174">
        <f t="shared" si="116"/>
        <v>0</v>
      </c>
      <c r="AI188" s="938">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9">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50">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8">
        <f t="shared" si="112"/>
        <v>0</v>
      </c>
      <c r="AE189" s="938">
        <f t="shared" si="113"/>
        <v>0</v>
      </c>
      <c r="AF189" s="938">
        <f t="shared" si="114"/>
        <v>0</v>
      </c>
      <c r="AG189" s="938">
        <f t="shared" si="115"/>
        <v>0</v>
      </c>
      <c r="AH189" s="1174">
        <f t="shared" si="116"/>
        <v>0</v>
      </c>
      <c r="AI189" s="938">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9">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50">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8">
        <f t="shared" si="112"/>
        <v>0</v>
      </c>
      <c r="AE190" s="938">
        <f t="shared" si="113"/>
        <v>0</v>
      </c>
      <c r="AF190" s="938">
        <f t="shared" si="114"/>
        <v>0</v>
      </c>
      <c r="AG190" s="938">
        <f t="shared" si="115"/>
        <v>0</v>
      </c>
      <c r="AH190" s="1174">
        <f t="shared" si="116"/>
        <v>0</v>
      </c>
      <c r="AI190" s="938">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9">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50">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8">
        <f t="shared" si="112"/>
        <v>0</v>
      </c>
      <c r="AE191" s="938">
        <f t="shared" si="113"/>
        <v>0</v>
      </c>
      <c r="AF191" s="938">
        <f t="shared" si="114"/>
        <v>0</v>
      </c>
      <c r="AG191" s="938">
        <f t="shared" si="115"/>
        <v>0</v>
      </c>
      <c r="AH191" s="1174">
        <f t="shared" si="116"/>
        <v>0</v>
      </c>
      <c r="AI191" s="938">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9">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50">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8">
        <f t="shared" si="112"/>
        <v>0</v>
      </c>
      <c r="AE192" s="938">
        <f t="shared" si="113"/>
        <v>0</v>
      </c>
      <c r="AF192" s="938">
        <f t="shared" si="114"/>
        <v>0</v>
      </c>
      <c r="AG192" s="938">
        <f t="shared" si="115"/>
        <v>0</v>
      </c>
      <c r="AH192" s="1174">
        <f t="shared" si="116"/>
        <v>0</v>
      </c>
      <c r="AI192" s="938">
        <f t="shared" si="117"/>
        <v>0</v>
      </c>
      <c r="AJ192" s="227"/>
      <c r="AK192"/>
      <c r="AL192"/>
      <c r="AM192"/>
      <c r="AN192"/>
      <c r="AO192"/>
      <c r="AP192"/>
      <c r="AQ192"/>
      <c r="AR192"/>
      <c r="AS192"/>
      <c r="AT192"/>
      <c r="AU192"/>
      <c r="AV192"/>
    </row>
    <row r="193" spans="1:48"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9">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50">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8">
        <f t="shared" si="112"/>
        <v>0</v>
      </c>
      <c r="AE193" s="938">
        <f t="shared" si="113"/>
        <v>0</v>
      </c>
      <c r="AF193" s="938">
        <f t="shared" si="114"/>
        <v>0</v>
      </c>
      <c r="AG193" s="938">
        <f t="shared" si="115"/>
        <v>0</v>
      </c>
      <c r="AH193" s="1174">
        <f t="shared" si="116"/>
        <v>0</v>
      </c>
      <c r="AI193" s="938">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9">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50">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8">
        <f t="shared" si="112"/>
        <v>0</v>
      </c>
      <c r="AE194" s="938">
        <f t="shared" si="113"/>
        <v>0</v>
      </c>
      <c r="AF194" s="938">
        <f t="shared" si="114"/>
        <v>0</v>
      </c>
      <c r="AG194" s="938">
        <f t="shared" si="115"/>
        <v>0</v>
      </c>
      <c r="AH194" s="1174">
        <f t="shared" si="116"/>
        <v>0</v>
      </c>
      <c r="AI194" s="938">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1.4634547500128858E-4</v>
      </c>
      <c r="M195" s="296">
        <f t="shared" si="108"/>
        <v>2.334567548434838E-6</v>
      </c>
      <c r="N195" s="298">
        <f t="shared" si="109"/>
        <v>1.0999669965655736E-6</v>
      </c>
      <c r="O195" s="344">
        <v>0</v>
      </c>
      <c r="P195" s="345">
        <v>0</v>
      </c>
      <c r="Q195" s="345">
        <v>0</v>
      </c>
      <c r="R195" s="345">
        <v>0</v>
      </c>
      <c r="S195" s="345">
        <v>0</v>
      </c>
      <c r="T195" s="345">
        <v>0</v>
      </c>
      <c r="U195" s="345">
        <v>0</v>
      </c>
      <c r="V195" s="345">
        <v>0</v>
      </c>
      <c r="W195" s="345">
        <v>0</v>
      </c>
      <c r="X195" s="345">
        <v>0</v>
      </c>
      <c r="Y195" s="380">
        <v>8.805751018062431E-5</v>
      </c>
      <c r="Z195" s="296">
        <f t="shared" si="110"/>
        <v>4.4672485624275093E-6</v>
      </c>
      <c r="AA195" s="298">
        <f t="shared" si="111"/>
        <v>2.2788744242721312E-6</v>
      </c>
      <c r="AB195" s="949">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50">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8">
        <f t="shared" si="112"/>
        <v>0</v>
      </c>
      <c r="AE195" s="938">
        <f>SUMPRODUCT($B$74:$L$74,B195:L195)</f>
        <v>2.334567548434838E-6</v>
      </c>
      <c r="AF195" s="938">
        <f>SUMPRODUCT($O$74:$Y$74,O195:Y195)</f>
        <v>4.4672485624275093E-6</v>
      </c>
      <c r="AG195" s="938">
        <f>SUM(AE195:AF195)</f>
        <v>6.8018161108623473E-6</v>
      </c>
      <c r="AH195" s="1174">
        <f t="shared" si="116"/>
        <v>0.34322708970426091</v>
      </c>
      <c r="AI195" s="938">
        <f t="shared" si="117"/>
        <v>0.65677291029573903</v>
      </c>
      <c r="AJ195" s="227"/>
      <c r="AK195" s="227"/>
      <c r="AL195" s="227"/>
      <c r="AM195" s="227"/>
    </row>
    <row r="196" spans="1:48" x14ac:dyDescent="0.2">
      <c r="A196" s="330">
        <v>2023</v>
      </c>
      <c r="B196" s="344">
        <v>0</v>
      </c>
      <c r="C196" s="345">
        <v>0</v>
      </c>
      <c r="D196" s="345">
        <v>0</v>
      </c>
      <c r="E196" s="345">
        <v>0</v>
      </c>
      <c r="F196" s="345">
        <v>0</v>
      </c>
      <c r="G196" s="345">
        <v>0</v>
      </c>
      <c r="H196" s="345">
        <v>3.3431761329272329E-5</v>
      </c>
      <c r="I196" s="345">
        <v>5.501460390010145E-4</v>
      </c>
      <c r="J196" s="345">
        <v>2.3999838546455354E-3</v>
      </c>
      <c r="K196" s="345">
        <v>5.9187347527060452E-3</v>
      </c>
      <c r="L196" s="380">
        <v>2.0779327036358375E-2</v>
      </c>
      <c r="M196" s="296">
        <f t="shared" si="108"/>
        <v>4.158749181456094E-4</v>
      </c>
      <c r="N196" s="298">
        <f t="shared" si="109"/>
        <v>2.1247008156707523E-4</v>
      </c>
      <c r="O196" s="344">
        <v>0</v>
      </c>
      <c r="P196" s="345">
        <v>0</v>
      </c>
      <c r="Q196" s="345">
        <v>0</v>
      </c>
      <c r="R196" s="345">
        <v>0</v>
      </c>
      <c r="S196" s="345">
        <v>0</v>
      </c>
      <c r="T196" s="345">
        <v>0</v>
      </c>
      <c r="U196" s="345">
        <v>1.0083404275473178E-4</v>
      </c>
      <c r="V196" s="345">
        <v>8.744845560855497E-4</v>
      </c>
      <c r="W196" s="345">
        <v>3.1606217793104614E-3</v>
      </c>
      <c r="X196" s="345">
        <v>7.505590876171188E-3</v>
      </c>
      <c r="Y196" s="380">
        <v>1.8977693562647505E-2</v>
      </c>
      <c r="Z196" s="296">
        <f t="shared" si="110"/>
        <v>1.4269297898556036E-3</v>
      </c>
      <c r="AA196" s="298">
        <f t="shared" si="111"/>
        <v>7.9911307252037464E-4</v>
      </c>
      <c r="AB196" s="949">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50">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8">
        <f t="shared" si="112"/>
        <v>0</v>
      </c>
      <c r="AE196" s="938">
        <f t="shared" ref="AE196:AE223" si="118">SUMPRODUCT($B$74:$L$74,B196:L196)</f>
        <v>4.158749181456094E-4</v>
      </c>
      <c r="AF196" s="938">
        <f t="shared" ref="AF196:AF223" si="119">SUMPRODUCT($O$74:$Y$74,O196:Y196)</f>
        <v>1.4269297898556036E-3</v>
      </c>
      <c r="AG196" s="938">
        <f t="shared" ref="AG196:AG223" si="120">SUM(AE196:AF196)</f>
        <v>1.842804708001213E-3</v>
      </c>
      <c r="AH196" s="1174">
        <f t="shared" si="116"/>
        <v>0.22567498136939623</v>
      </c>
      <c r="AI196" s="938">
        <f t="shared" si="117"/>
        <v>0.77432501863060377</v>
      </c>
      <c r="AJ196" s="227"/>
      <c r="AK196" s="227"/>
      <c r="AL196" s="227"/>
      <c r="AM196" s="227"/>
    </row>
    <row r="197" spans="1:48" x14ac:dyDescent="0.2">
      <c r="A197" s="330">
        <v>2024</v>
      </c>
      <c r="B197" s="344">
        <v>0</v>
      </c>
      <c r="C197" s="345">
        <v>0</v>
      </c>
      <c r="D197" s="345">
        <v>0</v>
      </c>
      <c r="E197" s="345">
        <v>0</v>
      </c>
      <c r="F197" s="345">
        <v>0</v>
      </c>
      <c r="G197" s="345">
        <v>1.1999275232846094E-3</v>
      </c>
      <c r="H197" s="345">
        <v>5.1137707477842643E-3</v>
      </c>
      <c r="I197" s="345">
        <v>1.7485268440263668E-2</v>
      </c>
      <c r="J197" s="345">
        <v>3.2340775617501843E-2</v>
      </c>
      <c r="K197" s="345">
        <v>5.0006680452301853E-2</v>
      </c>
      <c r="L197" s="380">
        <v>8.6390796988993254E-2</v>
      </c>
      <c r="M197" s="296">
        <f t="shared" si="108"/>
        <v>3.0524232220547629E-3</v>
      </c>
      <c r="N197" s="298">
        <f t="shared" si="109"/>
        <v>1.9071389528064068E-3</v>
      </c>
      <c r="O197" s="344">
        <v>0</v>
      </c>
      <c r="P197" s="345">
        <v>0</v>
      </c>
      <c r="Q197" s="345">
        <v>0</v>
      </c>
      <c r="R197" s="345">
        <v>0</v>
      </c>
      <c r="S197" s="345">
        <v>1.3312363632301611E-4</v>
      </c>
      <c r="T197" s="345">
        <v>2.2414225096180438E-3</v>
      </c>
      <c r="U197" s="345">
        <v>7.673531345777378E-3</v>
      </c>
      <c r="V197" s="345">
        <v>2.171579668850937E-2</v>
      </c>
      <c r="W197" s="345">
        <v>3.8871932200532457E-2</v>
      </c>
      <c r="X197" s="345">
        <v>5.8422461307698667E-2</v>
      </c>
      <c r="Y197" s="380">
        <v>8.1419676770892332E-2</v>
      </c>
      <c r="Z197" s="296">
        <f t="shared" si="110"/>
        <v>1.164521651141009E-2</v>
      </c>
      <c r="AA197" s="298">
        <f t="shared" si="111"/>
        <v>7.7790694951055863E-3</v>
      </c>
      <c r="AB197" s="949">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50">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8">
        <f t="shared" si="112"/>
        <v>0</v>
      </c>
      <c r="AE197" s="938">
        <f t="shared" si="118"/>
        <v>3.0524232220547629E-3</v>
      </c>
      <c r="AF197" s="938">
        <f t="shared" si="119"/>
        <v>1.164521651141009E-2</v>
      </c>
      <c r="AG197" s="938">
        <f t="shared" si="120"/>
        <v>1.4697639733464853E-2</v>
      </c>
      <c r="AH197" s="1174">
        <f t="shared" si="116"/>
        <v>0.20768118401383473</v>
      </c>
      <c r="AI197" s="938">
        <f t="shared" si="117"/>
        <v>0.79231881598616527</v>
      </c>
      <c r="AJ197" s="227"/>
      <c r="AK197" s="227"/>
      <c r="AL197" s="227"/>
      <c r="AM197" s="227"/>
    </row>
    <row r="198" spans="1:48" ht="13.5" thickBot="1" x14ac:dyDescent="0.25">
      <c r="A198" s="328">
        <v>2025</v>
      </c>
      <c r="B198" s="346">
        <v>0</v>
      </c>
      <c r="C198" s="347">
        <v>0</v>
      </c>
      <c r="D198" s="347">
        <v>0</v>
      </c>
      <c r="E198" s="347">
        <v>0</v>
      </c>
      <c r="F198" s="347">
        <v>2.0362154513534443E-3</v>
      </c>
      <c r="G198" s="347">
        <v>1.2479266890423979E-2</v>
      </c>
      <c r="H198" s="347">
        <v>3.1881697997896273E-2</v>
      </c>
      <c r="I198" s="347">
        <v>6.2144229094564074E-2</v>
      </c>
      <c r="J198" s="347">
        <v>9.8134196051408523E-2</v>
      </c>
      <c r="K198" s="347">
        <v>0.11914354190067776</v>
      </c>
      <c r="L198" s="381">
        <v>0.17001149716769098</v>
      </c>
      <c r="M198" s="310">
        <f t="shared" si="108"/>
        <v>9.4542007081857768E-3</v>
      </c>
      <c r="N198" s="312">
        <f t="shared" si="109"/>
        <v>6.6693766690335155E-3</v>
      </c>
      <c r="O198" s="346">
        <v>0</v>
      </c>
      <c r="P198" s="347">
        <v>0</v>
      </c>
      <c r="Q198" s="347">
        <v>0</v>
      </c>
      <c r="R198" s="347">
        <v>8.9313556705107215E-5</v>
      </c>
      <c r="S198" s="347">
        <v>3.7185246750090833E-3</v>
      </c>
      <c r="T198" s="347">
        <v>2.051664809969532E-2</v>
      </c>
      <c r="U198" s="347">
        <v>4.3132581665859419E-2</v>
      </c>
      <c r="V198" s="347">
        <v>7.2774869360317532E-2</v>
      </c>
      <c r="W198" s="347">
        <v>0.10500271284443431</v>
      </c>
      <c r="X198" s="347">
        <v>0.12641094145490989</v>
      </c>
      <c r="Y198" s="381">
        <v>0.16287161166774997</v>
      </c>
      <c r="Z198" s="310">
        <f t="shared" si="110"/>
        <v>3.7052942724933313E-2</v>
      </c>
      <c r="AA198" s="312">
        <f t="shared" si="111"/>
        <v>2.7713249490767259E-2</v>
      </c>
      <c r="AB198" s="949">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50">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8">
        <f t="shared" si="112"/>
        <v>0</v>
      </c>
      <c r="AE198" s="938">
        <f t="shared" si="118"/>
        <v>9.4542007081857768E-3</v>
      </c>
      <c r="AF198" s="938">
        <f t="shared" si="119"/>
        <v>3.7052942724933313E-2</v>
      </c>
      <c r="AG198" s="938">
        <f t="shared" si="120"/>
        <v>4.650714343311909E-2</v>
      </c>
      <c r="AH198" s="1174">
        <f t="shared" si="116"/>
        <v>0.20328491518258171</v>
      </c>
      <c r="AI198" s="938">
        <f t="shared" si="117"/>
        <v>0.79671508481741826</v>
      </c>
      <c r="AJ198" s="227"/>
      <c r="AK198" s="227"/>
      <c r="AL198" s="227"/>
      <c r="AM198" s="227"/>
    </row>
    <row r="199" spans="1:48" x14ac:dyDescent="0.2">
      <c r="A199" s="329">
        <v>2026</v>
      </c>
      <c r="B199" s="342">
        <v>0</v>
      </c>
      <c r="C199" s="343">
        <v>0</v>
      </c>
      <c r="D199" s="343">
        <v>0</v>
      </c>
      <c r="E199" s="343">
        <v>1.3030873382450219E-3</v>
      </c>
      <c r="F199" s="343">
        <v>1.50680694874222E-2</v>
      </c>
      <c r="G199" s="343">
        <v>5.212570576347187E-2</v>
      </c>
      <c r="H199" s="343">
        <v>8.08814427795055E-2</v>
      </c>
      <c r="I199" s="343">
        <v>0.12664603264106608</v>
      </c>
      <c r="J199" s="343">
        <v>0.17019006863545255</v>
      </c>
      <c r="K199" s="343">
        <v>0.19602933257980526</v>
      </c>
      <c r="L199" s="379">
        <v>0.23694996296226226</v>
      </c>
      <c r="M199" s="282">
        <f t="shared" si="108"/>
        <v>1.9234978246883312E-2</v>
      </c>
      <c r="N199" s="284">
        <f t="shared" si="109"/>
        <v>1.4726292643813779E-2</v>
      </c>
      <c r="O199" s="342">
        <v>0</v>
      </c>
      <c r="P199" s="343">
        <v>0</v>
      </c>
      <c r="Q199" s="343">
        <v>0</v>
      </c>
      <c r="R199" s="343">
        <v>2.1115207917219306E-3</v>
      </c>
      <c r="S199" s="343">
        <v>2.206164003484206E-2</v>
      </c>
      <c r="T199" s="343">
        <v>6.2208581033577036E-2</v>
      </c>
      <c r="U199" s="343">
        <v>0.10339777735267996</v>
      </c>
      <c r="V199" s="343">
        <v>0.14375220954004553</v>
      </c>
      <c r="W199" s="343">
        <v>0.17019006863545255</v>
      </c>
      <c r="X199" s="343">
        <v>0.19642255445479012</v>
      </c>
      <c r="Y199" s="379">
        <v>0.22932539896094412</v>
      </c>
      <c r="Z199" s="282">
        <f t="shared" si="110"/>
        <v>7.5108130959113686E-2</v>
      </c>
      <c r="AA199" s="284">
        <f t="shared" si="111"/>
        <v>6.0009130041082055E-2</v>
      </c>
      <c r="AB199" s="949">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50">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8">
        <f t="shared" si="112"/>
        <v>0</v>
      </c>
      <c r="AE199" s="938">
        <f t="shared" si="118"/>
        <v>1.9234978246883312E-2</v>
      </c>
      <c r="AF199" s="938">
        <f t="shared" si="119"/>
        <v>7.5108130959113686E-2</v>
      </c>
      <c r="AG199" s="938">
        <f t="shared" si="120"/>
        <v>9.4343109205997006E-2</v>
      </c>
      <c r="AH199" s="1174">
        <f t="shared" si="116"/>
        <v>0.20388323438529016</v>
      </c>
      <c r="AI199" s="938">
        <f t="shared" si="117"/>
        <v>0.79611676561470979</v>
      </c>
      <c r="AJ199" s="227"/>
      <c r="AK199" s="227"/>
      <c r="AL199" s="227"/>
      <c r="AM199" s="227"/>
    </row>
    <row r="200" spans="1:48" x14ac:dyDescent="0.2">
      <c r="A200" s="330">
        <v>2027</v>
      </c>
      <c r="B200" s="344">
        <v>0</v>
      </c>
      <c r="C200" s="345">
        <v>0</v>
      </c>
      <c r="D200" s="345">
        <v>0</v>
      </c>
      <c r="E200" s="345">
        <v>9.692548412168097E-3</v>
      </c>
      <c r="F200" s="345">
        <v>5.1222822073573676E-2</v>
      </c>
      <c r="G200" s="345">
        <v>0.10283106531815991</v>
      </c>
      <c r="H200" s="345">
        <v>0.14623210974898287</v>
      </c>
      <c r="I200" s="345">
        <v>0.19290223502630041</v>
      </c>
      <c r="J200" s="345">
        <v>0.22149405140542508</v>
      </c>
      <c r="K200" s="345">
        <v>0.23994186243782367</v>
      </c>
      <c r="L200" s="380">
        <v>0.27879559723346953</v>
      </c>
      <c r="M200" s="296">
        <f t="shared" si="108"/>
        <v>3.0718716755674128E-2</v>
      </c>
      <c r="N200" s="298">
        <f t="shared" si="109"/>
        <v>2.5014085152281974E-2</v>
      </c>
      <c r="O200" s="344">
        <v>0</v>
      </c>
      <c r="P200" s="345">
        <v>0</v>
      </c>
      <c r="Q200" s="345">
        <v>4.2867388995020367E-4</v>
      </c>
      <c r="R200" s="345">
        <v>1.4649114230673103E-2</v>
      </c>
      <c r="S200" s="345">
        <v>6.136275923342898E-2</v>
      </c>
      <c r="T200" s="345">
        <v>0.11936385843312124</v>
      </c>
      <c r="U200" s="345">
        <v>0.16391021539039016</v>
      </c>
      <c r="V200" s="345">
        <v>0.20340909791098505</v>
      </c>
      <c r="W200" s="345">
        <v>0.23059287559091465</v>
      </c>
      <c r="X200" s="345">
        <v>0.24823196488542773</v>
      </c>
      <c r="Y200" s="380">
        <v>0.27180665617842314</v>
      </c>
      <c r="Z200" s="296">
        <f t="shared" si="110"/>
        <v>0.11508224703161497</v>
      </c>
      <c r="AA200" s="298">
        <f t="shared" si="111"/>
        <v>9.6075230449751359E-2</v>
      </c>
      <c r="AB200" s="949">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50">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8">
        <f t="shared" si="112"/>
        <v>0</v>
      </c>
      <c r="AE200" s="938">
        <f t="shared" si="118"/>
        <v>3.0718716755674128E-2</v>
      </c>
      <c r="AF200" s="938">
        <f t="shared" si="119"/>
        <v>0.11508224703161497</v>
      </c>
      <c r="AG200" s="938">
        <f t="shared" si="120"/>
        <v>0.1458009637872891</v>
      </c>
      <c r="AH200" s="1174">
        <f t="shared" si="116"/>
        <v>0.21068939434783202</v>
      </c>
      <c r="AI200" s="938">
        <f t="shared" si="117"/>
        <v>0.78931060565216804</v>
      </c>
      <c r="AJ200" s="227"/>
      <c r="AK200" s="227"/>
      <c r="AL200" s="227"/>
      <c r="AM200" s="227"/>
    </row>
    <row r="201" spans="1:48" x14ac:dyDescent="0.2">
      <c r="A201" s="330">
        <v>2028</v>
      </c>
      <c r="B201" s="344">
        <v>0</v>
      </c>
      <c r="C201" s="345">
        <v>0</v>
      </c>
      <c r="D201" s="345">
        <v>8.6764862663702498E-4</v>
      </c>
      <c r="E201" s="345">
        <v>3.1135552916202996E-2</v>
      </c>
      <c r="F201" s="345">
        <v>9.0335100658217746E-2</v>
      </c>
      <c r="G201" s="345">
        <v>0.15089751114217728</v>
      </c>
      <c r="H201" s="345">
        <v>0.19011839909313724</v>
      </c>
      <c r="I201" s="345">
        <v>0.22925064724040842</v>
      </c>
      <c r="J201" s="345">
        <v>0.2564288363455085</v>
      </c>
      <c r="K201" s="345">
        <v>0.27274842067742711</v>
      </c>
      <c r="L201" s="380">
        <v>0.30045731747974191</v>
      </c>
      <c r="M201" s="296">
        <f t="shared" si="108"/>
        <v>3.9296927564293267E-2</v>
      </c>
      <c r="N201" s="298">
        <f t="shared" si="109"/>
        <v>3.3218917119744451E-2</v>
      </c>
      <c r="O201" s="344">
        <v>0</v>
      </c>
      <c r="P201" s="345">
        <v>0</v>
      </c>
      <c r="Q201" s="345">
        <v>3.6796755107620944E-3</v>
      </c>
      <c r="R201" s="345">
        <v>3.8189012609148268E-2</v>
      </c>
      <c r="S201" s="345">
        <v>0.10603988296746093</v>
      </c>
      <c r="T201" s="345">
        <v>0.17025241318702497</v>
      </c>
      <c r="U201" s="345">
        <v>0.20985387030340044</v>
      </c>
      <c r="V201" s="345">
        <v>0.23792458003374237</v>
      </c>
      <c r="W201" s="345">
        <v>0.26494499472938149</v>
      </c>
      <c r="X201" s="345">
        <v>0.28043409563029775</v>
      </c>
      <c r="Y201" s="380">
        <v>0.29433060920021126</v>
      </c>
      <c r="Z201" s="296">
        <f t="shared" si="110"/>
        <v>0.14646302789954257</v>
      </c>
      <c r="AA201" s="298">
        <f t="shared" si="111"/>
        <v>0.12584386664339869</v>
      </c>
      <c r="AB201" s="949">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50">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8">
        <f t="shared" si="112"/>
        <v>0</v>
      </c>
      <c r="AE201" s="938">
        <f t="shared" si="118"/>
        <v>3.9296927564293267E-2</v>
      </c>
      <c r="AF201" s="938">
        <f t="shared" si="119"/>
        <v>0.14646302789954257</v>
      </c>
      <c r="AG201" s="938">
        <f t="shared" si="120"/>
        <v>0.18575995546383584</v>
      </c>
      <c r="AH201" s="1174">
        <f t="shared" si="116"/>
        <v>0.2115468183988862</v>
      </c>
      <c r="AI201" s="938">
        <f t="shared" si="117"/>
        <v>0.78845318160111388</v>
      </c>
      <c r="AJ201" s="227"/>
      <c r="AK201" s="227"/>
      <c r="AL201" s="227"/>
      <c r="AM201" s="227"/>
    </row>
    <row r="202" spans="1:48" x14ac:dyDescent="0.2">
      <c r="A202" s="330">
        <v>2029</v>
      </c>
      <c r="B202" s="344">
        <v>0</v>
      </c>
      <c r="C202" s="345">
        <v>0</v>
      </c>
      <c r="D202" s="345">
        <v>6.6994054569035144E-3</v>
      </c>
      <c r="E202" s="345">
        <v>7.0320170860516881E-2</v>
      </c>
      <c r="F202" s="345">
        <v>0.14309059994593207</v>
      </c>
      <c r="G202" s="345">
        <v>0.20099865462894198</v>
      </c>
      <c r="H202" s="345">
        <v>0.23091858636714718</v>
      </c>
      <c r="I202" s="345">
        <v>0.26764632030002561</v>
      </c>
      <c r="J202" s="345">
        <v>0.28387832239018246</v>
      </c>
      <c r="K202" s="345">
        <v>0.29794053926188596</v>
      </c>
      <c r="L202" s="380">
        <v>0.31466420459328254</v>
      </c>
      <c r="M202" s="296">
        <f t="shared" si="108"/>
        <v>4.8347112285912444E-2</v>
      </c>
      <c r="N202" s="298">
        <f t="shared" si="109"/>
        <v>4.2360047429984393E-2</v>
      </c>
      <c r="O202" s="344">
        <v>0</v>
      </c>
      <c r="P202" s="345">
        <v>0</v>
      </c>
      <c r="Q202" s="345">
        <v>1.7086126039294654E-2</v>
      </c>
      <c r="R202" s="345">
        <v>8.2809008562225755E-2</v>
      </c>
      <c r="S202" s="345">
        <v>0.16099066087899944</v>
      </c>
      <c r="T202" s="345">
        <v>0.21244867212365337</v>
      </c>
      <c r="U202" s="345">
        <v>0.24159901308339934</v>
      </c>
      <c r="V202" s="345">
        <v>0.26820398716744964</v>
      </c>
      <c r="W202" s="345">
        <v>0.28387832239018246</v>
      </c>
      <c r="X202" s="345">
        <v>0.29794053926188596</v>
      </c>
      <c r="Y202" s="380">
        <v>0.30972910231845807</v>
      </c>
      <c r="Z202" s="296">
        <f t="shared" si="110"/>
        <v>0.17289570297845433</v>
      </c>
      <c r="AA202" s="298">
        <f t="shared" si="111"/>
        <v>0.15240351587130302</v>
      </c>
      <c r="AB202" s="949">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50">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8">
        <f t="shared" si="112"/>
        <v>0</v>
      </c>
      <c r="AE202" s="938">
        <f t="shared" si="118"/>
        <v>4.8347112285912444E-2</v>
      </c>
      <c r="AF202" s="938">
        <f t="shared" si="119"/>
        <v>0.17289570297845433</v>
      </c>
      <c r="AG202" s="938">
        <f t="shared" si="120"/>
        <v>0.22124281526436679</v>
      </c>
      <c r="AH202" s="1174">
        <f t="shared" si="116"/>
        <v>0.21852511788073958</v>
      </c>
      <c r="AI202" s="938">
        <f t="shared" si="117"/>
        <v>0.78147488211926031</v>
      </c>
      <c r="AJ202" s="227"/>
      <c r="AK202" s="227"/>
      <c r="AL202" s="227"/>
      <c r="AM202" s="227"/>
    </row>
    <row r="203" spans="1:48" ht="13.5" thickBot="1" x14ac:dyDescent="0.25">
      <c r="A203" s="328">
        <v>2030</v>
      </c>
      <c r="B203" s="346">
        <v>0</v>
      </c>
      <c r="C203" s="347">
        <v>0</v>
      </c>
      <c r="D203" s="347">
        <v>1.9043414646014754E-2</v>
      </c>
      <c r="E203" s="347">
        <v>0.1077852561196062</v>
      </c>
      <c r="F203" s="347">
        <v>0.18150357401734193</v>
      </c>
      <c r="G203" s="347">
        <v>0.23208166120342216</v>
      </c>
      <c r="H203" s="347">
        <v>0.26034671416923372</v>
      </c>
      <c r="I203" s="347">
        <v>0.28529196446203198</v>
      </c>
      <c r="J203" s="347">
        <v>0.29941946227399174</v>
      </c>
      <c r="K203" s="347">
        <v>0.30564771516559985</v>
      </c>
      <c r="L203" s="381">
        <v>0.32047526222009293</v>
      </c>
      <c r="M203" s="310">
        <f t="shared" si="108"/>
        <v>5.44527623867085E-2</v>
      </c>
      <c r="N203" s="312">
        <f t="shared" si="109"/>
        <v>4.8830889474894362E-2</v>
      </c>
      <c r="O203" s="346">
        <v>0</v>
      </c>
      <c r="P203" s="347">
        <v>0</v>
      </c>
      <c r="Q203" s="347">
        <v>3.885832796442714E-2</v>
      </c>
      <c r="R203" s="347">
        <v>0.12359305669216596</v>
      </c>
      <c r="S203" s="347">
        <v>0.20330066466164115</v>
      </c>
      <c r="T203" s="347">
        <v>0.24158829697359624</v>
      </c>
      <c r="U203" s="347">
        <v>0.26898378545474727</v>
      </c>
      <c r="V203" s="347">
        <v>0.29262007224770847</v>
      </c>
      <c r="W203" s="347">
        <v>0.29941946227399174</v>
      </c>
      <c r="X203" s="347">
        <v>0.31126240626459395</v>
      </c>
      <c r="Y203" s="381">
        <v>0.32047526222009293</v>
      </c>
      <c r="Z203" s="310">
        <f t="shared" si="110"/>
        <v>0.19378621567303445</v>
      </c>
      <c r="AA203" s="312">
        <f t="shared" si="111"/>
        <v>0.17359458798274749</v>
      </c>
      <c r="AB203" s="949">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50">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8">
        <f t="shared" si="112"/>
        <v>0</v>
      </c>
      <c r="AE203" s="938">
        <f t="shared" si="118"/>
        <v>5.44527623867085E-2</v>
      </c>
      <c r="AF203" s="938">
        <f t="shared" si="119"/>
        <v>0.19378621567303445</v>
      </c>
      <c r="AG203" s="938">
        <f t="shared" si="120"/>
        <v>0.24823897805974293</v>
      </c>
      <c r="AH203" s="1174">
        <f t="shared" si="116"/>
        <v>0.21935621396895824</v>
      </c>
      <c r="AI203" s="938">
        <f t="shared" si="117"/>
        <v>0.78064378603104179</v>
      </c>
      <c r="AJ203" s="227"/>
      <c r="AK203" s="227"/>
      <c r="AL203" s="227"/>
      <c r="AM203" s="227"/>
    </row>
    <row r="204" spans="1:48" x14ac:dyDescent="0.2">
      <c r="A204" s="329">
        <v>2031</v>
      </c>
      <c r="B204" s="342">
        <v>0</v>
      </c>
      <c r="C204" s="343">
        <v>0</v>
      </c>
      <c r="D204" s="343">
        <v>2.7802796215807217E-2</v>
      </c>
      <c r="E204" s="343">
        <v>0.12498120693915273</v>
      </c>
      <c r="F204" s="343">
        <v>0.19142226520522115</v>
      </c>
      <c r="G204" s="343">
        <v>0.2416037092232973</v>
      </c>
      <c r="H204" s="343">
        <v>0.26901463659006997</v>
      </c>
      <c r="I204" s="343">
        <v>0.28533346892929934</v>
      </c>
      <c r="J204" s="343">
        <v>0.2994714649416777</v>
      </c>
      <c r="K204" s="343">
        <v>0.3113238237372275</v>
      </c>
      <c r="L204" s="379">
        <v>0.32054439110048449</v>
      </c>
      <c r="M204" s="282">
        <f t="shared" si="108"/>
        <v>5.6128452643182503E-2</v>
      </c>
      <c r="N204" s="284">
        <f t="shared" si="109"/>
        <v>5.0760001769897263E-2</v>
      </c>
      <c r="O204" s="342">
        <v>0</v>
      </c>
      <c r="P204" s="343">
        <v>0</v>
      </c>
      <c r="Q204" s="343">
        <v>4.7894262943066326E-2</v>
      </c>
      <c r="R204" s="343">
        <v>0.13251674471748121</v>
      </c>
      <c r="S204" s="343">
        <v>0.21326936376395988</v>
      </c>
      <c r="T204" s="343">
        <v>0.2508611735122282</v>
      </c>
      <c r="U204" s="343">
        <v>0.27726085661260996</v>
      </c>
      <c r="V204" s="343">
        <v>0.29266692275221556</v>
      </c>
      <c r="W204" s="343">
        <v>0.30570459927422378</v>
      </c>
      <c r="X204" s="343">
        <v>0.3113238237372275</v>
      </c>
      <c r="Y204" s="379">
        <v>0.32054439110048449</v>
      </c>
      <c r="Z204" s="282">
        <f t="shared" si="110"/>
        <v>0.1989001533700111</v>
      </c>
      <c r="AA204" s="284">
        <f t="shared" si="111"/>
        <v>0.17898815045484526</v>
      </c>
      <c r="AB204" s="949">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50">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8">
        <f t="shared" si="112"/>
        <v>0</v>
      </c>
      <c r="AE204" s="938">
        <f t="shared" si="118"/>
        <v>5.6128452643182503E-2</v>
      </c>
      <c r="AF204" s="938">
        <f t="shared" si="119"/>
        <v>0.1989001533700111</v>
      </c>
      <c r="AG204" s="938">
        <f t="shared" si="120"/>
        <v>0.2550286060131936</v>
      </c>
      <c r="AH204" s="1174">
        <f t="shared" si="116"/>
        <v>0.22008688954790728</v>
      </c>
      <c r="AI204" s="938">
        <f t="shared" si="117"/>
        <v>0.77991311045209277</v>
      </c>
      <c r="AJ204" s="227"/>
      <c r="AK204" s="227"/>
      <c r="AL204" s="227"/>
      <c r="AM204" s="227"/>
    </row>
    <row r="205" spans="1:48" x14ac:dyDescent="0.2">
      <c r="A205" s="330">
        <v>2032</v>
      </c>
      <c r="B205" s="344">
        <v>0</v>
      </c>
      <c r="C205" s="345">
        <v>0</v>
      </c>
      <c r="D205" s="345">
        <v>3.4778807871696203E-2</v>
      </c>
      <c r="E205" s="345">
        <v>0.13384382328871289</v>
      </c>
      <c r="F205" s="345">
        <v>0.20111810693040305</v>
      </c>
      <c r="G205" s="345">
        <v>0.25060976865462153</v>
      </c>
      <c r="H205" s="345">
        <v>0.26875425121497909</v>
      </c>
      <c r="I205" s="345">
        <v>0.29239776883577101</v>
      </c>
      <c r="J205" s="345">
        <v>0.30543190417935784</v>
      </c>
      <c r="K205" s="345">
        <v>0.31104982478463755</v>
      </c>
      <c r="L205" s="380">
        <v>0.32377254488813306</v>
      </c>
      <c r="M205" s="296">
        <f t="shared" si="108"/>
        <v>5.7241156309404746E-2</v>
      </c>
      <c r="N205" s="298">
        <f t="shared" si="109"/>
        <v>5.1999443105576582E-2</v>
      </c>
      <c r="O205" s="344">
        <v>0</v>
      </c>
      <c r="P205" s="345">
        <v>0</v>
      </c>
      <c r="Q205" s="345">
        <v>5.7283946540971208E-2</v>
      </c>
      <c r="R205" s="345">
        <v>0.15089563234404893</v>
      </c>
      <c r="S205" s="345">
        <v>0.22289547340401408</v>
      </c>
      <c r="T205" s="345">
        <v>0.25956066306743653</v>
      </c>
      <c r="U205" s="345">
        <v>0.27699735165995965</v>
      </c>
      <c r="V205" s="345">
        <v>0.29920037286793105</v>
      </c>
      <c r="W205" s="345">
        <v>0.30543190417935784</v>
      </c>
      <c r="X205" s="345">
        <v>0.31601066706512548</v>
      </c>
      <c r="Y205" s="380">
        <v>0.32026854292275503</v>
      </c>
      <c r="Z205" s="296">
        <f t="shared" si="110"/>
        <v>0.20276994545404645</v>
      </c>
      <c r="AA205" s="298">
        <f t="shared" si="111"/>
        <v>0.18341222904339058</v>
      </c>
      <c r="AB205" s="949">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50">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8">
        <f t="shared" si="112"/>
        <v>0</v>
      </c>
      <c r="AE205" s="938">
        <f t="shared" si="118"/>
        <v>5.7241156309404746E-2</v>
      </c>
      <c r="AF205" s="938">
        <f t="shared" si="119"/>
        <v>0.20276994545404645</v>
      </c>
      <c r="AG205" s="938">
        <f t="shared" si="120"/>
        <v>0.26001110176345121</v>
      </c>
      <c r="AH205" s="1174">
        <f t="shared" si="116"/>
        <v>0.22014889334025706</v>
      </c>
      <c r="AI205" s="938">
        <f t="shared" si="117"/>
        <v>0.77985110665974289</v>
      </c>
      <c r="AJ205" s="227"/>
      <c r="AK205" s="227"/>
      <c r="AL205" s="227"/>
      <c r="AM205" s="227"/>
    </row>
    <row r="206" spans="1:48" x14ac:dyDescent="0.2">
      <c r="A206" s="330">
        <v>2033</v>
      </c>
      <c r="B206" s="344">
        <v>0</v>
      </c>
      <c r="C206" s="345">
        <v>0</v>
      </c>
      <c r="D206" s="345">
        <v>3.869489599027192E-2</v>
      </c>
      <c r="E206" s="345">
        <v>0.14285858948796781</v>
      </c>
      <c r="F206" s="345">
        <v>0.21064399821386146</v>
      </c>
      <c r="G206" s="345">
        <v>0.25024318426630571</v>
      </c>
      <c r="H206" s="345">
        <v>0.27660736285653259</v>
      </c>
      <c r="I206" s="345">
        <v>0.29199561616760034</v>
      </c>
      <c r="J206" s="345">
        <v>0.30502076877908318</v>
      </c>
      <c r="K206" s="345">
        <v>0.31559280269719842</v>
      </c>
      <c r="L206" s="380">
        <v>0.32335006339930994</v>
      </c>
      <c r="M206" s="296">
        <f t="shared" si="108"/>
        <v>5.8356097589748017E-2</v>
      </c>
      <c r="N206" s="298">
        <f t="shared" si="109"/>
        <v>5.3257330123943195E-2</v>
      </c>
      <c r="O206" s="344">
        <v>0</v>
      </c>
      <c r="P206" s="345">
        <v>0</v>
      </c>
      <c r="Q206" s="345">
        <v>6.2874800472748946E-2</v>
      </c>
      <c r="R206" s="345">
        <v>0.15064453755140941</v>
      </c>
      <c r="S206" s="345">
        <v>0.22118592809856338</v>
      </c>
      <c r="T206" s="345">
        <v>0.25918626412363044</v>
      </c>
      <c r="U206" s="345">
        <v>0.28440351340434983</v>
      </c>
      <c r="V206" s="345">
        <v>0.2987934367505799</v>
      </c>
      <c r="W206" s="345">
        <v>0.31063505326266588</v>
      </c>
      <c r="X206" s="345">
        <v>0.31559280269719842</v>
      </c>
      <c r="Y206" s="380">
        <v>0.32335006339930994</v>
      </c>
      <c r="Z206" s="296">
        <f t="shared" si="110"/>
        <v>0.20463809596687738</v>
      </c>
      <c r="AA206" s="298">
        <f t="shared" si="111"/>
        <v>0.18501862430637209</v>
      </c>
      <c r="AB206" s="949">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50">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8">
        <f>AB206*AH206+AC206*AI206</f>
        <v>0</v>
      </c>
      <c r="AE206" s="938">
        <f t="shared" si="118"/>
        <v>5.8356097589748017E-2</v>
      </c>
      <c r="AF206" s="938">
        <f t="shared" si="119"/>
        <v>0.20463809596687738</v>
      </c>
      <c r="AG206" s="938">
        <f t="shared" si="120"/>
        <v>0.2629941935566254</v>
      </c>
      <c r="AH206" s="1174">
        <f t="shared" si="116"/>
        <v>0.22189120147697611</v>
      </c>
      <c r="AI206" s="938">
        <f t="shared" si="117"/>
        <v>0.77810879852302384</v>
      </c>
      <c r="AJ206" s="227"/>
      <c r="AK206" s="227"/>
      <c r="AL206" s="227"/>
      <c r="AM206" s="227"/>
    </row>
    <row r="207" spans="1:48" x14ac:dyDescent="0.2">
      <c r="A207" s="330">
        <v>2034</v>
      </c>
      <c r="B207" s="344">
        <v>0</v>
      </c>
      <c r="C207" s="345">
        <v>0</v>
      </c>
      <c r="D207" s="345">
        <v>4.2923941506712165E-2</v>
      </c>
      <c r="E207" s="345">
        <v>0.15035738808982835</v>
      </c>
      <c r="F207" s="345">
        <v>0.21027027249773603</v>
      </c>
      <c r="G207" s="345">
        <v>0.25875285653301144</v>
      </c>
      <c r="H207" s="345">
        <v>0.27615490705617518</v>
      </c>
      <c r="I207" s="345">
        <v>0.29831978610208126</v>
      </c>
      <c r="J207" s="345">
        <v>0.3045417568723271</v>
      </c>
      <c r="K207" s="345">
        <v>0.31510511111995065</v>
      </c>
      <c r="L207" s="380">
        <v>0.32285634098744365</v>
      </c>
      <c r="M207" s="296">
        <f t="shared" si="108"/>
        <v>5.889430731476171E-2</v>
      </c>
      <c r="N207" s="298">
        <f t="shared" si="109"/>
        <v>5.3868304607309805E-2</v>
      </c>
      <c r="O207" s="344">
        <v>0</v>
      </c>
      <c r="P207" s="345">
        <v>0</v>
      </c>
      <c r="Q207" s="345">
        <v>7.0133146398782445E-2</v>
      </c>
      <c r="R207" s="345">
        <v>0.1598633586297549</v>
      </c>
      <c r="S207" s="345">
        <v>0.23043244191100626</v>
      </c>
      <c r="T207" s="345">
        <v>0.26733842059417301</v>
      </c>
      <c r="U207" s="345">
        <v>0.2839435869342169</v>
      </c>
      <c r="V207" s="345">
        <v>0.29831978610208126</v>
      </c>
      <c r="W207" s="345">
        <v>0.31015136586684966</v>
      </c>
      <c r="X207" s="345">
        <v>0.31510511111995065</v>
      </c>
      <c r="Y207" s="380">
        <v>0.32285634098744365</v>
      </c>
      <c r="Z207" s="296">
        <f t="shared" si="110"/>
        <v>0.20710022479038057</v>
      </c>
      <c r="AA207" s="298">
        <f t="shared" si="111"/>
        <v>0.1880403591689607</v>
      </c>
      <c r="AB207" s="949">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50">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8">
        <f t="shared" ref="AD207:AD223" si="121">AB207*AH207+AC207*AI207</f>
        <v>0</v>
      </c>
      <c r="AE207" s="938">
        <f t="shared" si="118"/>
        <v>5.889430731476171E-2</v>
      </c>
      <c r="AF207" s="938">
        <f t="shared" si="119"/>
        <v>0.20710022479038057</v>
      </c>
      <c r="AG207" s="938">
        <f t="shared" si="120"/>
        <v>0.26599453210514229</v>
      </c>
      <c r="AH207" s="1174">
        <f t="shared" si="116"/>
        <v>0.22141172169464737</v>
      </c>
      <c r="AI207" s="938">
        <f t="shared" si="117"/>
        <v>0.7785882783053526</v>
      </c>
      <c r="AJ207" s="227"/>
      <c r="AK207" s="227"/>
      <c r="AL207" s="227"/>
      <c r="AM207" s="227"/>
    </row>
    <row r="208" spans="1:48" ht="13.5" thickBot="1" x14ac:dyDescent="0.25">
      <c r="A208" s="328">
        <v>2035</v>
      </c>
      <c r="B208" s="346">
        <v>0</v>
      </c>
      <c r="C208" s="347">
        <v>0</v>
      </c>
      <c r="D208" s="347">
        <v>4.7476225280394829E-2</v>
      </c>
      <c r="E208" s="347">
        <v>0.15004707320578492</v>
      </c>
      <c r="F208" s="347">
        <v>0.2195723929231016</v>
      </c>
      <c r="G208" s="347">
        <v>0.25828255536027678</v>
      </c>
      <c r="H208" s="347">
        <v>0.27566357646304929</v>
      </c>
      <c r="I208" s="347">
        <v>0.29780489186717052</v>
      </c>
      <c r="J208" s="347">
        <v>0.30962523537233794</v>
      </c>
      <c r="K208" s="347">
        <v>0.31457448442010638</v>
      </c>
      <c r="L208" s="381">
        <v>0.32231892567967269</v>
      </c>
      <c r="M208" s="310">
        <f t="shared" si="108"/>
        <v>5.9209193235241792E-2</v>
      </c>
      <c r="N208" s="312">
        <f t="shared" si="109"/>
        <v>5.4277668881399746E-2</v>
      </c>
      <c r="O208" s="346">
        <v>0</v>
      </c>
      <c r="P208" s="347">
        <v>1.028499699911604E-4</v>
      </c>
      <c r="Q208" s="347">
        <v>7.6518986866361785E-2</v>
      </c>
      <c r="R208" s="347">
        <v>0.17146267302820345</v>
      </c>
      <c r="S208" s="347">
        <v>0.2299987568397856</v>
      </c>
      <c r="T208" s="347">
        <v>0.26823899715069321</v>
      </c>
      <c r="U208" s="347">
        <v>0.28344395178279047</v>
      </c>
      <c r="V208" s="347">
        <v>0.30402086630544678</v>
      </c>
      <c r="W208" s="347">
        <v>0.30962523537233794</v>
      </c>
      <c r="X208" s="347">
        <v>0.31457448442010638</v>
      </c>
      <c r="Y208" s="381">
        <v>0.32231892567967269</v>
      </c>
      <c r="Z208" s="310">
        <f t="shared" si="110"/>
        <v>0.20809416659014426</v>
      </c>
      <c r="AA208" s="312">
        <f t="shared" si="111"/>
        <v>0.18927820606678644</v>
      </c>
      <c r="AB208" s="949">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50">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8">
        <f t="shared" si="121"/>
        <v>0</v>
      </c>
      <c r="AE208" s="938">
        <f t="shared" si="118"/>
        <v>5.9209193235241792E-2</v>
      </c>
      <c r="AF208" s="938">
        <f t="shared" si="119"/>
        <v>0.20809416659014426</v>
      </c>
      <c r="AG208" s="938">
        <f t="shared" si="120"/>
        <v>0.26730335982538606</v>
      </c>
      <c r="AH208" s="1174">
        <f t="shared" si="116"/>
        <v>0.22150560798756799</v>
      </c>
      <c r="AI208" s="938">
        <f t="shared" si="117"/>
        <v>0.77849439201243198</v>
      </c>
      <c r="AJ208" s="227"/>
      <c r="AK208" s="227"/>
      <c r="AL208" s="227"/>
      <c r="AM208" s="227"/>
    </row>
    <row r="209" spans="1:39" x14ac:dyDescent="0.2">
      <c r="A209" s="329">
        <v>2036</v>
      </c>
      <c r="B209" s="342">
        <v>0</v>
      </c>
      <c r="C209" s="343">
        <v>0</v>
      </c>
      <c r="D209" s="343">
        <v>5.1436879524485578E-2</v>
      </c>
      <c r="E209" s="343">
        <v>0.15940033655542241</v>
      </c>
      <c r="F209" s="343">
        <v>0.22156555520672508</v>
      </c>
      <c r="G209" s="343">
        <v>0.25808437856106448</v>
      </c>
      <c r="H209" s="343">
        <v>0.28323338286420435</v>
      </c>
      <c r="I209" s="343">
        <v>0.29758787291098954</v>
      </c>
      <c r="J209" s="343">
        <v>0.30940346299494753</v>
      </c>
      <c r="K209" s="343">
        <v>0.31435080932998366</v>
      </c>
      <c r="L209" s="379">
        <v>0.32206143583650898</v>
      </c>
      <c r="M209" s="282">
        <f t="shared" si="108"/>
        <v>6.0035935656495398E-2</v>
      </c>
      <c r="N209" s="284">
        <f t="shared" si="109"/>
        <v>5.5195831926365242E-2</v>
      </c>
      <c r="O209" s="342">
        <v>0</v>
      </c>
      <c r="P209" s="343">
        <v>1.2013832027341466E-4</v>
      </c>
      <c r="Q209" s="343">
        <v>7.6446521346185584E-2</v>
      </c>
      <c r="R209" s="343">
        <v>0.17131677392074088</v>
      </c>
      <c r="S209" s="343">
        <v>0.2298160387778293</v>
      </c>
      <c r="T209" s="343">
        <v>0.26803540800093784</v>
      </c>
      <c r="U209" s="343">
        <v>0.29052783054974635</v>
      </c>
      <c r="V209" s="343">
        <v>0.30380131090636325</v>
      </c>
      <c r="W209" s="343">
        <v>0.30940346299494753</v>
      </c>
      <c r="X209" s="343">
        <v>0.31859742202088936</v>
      </c>
      <c r="Y209" s="379">
        <v>0.32193665943883393</v>
      </c>
      <c r="Z209" s="282">
        <f t="shared" si="110"/>
        <v>0.2098190619063427</v>
      </c>
      <c r="AA209" s="284">
        <f t="shared" si="111"/>
        <v>0.19077643825922888</v>
      </c>
      <c r="AB209" s="949">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50">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8">
        <f t="shared" si="121"/>
        <v>0</v>
      </c>
      <c r="AE209" s="938">
        <f t="shared" si="118"/>
        <v>6.0035935656495398E-2</v>
      </c>
      <c r="AF209" s="938">
        <f t="shared" si="119"/>
        <v>0.2098190619063427</v>
      </c>
      <c r="AG209" s="938">
        <f t="shared" si="120"/>
        <v>0.26985499756283809</v>
      </c>
      <c r="AH209" s="1174">
        <f t="shared" si="116"/>
        <v>0.22247479645995996</v>
      </c>
      <c r="AI209" s="938">
        <f t="shared" si="117"/>
        <v>0.77752520354004007</v>
      </c>
      <c r="AJ209" s="227"/>
      <c r="AK209" s="227"/>
      <c r="AL209" s="227"/>
      <c r="AM209" s="227"/>
    </row>
    <row r="210" spans="1:39" x14ac:dyDescent="0.2">
      <c r="A210" s="330">
        <v>2037</v>
      </c>
      <c r="B210" s="344">
        <v>0</v>
      </c>
      <c r="C210" s="345">
        <v>0</v>
      </c>
      <c r="D210" s="345">
        <v>5.138544475527166E-2</v>
      </c>
      <c r="E210" s="345">
        <v>0.15925934852701115</v>
      </c>
      <c r="F210" s="345">
        <v>0.22138239993904302</v>
      </c>
      <c r="G210" s="345">
        <v>0.25788052398363581</v>
      </c>
      <c r="H210" s="345">
        <v>0.2830167083896179</v>
      </c>
      <c r="I210" s="345">
        <v>0.29736451586903284</v>
      </c>
      <c r="J210" s="345">
        <v>0.30917517146603291</v>
      </c>
      <c r="K210" s="345">
        <v>0.31412054093420683</v>
      </c>
      <c r="L210" s="380">
        <v>0.3217273332208247</v>
      </c>
      <c r="M210" s="296">
        <f t="shared" si="108"/>
        <v>5.9987838909471763E-2</v>
      </c>
      <c r="N210" s="298">
        <f t="shared" si="109"/>
        <v>5.515168679722348E-2</v>
      </c>
      <c r="O210" s="344">
        <v>0</v>
      </c>
      <c r="P210" s="345">
        <v>1.2000973388885513E-4</v>
      </c>
      <c r="Q210" s="345">
        <v>7.6372130169086908E-2</v>
      </c>
      <c r="R210" s="345">
        <v>0.17116684883783997</v>
      </c>
      <c r="S210" s="345">
        <v>0.22962815217875196</v>
      </c>
      <c r="T210" s="345">
        <v>0.26782596250313756</v>
      </c>
      <c r="U210" s="345">
        <v>0.29030786361438415</v>
      </c>
      <c r="V210" s="345">
        <v>0.3035753215087319</v>
      </c>
      <c r="W210" s="345">
        <v>0.30917517146603291</v>
      </c>
      <c r="X210" s="345">
        <v>0.31836546809485866</v>
      </c>
      <c r="Y210" s="380">
        <v>0.32136855946614479</v>
      </c>
      <c r="Z210" s="296">
        <f t="shared" si="110"/>
        <v>0.20964135761702168</v>
      </c>
      <c r="AA210" s="298">
        <f t="shared" si="111"/>
        <v>0.19061997526657173</v>
      </c>
      <c r="AB210" s="949">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50">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8">
        <f t="shared" si="121"/>
        <v>0</v>
      </c>
      <c r="AE210" s="938">
        <f t="shared" si="118"/>
        <v>5.9987838909471763E-2</v>
      </c>
      <c r="AF210" s="938">
        <f t="shared" si="119"/>
        <v>0.20964135761702168</v>
      </c>
      <c r="AG210" s="938">
        <f t="shared" si="120"/>
        <v>0.26962919652649342</v>
      </c>
      <c r="AH210" s="1174">
        <f t="shared" si="116"/>
        <v>0.22248272695341223</v>
      </c>
      <c r="AI210" s="938">
        <f t="shared" si="117"/>
        <v>0.77751727304658791</v>
      </c>
      <c r="AJ210" s="227"/>
      <c r="AK210" s="227"/>
      <c r="AL210" s="227"/>
      <c r="AM210" s="227"/>
    </row>
    <row r="211" spans="1:39" x14ac:dyDescent="0.2">
      <c r="A211" s="330">
        <v>2038</v>
      </c>
      <c r="B211" s="344">
        <v>0</v>
      </c>
      <c r="C211" s="345">
        <v>0</v>
      </c>
      <c r="D211" s="345">
        <v>5.1332911225967101E-2</v>
      </c>
      <c r="E211" s="345">
        <v>0.15911526847810295</v>
      </c>
      <c r="F211" s="345">
        <v>0.2211951693036506</v>
      </c>
      <c r="G211" s="345">
        <v>0.25767208891100857</v>
      </c>
      <c r="H211" s="345">
        <v>0.28279513164333497</v>
      </c>
      <c r="I211" s="345">
        <v>0.29713608446441281</v>
      </c>
      <c r="J211" s="345">
        <v>0.30894167419783314</v>
      </c>
      <c r="K211" s="345">
        <v>0.3138850134428614</v>
      </c>
      <c r="L211" s="380">
        <v>0.32063991508401496</v>
      </c>
      <c r="M211" s="296">
        <f t="shared" si="108"/>
        <v>5.9926761298429228E-2</v>
      </c>
      <c r="N211" s="298">
        <f t="shared" si="109"/>
        <v>5.5100944060316071E-2</v>
      </c>
      <c r="O211" s="344">
        <v>0</v>
      </c>
      <c r="P211" s="345">
        <v>1.4518108114106246E-4</v>
      </c>
      <c r="Q211" s="345">
        <v>7.6296140515530783E-2</v>
      </c>
      <c r="R211" s="345">
        <v>0.17101362825000294</v>
      </c>
      <c r="S211" s="345">
        <v>0.22943592459383766</v>
      </c>
      <c r="T211" s="345">
        <v>0.26761053394093831</v>
      </c>
      <c r="U211" s="345">
        <v>0.29069372158873008</v>
      </c>
      <c r="V211" s="345">
        <v>0.30333670121136547</v>
      </c>
      <c r="W211" s="345">
        <v>0.30892976281925588</v>
      </c>
      <c r="X211" s="345">
        <v>0.31801877368930537</v>
      </c>
      <c r="Y211" s="380">
        <v>0.31976175108985277</v>
      </c>
      <c r="Z211" s="296">
        <f t="shared" si="110"/>
        <v>0.2095481645994377</v>
      </c>
      <c r="AA211" s="298">
        <f t="shared" si="111"/>
        <v>0.19056084406319684</v>
      </c>
      <c r="AB211" s="949">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50">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8">
        <f t="shared" si="121"/>
        <v>0</v>
      </c>
      <c r="AE211" s="938">
        <f t="shared" si="118"/>
        <v>5.9926761298429228E-2</v>
      </c>
      <c r="AF211" s="938">
        <f t="shared" si="119"/>
        <v>0.2095481645994377</v>
      </c>
      <c r="AG211" s="938">
        <f t="shared" si="120"/>
        <v>0.26947492589786692</v>
      </c>
      <c r="AH211" s="1174">
        <f t="shared" si="116"/>
        <v>0.22238344105210714</v>
      </c>
      <c r="AI211" s="938">
        <f t="shared" si="117"/>
        <v>0.77761655894789294</v>
      </c>
      <c r="AJ211" s="227"/>
      <c r="AK211" s="227"/>
      <c r="AL211" s="227"/>
      <c r="AM211" s="227"/>
    </row>
    <row r="212" spans="1:39" x14ac:dyDescent="0.2">
      <c r="A212" s="330">
        <v>2039</v>
      </c>
      <c r="B212" s="344">
        <v>0</v>
      </c>
      <c r="C212" s="345">
        <v>0</v>
      </c>
      <c r="D212" s="345">
        <v>5.1279361776049033E-2</v>
      </c>
      <c r="E212" s="345">
        <v>0.15896835015732441</v>
      </c>
      <c r="F212" s="345">
        <v>0.22092866844826337</v>
      </c>
      <c r="G212" s="345">
        <v>0.256188118189836</v>
      </c>
      <c r="H212" s="345">
        <v>0.27814674553851415</v>
      </c>
      <c r="I212" s="345">
        <v>0.28574599471850781</v>
      </c>
      <c r="J212" s="345">
        <v>0.2886257828228328</v>
      </c>
      <c r="K212" s="345">
        <v>0.28349957549785787</v>
      </c>
      <c r="L212" s="380">
        <v>0.27144685294718263</v>
      </c>
      <c r="M212" s="296">
        <f t="shared" si="108"/>
        <v>5.7941204096308208E-2</v>
      </c>
      <c r="N212" s="298">
        <f t="shared" si="109"/>
        <v>5.3798467441936886E-2</v>
      </c>
      <c r="O212" s="344">
        <v>0</v>
      </c>
      <c r="P212" s="345">
        <v>1.5015450077347997E-4</v>
      </c>
      <c r="Q212" s="345">
        <v>8.3108348910491833E-2</v>
      </c>
      <c r="R212" s="345">
        <v>0.17085463310365728</v>
      </c>
      <c r="S212" s="345">
        <v>0.23862357812905791</v>
      </c>
      <c r="T212" s="345">
        <v>0.26736471745641449</v>
      </c>
      <c r="U212" s="345">
        <v>0.29042381226906744</v>
      </c>
      <c r="V212" s="345">
        <v>0.30305151826597604</v>
      </c>
      <c r="W212" s="345">
        <v>0.30857522934824</v>
      </c>
      <c r="X212" s="345">
        <v>0.31703407841543668</v>
      </c>
      <c r="Y212" s="380">
        <v>0.31619890082945629</v>
      </c>
      <c r="Z212" s="296">
        <f t="shared" si="110"/>
        <v>0.21002677375978226</v>
      </c>
      <c r="AA212" s="298">
        <f t="shared" si="111"/>
        <v>0.19143055317672325</v>
      </c>
      <c r="AB212" s="949">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50">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8">
        <f t="shared" si="121"/>
        <v>0</v>
      </c>
      <c r="AE212" s="938">
        <f t="shared" si="118"/>
        <v>5.7941204096308208E-2</v>
      </c>
      <c r="AF212" s="938">
        <f t="shared" si="119"/>
        <v>0.21002677375978226</v>
      </c>
      <c r="AG212" s="938">
        <f t="shared" si="120"/>
        <v>0.2679679778560905</v>
      </c>
      <c r="AH212" s="1174">
        <f t="shared" si="116"/>
        <v>0.21622435844713112</v>
      </c>
      <c r="AI212" s="938">
        <f t="shared" si="117"/>
        <v>0.78377564155286883</v>
      </c>
      <c r="AJ212" s="227"/>
      <c r="AK212" s="227"/>
      <c r="AL212" s="227"/>
      <c r="AM212" s="227"/>
    </row>
    <row r="213" spans="1:39" ht="13.5" thickBot="1" x14ac:dyDescent="0.25">
      <c r="A213" s="328">
        <v>2040</v>
      </c>
      <c r="B213" s="346">
        <v>0</v>
      </c>
      <c r="C213" s="347">
        <v>0</v>
      </c>
      <c r="D213" s="347">
        <v>5.7653399850589024E-2</v>
      </c>
      <c r="E213" s="347">
        <v>0.15757041219574844</v>
      </c>
      <c r="F213" s="347">
        <v>0.21233441862024285</v>
      </c>
      <c r="G213" s="347">
        <v>0.24403717229683164</v>
      </c>
      <c r="H213" s="347">
        <v>0.25196675265940216</v>
      </c>
      <c r="I213" s="347">
        <v>0.25392761349029674</v>
      </c>
      <c r="J213" s="347">
        <v>0.25487451375565634</v>
      </c>
      <c r="K213" s="347">
        <v>0.25405599053591793</v>
      </c>
      <c r="L213" s="381">
        <v>0.24929753771918464</v>
      </c>
      <c r="M213" s="310">
        <f t="shared" si="108"/>
        <v>5.3347689627712039E-2</v>
      </c>
      <c r="N213" s="312">
        <f t="shared" si="109"/>
        <v>4.9962516705199439E-2</v>
      </c>
      <c r="O213" s="346">
        <v>0</v>
      </c>
      <c r="P213" s="347">
        <v>1.8127941940258179E-4</v>
      </c>
      <c r="Q213" s="347">
        <v>8.3019316695985626E-2</v>
      </c>
      <c r="R213" s="347">
        <v>0.17066922374785309</v>
      </c>
      <c r="S213" s="347">
        <v>0.23835887434967723</v>
      </c>
      <c r="T213" s="347">
        <v>0.27527420722042517</v>
      </c>
      <c r="U213" s="347">
        <v>0.29009958523305618</v>
      </c>
      <c r="V213" s="347">
        <v>0.30258322276726085</v>
      </c>
      <c r="W213" s="347">
        <v>0.30726055770396465</v>
      </c>
      <c r="X213" s="347">
        <v>0.31392387135615768</v>
      </c>
      <c r="Y213" s="381">
        <v>0.30882904852169663</v>
      </c>
      <c r="Z213" s="310">
        <f t="shared" si="110"/>
        <v>0.21078893976113999</v>
      </c>
      <c r="AA213" s="312">
        <f t="shared" si="111"/>
        <v>0.19247180838373967</v>
      </c>
      <c r="AB213" s="949">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50">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8">
        <f t="shared" si="121"/>
        <v>0</v>
      </c>
      <c r="AE213" s="938">
        <f t="shared" si="118"/>
        <v>5.3347689627712039E-2</v>
      </c>
      <c r="AF213" s="938">
        <f t="shared" si="119"/>
        <v>0.21078893976113999</v>
      </c>
      <c r="AG213" s="938">
        <f t="shared" si="120"/>
        <v>0.26413662938885202</v>
      </c>
      <c r="AH213" s="1174">
        <f t="shared" si="116"/>
        <v>0.20197005523673725</v>
      </c>
      <c r="AI213" s="938">
        <f t="shared" si="117"/>
        <v>0.79802994476326283</v>
      </c>
      <c r="AJ213" s="227"/>
      <c r="AK213" s="227"/>
      <c r="AL213" s="227"/>
      <c r="AM213" s="227"/>
    </row>
    <row r="214" spans="1:39" x14ac:dyDescent="0.2">
      <c r="A214" s="329">
        <v>2041</v>
      </c>
      <c r="B214" s="342">
        <v>0</v>
      </c>
      <c r="C214" s="343">
        <v>0</v>
      </c>
      <c r="D214" s="343">
        <v>5.7269274652277533E-2</v>
      </c>
      <c r="E214" s="343">
        <v>0.15874035838768097</v>
      </c>
      <c r="F214" s="343">
        <v>0.20532123384201367</v>
      </c>
      <c r="G214" s="343">
        <v>0.22578376967480487</v>
      </c>
      <c r="H214" s="343">
        <v>0.23167938603028573</v>
      </c>
      <c r="I214" s="343">
        <v>0.24286487915523711</v>
      </c>
      <c r="J214" s="343">
        <v>0.24060265061011613</v>
      </c>
      <c r="K214" s="343">
        <v>0.24478748014795196</v>
      </c>
      <c r="L214" s="379">
        <v>0.23638045717200706</v>
      </c>
      <c r="M214" s="282">
        <f t="shared" si="108"/>
        <v>5.02874664775615E-2</v>
      </c>
      <c r="N214" s="284">
        <f t="shared" si="109"/>
        <v>4.7259356380298885E-2</v>
      </c>
      <c r="O214" s="342">
        <v>0</v>
      </c>
      <c r="P214" s="343">
        <v>2.6323730662983669E-4</v>
      </c>
      <c r="Q214" s="343">
        <v>9.0237819457202453E-2</v>
      </c>
      <c r="R214" s="343">
        <v>0.18039303041526869</v>
      </c>
      <c r="S214" s="343">
        <v>0.23822703771691892</v>
      </c>
      <c r="T214" s="343">
        <v>0.27509285300716646</v>
      </c>
      <c r="U214" s="343">
        <v>0.2896371355884006</v>
      </c>
      <c r="V214" s="343">
        <v>0.30073851557481657</v>
      </c>
      <c r="W214" s="343">
        <v>0.30797896529624336</v>
      </c>
      <c r="X214" s="343">
        <v>0.30633171839979811</v>
      </c>
      <c r="Y214" s="379">
        <v>0.29994367075540973</v>
      </c>
      <c r="Z214" s="282">
        <f t="shared" si="110"/>
        <v>0.2102046552805675</v>
      </c>
      <c r="AA214" s="284">
        <f t="shared" si="111"/>
        <v>0.19256519149702542</v>
      </c>
      <c r="AB214" s="949">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50">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8">
        <f t="shared" si="121"/>
        <v>0</v>
      </c>
      <c r="AE214" s="938">
        <f t="shared" si="118"/>
        <v>5.02874664775615E-2</v>
      </c>
      <c r="AF214" s="938">
        <f t="shared" si="119"/>
        <v>0.2102046552805675</v>
      </c>
      <c r="AG214" s="938">
        <f t="shared" si="120"/>
        <v>0.26049212175812902</v>
      </c>
      <c r="AH214" s="1174">
        <f t="shared" si="116"/>
        <v>0.19304793610708193</v>
      </c>
      <c r="AI214" s="938">
        <f t="shared" si="117"/>
        <v>0.80695206389291796</v>
      </c>
      <c r="AJ214" s="227"/>
      <c r="AK214" s="227"/>
      <c r="AL214" s="227"/>
      <c r="AM214" s="227"/>
    </row>
    <row r="215" spans="1:39" x14ac:dyDescent="0.2">
      <c r="A215" s="330">
        <v>2042</v>
      </c>
      <c r="B215" s="344">
        <v>0</v>
      </c>
      <c r="C215" s="345">
        <v>0</v>
      </c>
      <c r="D215" s="345">
        <v>5.4956555450611067E-2</v>
      </c>
      <c r="E215" s="345">
        <v>0.13769993477636711</v>
      </c>
      <c r="F215" s="345">
        <v>0.18108027693839224</v>
      </c>
      <c r="G215" s="345">
        <v>0.21220626191629438</v>
      </c>
      <c r="H215" s="345">
        <v>0.22002857040806315</v>
      </c>
      <c r="I215" s="345">
        <v>0.22683542083331809</v>
      </c>
      <c r="J215" s="345">
        <v>0.23003343416532396</v>
      </c>
      <c r="K215" s="345">
        <v>0.22790250273766532</v>
      </c>
      <c r="L215" s="380">
        <v>0.22606372075865699</v>
      </c>
      <c r="M215" s="296">
        <f t="shared" si="108"/>
        <v>4.6855703217456621E-2</v>
      </c>
      <c r="N215" s="298">
        <f t="shared" si="109"/>
        <v>4.3732978657897423E-2</v>
      </c>
      <c r="O215" s="344">
        <v>0</v>
      </c>
      <c r="P215" s="345">
        <v>1.7445856475061775E-4</v>
      </c>
      <c r="Q215" s="345">
        <v>8.2755026277968283E-2</v>
      </c>
      <c r="R215" s="345">
        <v>0.17008496551750799</v>
      </c>
      <c r="S215" s="345">
        <v>0.23733632571708294</v>
      </c>
      <c r="T215" s="345">
        <v>0.27265393425364398</v>
      </c>
      <c r="U215" s="345">
        <v>0.28482987944601046</v>
      </c>
      <c r="V215" s="345">
        <v>0.29208653603887663</v>
      </c>
      <c r="W215" s="345">
        <v>0.29153975394125409</v>
      </c>
      <c r="X215" s="345">
        <v>0.29400607999326195</v>
      </c>
      <c r="Y215" s="380">
        <v>0.28542652984384542</v>
      </c>
      <c r="Z215" s="296">
        <f t="shared" si="110"/>
        <v>0.20559675937248648</v>
      </c>
      <c r="AA215" s="298">
        <f t="shared" si="111"/>
        <v>0.18860506154652049</v>
      </c>
      <c r="AB215" s="949">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50">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8">
        <f t="shared" si="121"/>
        <v>0</v>
      </c>
      <c r="AE215" s="938">
        <f t="shared" si="118"/>
        <v>4.6855703217456621E-2</v>
      </c>
      <c r="AF215" s="938">
        <f t="shared" si="119"/>
        <v>0.20559675937248648</v>
      </c>
      <c r="AG215" s="938">
        <f t="shared" si="120"/>
        <v>0.25245246258994308</v>
      </c>
      <c r="AH215" s="1174">
        <f t="shared" si="116"/>
        <v>0.18560208419738825</v>
      </c>
      <c r="AI215" s="938">
        <f t="shared" si="117"/>
        <v>0.81439791580261178</v>
      </c>
      <c r="AJ215" s="227"/>
      <c r="AK215" s="227"/>
      <c r="AL215" s="227"/>
      <c r="AM215" s="227"/>
    </row>
    <row r="216" spans="1:39" x14ac:dyDescent="0.2">
      <c r="A216" s="330">
        <v>2043</v>
      </c>
      <c r="B216" s="344">
        <v>0</v>
      </c>
      <c r="C216" s="345">
        <v>0</v>
      </c>
      <c r="D216" s="345">
        <v>5.1890471360936809E-2</v>
      </c>
      <c r="E216" s="345">
        <v>0.13013367791401467</v>
      </c>
      <c r="F216" s="345">
        <v>0.17265323211887715</v>
      </c>
      <c r="G216" s="345">
        <v>0.2036599333420176</v>
      </c>
      <c r="H216" s="345">
        <v>0.21014036372989206</v>
      </c>
      <c r="I216" s="345">
        <v>0.21516479057124141</v>
      </c>
      <c r="J216" s="345">
        <v>0.21981001082068216</v>
      </c>
      <c r="K216" s="345">
        <v>0.2194438889153871</v>
      </c>
      <c r="L216" s="380">
        <v>0.21854231621538597</v>
      </c>
      <c r="M216" s="296">
        <f t="shared" si="108"/>
        <v>4.4743829745182734E-2</v>
      </c>
      <c r="N216" s="298">
        <f t="shared" si="109"/>
        <v>4.1725287584382084E-2</v>
      </c>
      <c r="O216" s="344">
        <v>0</v>
      </c>
      <c r="P216" s="345">
        <v>1.7420292965549336E-4</v>
      </c>
      <c r="Q216" s="345">
        <v>8.2531263099732161E-2</v>
      </c>
      <c r="R216" s="345">
        <v>0.16865627559626697</v>
      </c>
      <c r="S216" s="345">
        <v>0.23260626857686292</v>
      </c>
      <c r="T216" s="345">
        <v>0.26353291808334101</v>
      </c>
      <c r="U216" s="345">
        <v>0.27318454523236463</v>
      </c>
      <c r="V216" s="345">
        <v>0.27914373350349964</v>
      </c>
      <c r="W216" s="345">
        <v>0.27892285633095454</v>
      </c>
      <c r="X216" s="345">
        <v>0.28137750117658838</v>
      </c>
      <c r="Y216" s="380">
        <v>0.275802355929123</v>
      </c>
      <c r="Z216" s="296">
        <f t="shared" si="110"/>
        <v>0.1981788441978983</v>
      </c>
      <c r="AA216" s="298">
        <f t="shared" si="111"/>
        <v>0.18213733095911874</v>
      </c>
      <c r="AB216" s="949">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50">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8">
        <f t="shared" si="121"/>
        <v>0</v>
      </c>
      <c r="AE216" s="938">
        <f t="shared" si="118"/>
        <v>4.4743829745182734E-2</v>
      </c>
      <c r="AF216" s="938">
        <f t="shared" si="119"/>
        <v>0.1981788441978983</v>
      </c>
      <c r="AG216" s="938">
        <f t="shared" si="120"/>
        <v>0.24292267394308104</v>
      </c>
      <c r="AH216" s="1174">
        <f t="shared" si="116"/>
        <v>0.18418959835616916</v>
      </c>
      <c r="AI216" s="938">
        <f t="shared" si="117"/>
        <v>0.8158104016438309</v>
      </c>
      <c r="AJ216" s="227"/>
      <c r="AK216" s="227"/>
      <c r="AL216" s="227"/>
      <c r="AM216" s="227"/>
    </row>
    <row r="217" spans="1:39" x14ac:dyDescent="0.2">
      <c r="A217" s="330">
        <v>2044</v>
      </c>
      <c r="B217" s="344">
        <v>0</v>
      </c>
      <c r="C217" s="345">
        <v>0</v>
      </c>
      <c r="D217" s="345">
        <v>4.3982977238502294E-2</v>
      </c>
      <c r="E217" s="345">
        <v>0.1224683379255455</v>
      </c>
      <c r="F217" s="345">
        <v>0.16374103219652034</v>
      </c>
      <c r="G217" s="345">
        <v>0.18553907276222878</v>
      </c>
      <c r="H217" s="345">
        <v>0.20187487274256979</v>
      </c>
      <c r="I217" s="345">
        <v>0.2068318152248281</v>
      </c>
      <c r="J217" s="345">
        <v>0.21075465546845179</v>
      </c>
      <c r="K217" s="345">
        <v>0.2114282286061874</v>
      </c>
      <c r="L217" s="380">
        <v>0.21234088063765605</v>
      </c>
      <c r="M217" s="296">
        <f t="shared" si="108"/>
        <v>4.2601669508748635E-2</v>
      </c>
      <c r="N217" s="298">
        <f t="shared" si="109"/>
        <v>3.9595017976617429E-2</v>
      </c>
      <c r="O217" s="344">
        <v>0</v>
      </c>
      <c r="P217" s="345">
        <v>1.8021219124226835E-4</v>
      </c>
      <c r="Q217" s="345">
        <v>8.1798847465153868E-2</v>
      </c>
      <c r="R217" s="345">
        <v>0.16307868205953838</v>
      </c>
      <c r="S217" s="345">
        <v>0.22283860698681252</v>
      </c>
      <c r="T217" s="345">
        <v>0.24458467211494883</v>
      </c>
      <c r="U217" s="345">
        <v>0.26113854660298652</v>
      </c>
      <c r="V217" s="345">
        <v>0.26699963188217818</v>
      </c>
      <c r="W217" s="345">
        <v>0.2679104322476174</v>
      </c>
      <c r="X217" s="345">
        <v>0.26971856043667358</v>
      </c>
      <c r="Y217" s="380">
        <v>0.26848436011818705</v>
      </c>
      <c r="Z217" s="296">
        <f t="shared" si="110"/>
        <v>0.18857936193977559</v>
      </c>
      <c r="AA217" s="298">
        <f t="shared" si="111"/>
        <v>0.17315899305296953</v>
      </c>
      <c r="AB217" s="949">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50">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8">
        <f t="shared" si="121"/>
        <v>0</v>
      </c>
      <c r="AE217" s="938">
        <f t="shared" si="118"/>
        <v>4.2601669508748635E-2</v>
      </c>
      <c r="AF217" s="938">
        <f t="shared" si="119"/>
        <v>0.18857936193977559</v>
      </c>
      <c r="AG217" s="938">
        <f t="shared" si="120"/>
        <v>0.23118103144852423</v>
      </c>
      <c r="AH217" s="1174">
        <f t="shared" si="116"/>
        <v>0.18427839534159404</v>
      </c>
      <c r="AI217" s="938">
        <f t="shared" si="117"/>
        <v>0.81572160465840593</v>
      </c>
      <c r="AJ217" s="227"/>
      <c r="AK217" s="227"/>
      <c r="AL217" s="227"/>
      <c r="AM217" s="227"/>
    </row>
    <row r="218" spans="1:39" ht="13.5" thickBot="1" x14ac:dyDescent="0.25">
      <c r="A218" s="328">
        <v>2045</v>
      </c>
      <c r="B218" s="346">
        <v>0</v>
      </c>
      <c r="C218" s="347">
        <v>0</v>
      </c>
      <c r="D218" s="347">
        <v>4.078078522314265E-2</v>
      </c>
      <c r="E218" s="347">
        <v>0.1146521585500085</v>
      </c>
      <c r="F218" s="347">
        <v>0.15511709006545787</v>
      </c>
      <c r="G218" s="347">
        <v>0.17762631347740132</v>
      </c>
      <c r="H218" s="347">
        <v>0.19294480727799065</v>
      </c>
      <c r="I218" s="347">
        <v>0.19878537015664879</v>
      </c>
      <c r="J218" s="347">
        <v>0.20464156714497553</v>
      </c>
      <c r="K218" s="347">
        <v>0.20538019895325518</v>
      </c>
      <c r="L218" s="381">
        <v>0.20917638847095746</v>
      </c>
      <c r="M218" s="310">
        <f t="shared" si="108"/>
        <v>4.0818277214016999E-2</v>
      </c>
      <c r="N218" s="312">
        <f t="shared" si="109"/>
        <v>3.7817972687393862E-2</v>
      </c>
      <c r="O218" s="346">
        <v>0</v>
      </c>
      <c r="P218" s="347">
        <v>1.7947087443998891E-4</v>
      </c>
      <c r="Q218" s="347">
        <v>7.952529407925843E-2</v>
      </c>
      <c r="R218" s="347">
        <v>0.15439630784605979</v>
      </c>
      <c r="S218" s="347">
        <v>0.2117847083004385</v>
      </c>
      <c r="T218" s="347">
        <v>0.23295173414680395</v>
      </c>
      <c r="U218" s="347">
        <v>0.25010836956019139</v>
      </c>
      <c r="V218" s="347">
        <v>0.2574033001553348</v>
      </c>
      <c r="W218" s="347">
        <v>0.25814427620373304</v>
      </c>
      <c r="X218" s="347">
        <v>0.2621032553237852</v>
      </c>
      <c r="Y218" s="381">
        <v>0.26110006599857338</v>
      </c>
      <c r="Z218" s="310">
        <f t="shared" si="110"/>
        <v>0.18072963528830971</v>
      </c>
      <c r="AA218" s="312">
        <f t="shared" si="111"/>
        <v>0.16569760281412252</v>
      </c>
      <c r="AB218" s="949">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50">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8">
        <f t="shared" si="121"/>
        <v>0</v>
      </c>
      <c r="AE218" s="938">
        <f t="shared" si="118"/>
        <v>4.0818277214016999E-2</v>
      </c>
      <c r="AF218" s="938">
        <f t="shared" si="119"/>
        <v>0.18072963528830971</v>
      </c>
      <c r="AG218" s="938">
        <f t="shared" si="120"/>
        <v>0.22154791250232669</v>
      </c>
      <c r="AH218" s="1174">
        <f t="shared" si="116"/>
        <v>0.18424130813504427</v>
      </c>
      <c r="AI218" s="938">
        <f t="shared" si="117"/>
        <v>0.81575869186495575</v>
      </c>
      <c r="AJ218" s="227"/>
      <c r="AK218" s="227"/>
      <c r="AL218" s="227"/>
      <c r="AM218" s="227"/>
    </row>
    <row r="219" spans="1:39" x14ac:dyDescent="0.2">
      <c r="A219" s="329">
        <v>2046</v>
      </c>
      <c r="B219" s="342">
        <v>0</v>
      </c>
      <c r="C219" s="343">
        <v>0</v>
      </c>
      <c r="D219" s="343">
        <v>3.8615838226871826E-2</v>
      </c>
      <c r="E219" s="343">
        <v>0.10984656365063335</v>
      </c>
      <c r="F219" s="343">
        <v>0.15023270541032727</v>
      </c>
      <c r="G219" s="343">
        <v>0.17311106636181345</v>
      </c>
      <c r="H219" s="343">
        <v>0.18817260959566906</v>
      </c>
      <c r="I219" s="343">
        <v>0.19589477536762936</v>
      </c>
      <c r="J219" s="343">
        <v>0.20165102742325985</v>
      </c>
      <c r="K219" s="343">
        <v>0.20239952072290279</v>
      </c>
      <c r="L219" s="379">
        <v>0.20429792330342708</v>
      </c>
      <c r="M219" s="282">
        <f t="shared" si="108"/>
        <v>3.9833398942709035E-2</v>
      </c>
      <c r="N219" s="284">
        <f t="shared" si="109"/>
        <v>3.683898858151867E-2</v>
      </c>
      <c r="O219" s="342">
        <v>0</v>
      </c>
      <c r="P219" s="343">
        <v>1.4776358079039766E-4</v>
      </c>
      <c r="Q219" s="343">
        <v>7.6930490542475402E-2</v>
      </c>
      <c r="R219" s="343">
        <v>0.14862078720847297</v>
      </c>
      <c r="S219" s="343">
        <v>0.19706111317391384</v>
      </c>
      <c r="T219" s="343">
        <v>0.22586971315026547</v>
      </c>
      <c r="U219" s="343">
        <v>0.24458455540892418</v>
      </c>
      <c r="V219" s="343">
        <v>0.25175419835822777</v>
      </c>
      <c r="W219" s="343">
        <v>0.25255608525353318</v>
      </c>
      <c r="X219" s="343">
        <v>0.25863409216891908</v>
      </c>
      <c r="Y219" s="379">
        <v>0.2577660409220387</v>
      </c>
      <c r="Z219" s="282">
        <f t="shared" si="110"/>
        <v>0.17566618196011582</v>
      </c>
      <c r="AA219" s="284">
        <f t="shared" si="111"/>
        <v>0.16060043978859928</v>
      </c>
      <c r="AB219" s="949">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50">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8">
        <f t="shared" si="121"/>
        <v>0</v>
      </c>
      <c r="AE219" s="938">
        <f t="shared" si="118"/>
        <v>3.9833398942709035E-2</v>
      </c>
      <c r="AF219" s="938">
        <f t="shared" si="119"/>
        <v>0.17566618196011582</v>
      </c>
      <c r="AG219" s="938">
        <f t="shared" si="120"/>
        <v>0.21549958090282487</v>
      </c>
      <c r="AH219" s="1174">
        <f t="shared" si="116"/>
        <v>0.18484211790959859</v>
      </c>
      <c r="AI219" s="938">
        <f t="shared" si="117"/>
        <v>0.81515788209040141</v>
      </c>
      <c r="AJ219" s="227"/>
      <c r="AK219" s="227"/>
      <c r="AL219" s="227"/>
      <c r="AM219" s="227"/>
    </row>
    <row r="220" spans="1:39" x14ac:dyDescent="0.2">
      <c r="A220" s="330">
        <v>2047</v>
      </c>
      <c r="B220" s="344">
        <v>0</v>
      </c>
      <c r="C220" s="345">
        <v>0</v>
      </c>
      <c r="D220" s="345">
        <v>3.6999677116371019E-2</v>
      </c>
      <c r="E220" s="345">
        <v>0.1072229285592582</v>
      </c>
      <c r="F220" s="345">
        <v>0.14703544989244086</v>
      </c>
      <c r="G220" s="345">
        <v>0.16963801791053834</v>
      </c>
      <c r="H220" s="345">
        <v>0.18537777322298024</v>
      </c>
      <c r="I220" s="345">
        <v>0.19245254077279941</v>
      </c>
      <c r="J220" s="345">
        <v>0.1983394001505121</v>
      </c>
      <c r="K220" s="345">
        <v>0.20075704980117454</v>
      </c>
      <c r="L220" s="380">
        <v>0.20274833359337965</v>
      </c>
      <c r="M220" s="296">
        <f t="shared" si="108"/>
        <v>3.9170927920970947E-2</v>
      </c>
      <c r="N220" s="298">
        <f t="shared" si="109"/>
        <v>3.6184688879891527E-2</v>
      </c>
      <c r="O220" s="344">
        <v>0</v>
      </c>
      <c r="P220" s="345">
        <v>1.1685231542085813E-4</v>
      </c>
      <c r="Q220" s="345">
        <v>6.8075101411509006E-2</v>
      </c>
      <c r="R220" s="345">
        <v>0.14479740034651251</v>
      </c>
      <c r="S220" s="345">
        <v>0.19213865716427117</v>
      </c>
      <c r="T220" s="345">
        <v>0.2222692743311897</v>
      </c>
      <c r="U220" s="345">
        <v>0.23878432340048228</v>
      </c>
      <c r="V220" s="345">
        <v>0.24590934807800804</v>
      </c>
      <c r="W220" s="345">
        <v>0.24880971912665989</v>
      </c>
      <c r="X220" s="345">
        <v>0.2548883179449416</v>
      </c>
      <c r="Y220" s="380">
        <v>0.254187662368214</v>
      </c>
      <c r="Z220" s="296">
        <f t="shared" si="110"/>
        <v>0.17199227481583443</v>
      </c>
      <c r="AA220" s="298">
        <f t="shared" si="111"/>
        <v>0.1570628360952584</v>
      </c>
      <c r="AB220" s="949">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50">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8">
        <f t="shared" si="121"/>
        <v>0</v>
      </c>
      <c r="AE220" s="938">
        <f t="shared" si="118"/>
        <v>3.9170927920970947E-2</v>
      </c>
      <c r="AF220" s="938">
        <f t="shared" si="119"/>
        <v>0.17199227481583443</v>
      </c>
      <c r="AG220" s="938">
        <f t="shared" si="120"/>
        <v>0.21116320273680539</v>
      </c>
      <c r="AH220" s="1174">
        <f t="shared" si="116"/>
        <v>0.18550072840955031</v>
      </c>
      <c r="AI220" s="938">
        <f t="shared" si="117"/>
        <v>0.81449927159044966</v>
      </c>
      <c r="AJ220" s="227"/>
      <c r="AK220" s="227"/>
      <c r="AL220" s="227"/>
      <c r="AM220" s="227"/>
    </row>
    <row r="221" spans="1:39" x14ac:dyDescent="0.2">
      <c r="A221" s="330">
        <v>2048</v>
      </c>
      <c r="B221" s="344">
        <v>0</v>
      </c>
      <c r="C221" s="345">
        <v>0</v>
      </c>
      <c r="D221" s="345">
        <v>3.5463023438733969E-2</v>
      </c>
      <c r="E221" s="345">
        <v>0.10460063873562071</v>
      </c>
      <c r="F221" s="345">
        <v>0.14388692572485823</v>
      </c>
      <c r="G221" s="345">
        <v>0.16742331773115235</v>
      </c>
      <c r="H221" s="345">
        <v>0.1831365414833212</v>
      </c>
      <c r="I221" s="345">
        <v>0.19083990772023968</v>
      </c>
      <c r="J221" s="345">
        <v>0.19671750171563221</v>
      </c>
      <c r="K221" s="345">
        <v>0.19900321191560097</v>
      </c>
      <c r="L221" s="380">
        <v>0.20125659079853681</v>
      </c>
      <c r="M221" s="296">
        <f t="shared" si="108"/>
        <v>3.8666772647819293E-2</v>
      </c>
      <c r="N221" s="298">
        <f t="shared" si="109"/>
        <v>3.5665855336449809E-2</v>
      </c>
      <c r="O221" s="344">
        <v>0</v>
      </c>
      <c r="P221" s="345">
        <v>1.1566465022733452E-4</v>
      </c>
      <c r="Q221" s="345">
        <v>6.6484671067799719E-2</v>
      </c>
      <c r="R221" s="345">
        <v>0.14121149664961771</v>
      </c>
      <c r="S221" s="345">
        <v>0.18933532283626109</v>
      </c>
      <c r="T221" s="345">
        <v>0.21915462750218948</v>
      </c>
      <c r="U221" s="345">
        <v>0.2355499292905697</v>
      </c>
      <c r="V221" s="345">
        <v>0.24269808558537467</v>
      </c>
      <c r="W221" s="345">
        <v>0.24563890498538299</v>
      </c>
      <c r="X221" s="345">
        <v>0.25173345124856911</v>
      </c>
      <c r="Y221" s="380">
        <v>0.2512134994698127</v>
      </c>
      <c r="Z221" s="296">
        <f t="shared" si="110"/>
        <v>0.16961108744628309</v>
      </c>
      <c r="AA221" s="298">
        <f t="shared" si="111"/>
        <v>0.15481520841640056</v>
      </c>
      <c r="AB221" s="949">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50">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8">
        <f t="shared" si="121"/>
        <v>0</v>
      </c>
      <c r="AE221" s="938">
        <f t="shared" si="118"/>
        <v>3.8666772647819293E-2</v>
      </c>
      <c r="AF221" s="938">
        <f t="shared" si="119"/>
        <v>0.16961108744628309</v>
      </c>
      <c r="AG221" s="938">
        <f t="shared" si="120"/>
        <v>0.20827786009410237</v>
      </c>
      <c r="AH221" s="1174">
        <f t="shared" si="116"/>
        <v>0.18564994200703422</v>
      </c>
      <c r="AI221" s="938">
        <f t="shared" si="117"/>
        <v>0.81435005799296578</v>
      </c>
      <c r="AJ221" s="227"/>
      <c r="AK221" s="227"/>
      <c r="AL221" s="227"/>
      <c r="AM221" s="227"/>
    </row>
    <row r="222" spans="1:39" x14ac:dyDescent="0.2">
      <c r="A222" s="330">
        <v>2049</v>
      </c>
      <c r="B222" s="344">
        <v>0</v>
      </c>
      <c r="C222" s="345">
        <v>0</v>
      </c>
      <c r="D222" s="345">
        <v>3.4749380105198846E-2</v>
      </c>
      <c r="E222" s="345">
        <v>0.10192869362962287</v>
      </c>
      <c r="F222" s="345">
        <v>0.14262052844032447</v>
      </c>
      <c r="G222" s="345">
        <v>0.1653517519682989</v>
      </c>
      <c r="H222" s="345">
        <v>0.18106681211009473</v>
      </c>
      <c r="I222" s="345">
        <v>0.18889790390915615</v>
      </c>
      <c r="J222" s="345">
        <v>0.19621131360941618</v>
      </c>
      <c r="K222" s="345">
        <v>0.19743345326231382</v>
      </c>
      <c r="L222" s="380">
        <v>0.2008708312564898</v>
      </c>
      <c r="M222" s="296">
        <f t="shared" si="108"/>
        <v>3.826825472471674E-2</v>
      </c>
      <c r="N222" s="298">
        <f t="shared" si="109"/>
        <v>3.5259996702544594E-2</v>
      </c>
      <c r="O222" s="344">
        <v>0</v>
      </c>
      <c r="P222" s="345">
        <v>1.1334010450792999E-4</v>
      </c>
      <c r="Q222" s="345">
        <v>6.5017541006010496E-2</v>
      </c>
      <c r="R222" s="345">
        <v>0.13954123598755178</v>
      </c>
      <c r="S222" s="345">
        <v>0.1855558795304828</v>
      </c>
      <c r="T222" s="345">
        <v>0.21504161038781947</v>
      </c>
      <c r="U222" s="345">
        <v>0.22499910806468665</v>
      </c>
      <c r="V222" s="345">
        <v>0.24034563159480657</v>
      </c>
      <c r="W222" s="345">
        <v>0.24328094688105831</v>
      </c>
      <c r="X222" s="345">
        <v>0.2439200695766911</v>
      </c>
      <c r="Y222" s="380">
        <v>0.24885787909971716</v>
      </c>
      <c r="Z222" s="296">
        <f t="shared" si="110"/>
        <v>0.165268436033811</v>
      </c>
      <c r="AA222" s="298">
        <f t="shared" si="111"/>
        <v>0.15083282965392752</v>
      </c>
      <c r="AB222" s="949">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50">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8">
        <f t="shared" si="121"/>
        <v>0</v>
      </c>
      <c r="AE222" s="938">
        <f t="shared" si="118"/>
        <v>3.826825472471674E-2</v>
      </c>
      <c r="AF222" s="938">
        <f t="shared" si="119"/>
        <v>0.165268436033811</v>
      </c>
      <c r="AG222" s="938">
        <f t="shared" si="120"/>
        <v>0.20353669075852773</v>
      </c>
      <c r="AH222" s="1174">
        <f t="shared" si="116"/>
        <v>0.18801649266331794</v>
      </c>
      <c r="AI222" s="938">
        <f t="shared" si="117"/>
        <v>0.81198350733668212</v>
      </c>
      <c r="AJ222" s="227"/>
      <c r="AK222" s="227"/>
      <c r="AL222" s="227"/>
      <c r="AM222" s="227"/>
    </row>
    <row r="223" spans="1:39" ht="13.5" thickBot="1" x14ac:dyDescent="0.25">
      <c r="A223" s="328">
        <v>2050</v>
      </c>
      <c r="B223" s="346">
        <v>0</v>
      </c>
      <c r="C223" s="347">
        <v>0</v>
      </c>
      <c r="D223" s="347">
        <v>3.3601639336872477E-2</v>
      </c>
      <c r="E223" s="347">
        <v>9.3841327976164776E-2</v>
      </c>
      <c r="F223" s="347">
        <v>0.14157244542233541</v>
      </c>
      <c r="G223" s="347">
        <v>0.16390816501413241</v>
      </c>
      <c r="H223" s="347">
        <v>0.18073680865867972</v>
      </c>
      <c r="I223" s="347">
        <v>0.18854871883421037</v>
      </c>
      <c r="J223" s="347">
        <v>0.19462062358519702</v>
      </c>
      <c r="K223" s="347">
        <v>0.19706044324305036</v>
      </c>
      <c r="L223" s="381">
        <v>0.19944508563018554</v>
      </c>
      <c r="M223" s="310">
        <f t="shared" si="108"/>
        <v>3.7949262543151861E-2</v>
      </c>
      <c r="N223" s="312">
        <f t="shared" si="109"/>
        <v>3.4857921769345601E-2</v>
      </c>
      <c r="O223" s="346">
        <v>0</v>
      </c>
      <c r="P223" s="347">
        <v>1.1091579236149181E-4</v>
      </c>
      <c r="Q223" s="347">
        <v>6.4379798692894855E-2</v>
      </c>
      <c r="R223" s="347">
        <v>0.13704111359165064</v>
      </c>
      <c r="S223" s="347">
        <v>0.18256564026281075</v>
      </c>
      <c r="T223" s="347">
        <v>0.21168175777975134</v>
      </c>
      <c r="U223" s="347">
        <v>0.22347116998821512</v>
      </c>
      <c r="V223" s="347">
        <v>0.23690443182300036</v>
      </c>
      <c r="W223" s="347">
        <v>0.23987932067211987</v>
      </c>
      <c r="X223" s="347">
        <v>0.24234956952936712</v>
      </c>
      <c r="Y223" s="381">
        <v>0.24568990439390945</v>
      </c>
      <c r="Z223" s="310">
        <f t="shared" si="110"/>
        <v>0.16330235767679932</v>
      </c>
      <c r="AA223" s="312">
        <f t="shared" si="111"/>
        <v>0.14897877338051418</v>
      </c>
      <c r="AB223" s="951">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2">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9">
        <f t="shared" si="121"/>
        <v>0</v>
      </c>
      <c r="AE223" s="938">
        <f t="shared" si="118"/>
        <v>3.7949262543151861E-2</v>
      </c>
      <c r="AF223" s="938">
        <f t="shared" si="119"/>
        <v>0.16330235767679932</v>
      </c>
      <c r="AG223" s="938">
        <f t="shared" si="120"/>
        <v>0.20125162021995119</v>
      </c>
      <c r="AH223" s="1174">
        <f t="shared" si="116"/>
        <v>0.18856624608376565</v>
      </c>
      <c r="AI223" s="938">
        <f t="shared" si="117"/>
        <v>0.81143375391623429</v>
      </c>
      <c r="AJ223" s="227"/>
      <c r="AK223" s="227"/>
      <c r="AL223" s="227"/>
      <c r="AM223" s="227"/>
    </row>
    <row r="224" spans="1:39" x14ac:dyDescent="0.2">
      <c r="B224" s="227" t="str">
        <f>B$120</f>
        <v>Output generated: 4/26/2020 19:05</v>
      </c>
      <c r="U224" s="227" t="str">
        <f>U$120</f>
        <v>Output generated: 4/26/2020 19:05</v>
      </c>
      <c r="AC224" s="938"/>
      <c r="AE224" s="938"/>
      <c r="AF224" s="938"/>
      <c r="AG224" s="938"/>
      <c r="AH224" s="938"/>
      <c r="AI224" s="938"/>
      <c r="AJ224" s="227"/>
      <c r="AK224" s="227"/>
      <c r="AL224" s="227"/>
      <c r="AM224" s="227"/>
    </row>
    <row r="225" spans="1:39" x14ac:dyDescent="0.2">
      <c r="AE225" s="938"/>
      <c r="AF225" s="938"/>
      <c r="AG225" s="938"/>
      <c r="AH225" s="938"/>
      <c r="AI225" s="938"/>
    </row>
    <row r="226" spans="1:39" ht="13.5" thickBot="1" x14ac:dyDescent="0.25">
      <c r="AE226" s="938"/>
      <c r="AF226" s="938"/>
      <c r="AG226" s="938"/>
      <c r="AH226" s="938"/>
      <c r="AI226" s="938"/>
    </row>
    <row r="227" spans="1:39" ht="15" x14ac:dyDescent="0.25">
      <c r="A227" s="333"/>
      <c r="B227" s="613" t="s">
        <v>214</v>
      </c>
      <c r="C227" s="614"/>
      <c r="D227" s="614"/>
      <c r="E227" s="614"/>
      <c r="F227" s="614"/>
      <c r="G227" s="614"/>
      <c r="H227" s="614"/>
      <c r="I227" s="614"/>
      <c r="J227" s="614"/>
      <c r="K227" s="614"/>
      <c r="L227" s="614"/>
      <c r="M227" s="614"/>
      <c r="N227" s="615"/>
      <c r="O227" s="613" t="s">
        <v>213</v>
      </c>
      <c r="P227" s="614"/>
      <c r="Q227" s="614"/>
      <c r="R227" s="614"/>
      <c r="S227" s="614"/>
      <c r="T227" s="614"/>
      <c r="U227" s="614"/>
      <c r="V227" s="614"/>
      <c r="W227" s="614"/>
      <c r="X227" s="614"/>
      <c r="Y227" s="614"/>
      <c r="Z227" s="614"/>
      <c r="AA227" s="615"/>
      <c r="AE227" s="938"/>
      <c r="AF227" s="938"/>
      <c r="AG227" s="938"/>
      <c r="AH227" s="938"/>
      <c r="AI227" s="938"/>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8"/>
      <c r="AF228" s="938"/>
      <c r="AG228" s="938"/>
      <c r="AH228" s="938"/>
      <c r="AI228" s="938"/>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4" t="s">
        <v>268</v>
      </c>
      <c r="AD229" s="234" t="b">
        <f>INDEX(TECH_OPT_FUEL2_Cls1,MATCH(RIGHT(O227),TECH_OPT_ROWS_Cls1,0))&lt;&gt;"N/A"</f>
        <v>1</v>
      </c>
      <c r="AE229" s="938"/>
      <c r="AF229" s="938"/>
      <c r="AG229" s="938"/>
      <c r="AH229" s="938"/>
      <c r="AI229" s="938"/>
    </row>
    <row r="230" spans="1:39" ht="14.25"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7"/>
      <c r="AC230" s="904" t="s">
        <v>269</v>
      </c>
      <c r="AD230" s="234">
        <f>MATCH(RIGHT(O227),TECH_OPT_ROWS_Cls1,0)</f>
        <v>5</v>
      </c>
      <c r="AE230" s="938"/>
      <c r="AF230" s="938"/>
      <c r="AG230" s="938"/>
      <c r="AH230" s="938"/>
      <c r="AI230" s="938"/>
    </row>
    <row r="231" spans="1:39" x14ac:dyDescent="0.2">
      <c r="A231" s="331" t="s">
        <v>125</v>
      </c>
      <c r="B231" s="939">
        <f t="array" ref="B231:L231">TRANSPOSE(Cls1CentVMTShr)</f>
        <v>8.9762242961142352E-4</v>
      </c>
      <c r="C231" s="940">
        <v>1.2044238150123706E-3</v>
      </c>
      <c r="D231" s="940">
        <v>4.1499109643594731E-3</v>
      </c>
      <c r="E231" s="940">
        <v>1.9575808105519295E-2</v>
      </c>
      <c r="F231" s="940">
        <v>3.4523467949689302E-2</v>
      </c>
      <c r="G231" s="940">
        <v>2.7311948935134379E-2</v>
      </c>
      <c r="H231" s="940">
        <v>7.6478458482655817E-2</v>
      </c>
      <c r="I231" s="940">
        <v>3.2480526319280681E-2</v>
      </c>
      <c r="J231" s="940">
        <v>1.1772940427842455E-2</v>
      </c>
      <c r="K231" s="940">
        <v>6.0339283082965706E-3</v>
      </c>
      <c r="L231" s="941">
        <v>1.5952440951210019E-2</v>
      </c>
      <c r="M231" s="388"/>
      <c r="N231" s="334"/>
      <c r="O231" s="939">
        <f t="array" ref="O231:Y231">TRANSPOSE(Cls1NCentVMTShr)</f>
        <v>1.3589913425833078E-3</v>
      </c>
      <c r="P231" s="940">
        <v>5.8692629772239642E-3</v>
      </c>
      <c r="Q231" s="940">
        <v>1.2100393581509007E-2</v>
      </c>
      <c r="R231" s="940">
        <v>3.6555003327388577E-2</v>
      </c>
      <c r="S231" s="940">
        <v>8.3148735051829181E-2</v>
      </c>
      <c r="T231" s="940">
        <v>0.18151138394047112</v>
      </c>
      <c r="U231" s="940">
        <v>0.2383386372324876</v>
      </c>
      <c r="V231" s="940">
        <v>9.5602564448196578E-2</v>
      </c>
      <c r="W231" s="940">
        <v>2.9193025028929166E-2</v>
      </c>
      <c r="X231" s="940">
        <v>3.5209492159336005E-2</v>
      </c>
      <c r="Y231" s="941">
        <v>5.0731034221433824E-2</v>
      </c>
      <c r="Z231" s="388"/>
      <c r="AA231" s="334"/>
      <c r="AB231" s="1572" t="str">
        <f>"% of miles on f2 for Tech "&amp; RIGHT(O227)&amp;" adopters"</f>
        <v>% of miles on f2 for Tech D adopters</v>
      </c>
      <c r="AC231" s="1573"/>
      <c r="AD231" s="1574"/>
      <c r="AE231" s="938" t="s">
        <v>302</v>
      </c>
      <c r="AF231" s="938"/>
      <c r="AG231" s="938"/>
      <c r="AH231" s="1174" t="s">
        <v>311</v>
      </c>
      <c r="AI231" s="938"/>
    </row>
    <row r="232" spans="1:39" ht="13.5" thickBot="1" x14ac:dyDescent="0.25">
      <c r="A232" s="943" t="s">
        <v>267</v>
      </c>
      <c r="B232" s="934">
        <f t="array" ref="B232:L232">TRANSPOSE(Cls1CentVMT/OPDAYS_Cls1)</f>
        <v>51.642967609234425</v>
      </c>
      <c r="C232" s="935">
        <v>110.97733417848234</v>
      </c>
      <c r="D232" s="935">
        <v>204.40224583551472</v>
      </c>
      <c r="E232" s="935">
        <v>290.24610572847212</v>
      </c>
      <c r="F232" s="935">
        <v>364.75750419264841</v>
      </c>
      <c r="G232" s="935">
        <v>443.63126889109378</v>
      </c>
      <c r="H232" s="935">
        <v>506.78134229373978</v>
      </c>
      <c r="I232" s="935">
        <v>595.71283413609137</v>
      </c>
      <c r="J232" s="935">
        <v>682.23089916089702</v>
      </c>
      <c r="K232" s="935">
        <v>765.26438827532684</v>
      </c>
      <c r="L232" s="936">
        <v>970.27871027310334</v>
      </c>
      <c r="M232" s="932"/>
      <c r="N232" s="933"/>
      <c r="O232" s="934">
        <f t="array" ref="O232:Y232">TRANSPOSE(Cls1NCentVMT/OPDAYS_Cls1)</f>
        <v>47.924548633512046</v>
      </c>
      <c r="P232" s="935">
        <v>112.56389213862748</v>
      </c>
      <c r="Q232" s="935">
        <v>214.67280220238027</v>
      </c>
      <c r="R232" s="935">
        <v>288.30186744262801</v>
      </c>
      <c r="S232" s="935">
        <v>368.60089210549245</v>
      </c>
      <c r="T232" s="935">
        <v>447.31558789932524</v>
      </c>
      <c r="U232" s="935">
        <v>511.28831950097862</v>
      </c>
      <c r="V232" s="935">
        <v>595.73726658362273</v>
      </c>
      <c r="W232" s="935">
        <v>672.11099195240695</v>
      </c>
      <c r="X232" s="935">
        <v>757.0793017898726</v>
      </c>
      <c r="Y232" s="936">
        <v>896.16800791754974</v>
      </c>
      <c r="Z232" s="944"/>
      <c r="AA232" s="933"/>
      <c r="AB232" s="946" t="s">
        <v>187</v>
      </c>
      <c r="AC232" s="947" t="s">
        <v>15</v>
      </c>
      <c r="AD232" s="948" t="s">
        <v>18</v>
      </c>
      <c r="AE232" s="938" t="s">
        <v>187</v>
      </c>
      <c r="AF232" s="938" t="s">
        <v>15</v>
      </c>
      <c r="AG232" s="938" t="s">
        <v>18</v>
      </c>
      <c r="AH232" s="1174" t="s">
        <v>187</v>
      </c>
      <c r="AI232" s="938" t="s">
        <v>15</v>
      </c>
    </row>
    <row r="233" spans="1:39" ht="13.5" thickTop="1" x14ac:dyDescent="0.2">
      <c r="A233" s="942">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9">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50">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8">
        <f t="shared" ref="AD233:AD258" si="126">AB233*AH233+AC233*AI233</f>
        <v>0</v>
      </c>
      <c r="AE233" s="938">
        <f t="shared" ref="AE233:AE247" si="127">SUMPRODUCT($B$74:$L$74,B233:L233)</f>
        <v>0</v>
      </c>
      <c r="AF233" s="938">
        <f t="shared" ref="AF233:AF247" si="128">SUMPRODUCT($O$74:$Y$74,O233:Y233)</f>
        <v>0</v>
      </c>
      <c r="AG233" s="938">
        <f t="shared" ref="AG233:AG247" si="129">SUM(AE233:AF233)</f>
        <v>0</v>
      </c>
      <c r="AH233" s="1174">
        <f>IF(AG233&gt;0,AE233/AG233,0)</f>
        <v>0</v>
      </c>
      <c r="AI233" s="938">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9">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50">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8">
        <f t="shared" si="126"/>
        <v>0</v>
      </c>
      <c r="AE234" s="938">
        <f t="shared" si="127"/>
        <v>0</v>
      </c>
      <c r="AF234" s="938">
        <f t="shared" si="128"/>
        <v>0</v>
      </c>
      <c r="AG234" s="938">
        <f t="shared" si="129"/>
        <v>0</v>
      </c>
      <c r="AH234" s="1174">
        <f t="shared" ref="AH234:AH276" si="130">IF(AG234&gt;0,AE234/AG234,0)</f>
        <v>0</v>
      </c>
      <c r="AI234" s="938">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9">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50">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8">
        <f t="shared" si="126"/>
        <v>0</v>
      </c>
      <c r="AE235" s="938">
        <f t="shared" si="127"/>
        <v>0</v>
      </c>
      <c r="AF235" s="938">
        <f t="shared" si="128"/>
        <v>0</v>
      </c>
      <c r="AG235" s="938">
        <f t="shared" si="129"/>
        <v>0</v>
      </c>
      <c r="AH235" s="1174">
        <f t="shared" si="130"/>
        <v>0</v>
      </c>
      <c r="AI235" s="938">
        <f t="shared" si="131"/>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9">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50">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8">
        <f t="shared" si="126"/>
        <v>0</v>
      </c>
      <c r="AE236" s="938">
        <f t="shared" si="127"/>
        <v>0</v>
      </c>
      <c r="AF236" s="938">
        <f t="shared" si="128"/>
        <v>0</v>
      </c>
      <c r="AG236" s="938">
        <f t="shared" si="129"/>
        <v>0</v>
      </c>
      <c r="AH236" s="1174">
        <f t="shared" si="130"/>
        <v>0</v>
      </c>
      <c r="AI236" s="938">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9">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50">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8">
        <f t="shared" si="126"/>
        <v>0</v>
      </c>
      <c r="AE237" s="938">
        <f t="shared" si="127"/>
        <v>0</v>
      </c>
      <c r="AF237" s="938">
        <f t="shared" si="128"/>
        <v>0</v>
      </c>
      <c r="AG237" s="938">
        <f t="shared" si="129"/>
        <v>0</v>
      </c>
      <c r="AH237" s="1174">
        <f t="shared" si="130"/>
        <v>0</v>
      </c>
      <c r="AI237" s="938">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9">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50">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8">
        <f t="shared" si="126"/>
        <v>0</v>
      </c>
      <c r="AE238" s="938">
        <f t="shared" si="127"/>
        <v>0</v>
      </c>
      <c r="AF238" s="938">
        <f t="shared" si="128"/>
        <v>0</v>
      </c>
      <c r="AG238" s="938">
        <f t="shared" si="129"/>
        <v>0</v>
      </c>
      <c r="AH238" s="1174">
        <f t="shared" si="130"/>
        <v>0</v>
      </c>
      <c r="AI238" s="938">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9">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50">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8">
        <f t="shared" si="126"/>
        <v>0</v>
      </c>
      <c r="AE239" s="938">
        <f t="shared" si="127"/>
        <v>0</v>
      </c>
      <c r="AF239" s="938">
        <f t="shared" si="128"/>
        <v>0</v>
      </c>
      <c r="AG239" s="938">
        <f t="shared" si="129"/>
        <v>0</v>
      </c>
      <c r="AH239" s="1174">
        <f t="shared" si="130"/>
        <v>0</v>
      </c>
      <c r="AI239" s="938">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9">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50">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8">
        <f t="shared" si="126"/>
        <v>0</v>
      </c>
      <c r="AE240" s="938">
        <f t="shared" si="127"/>
        <v>0</v>
      </c>
      <c r="AF240" s="938">
        <f t="shared" si="128"/>
        <v>0</v>
      </c>
      <c r="AG240" s="938">
        <f t="shared" si="129"/>
        <v>0</v>
      </c>
      <c r="AH240" s="1174">
        <f t="shared" si="130"/>
        <v>0</v>
      </c>
      <c r="AI240" s="938">
        <f t="shared" si="131"/>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9">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50">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8">
        <f t="shared" si="126"/>
        <v>0</v>
      </c>
      <c r="AE241" s="938">
        <f t="shared" si="127"/>
        <v>0</v>
      </c>
      <c r="AF241" s="938">
        <f t="shared" si="128"/>
        <v>0</v>
      </c>
      <c r="AG241" s="938">
        <f t="shared" si="129"/>
        <v>0</v>
      </c>
      <c r="AH241" s="1174">
        <f t="shared" si="130"/>
        <v>0</v>
      </c>
      <c r="AI241" s="938">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9">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50">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8">
        <f t="shared" si="126"/>
        <v>0</v>
      </c>
      <c r="AE242" s="938">
        <f t="shared" si="127"/>
        <v>0</v>
      </c>
      <c r="AF242" s="938">
        <f t="shared" si="128"/>
        <v>0</v>
      </c>
      <c r="AG242" s="938">
        <f t="shared" si="129"/>
        <v>0</v>
      </c>
      <c r="AH242" s="1174">
        <f t="shared" si="130"/>
        <v>0</v>
      </c>
      <c r="AI242" s="938">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9">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50">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8">
        <f t="shared" si="126"/>
        <v>0</v>
      </c>
      <c r="AE243" s="938">
        <f t="shared" si="127"/>
        <v>0</v>
      </c>
      <c r="AF243" s="938">
        <f t="shared" si="128"/>
        <v>0</v>
      </c>
      <c r="AG243" s="938">
        <f t="shared" si="129"/>
        <v>0</v>
      </c>
      <c r="AH243" s="1174">
        <f t="shared" si="130"/>
        <v>0</v>
      </c>
      <c r="AI243" s="938">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9">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50">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8">
        <f t="shared" si="126"/>
        <v>0</v>
      </c>
      <c r="AE244" s="938">
        <f t="shared" si="127"/>
        <v>0</v>
      </c>
      <c r="AF244" s="938">
        <f t="shared" si="128"/>
        <v>0</v>
      </c>
      <c r="AG244" s="938">
        <f t="shared" si="129"/>
        <v>0</v>
      </c>
      <c r="AH244" s="1174">
        <f t="shared" si="130"/>
        <v>0</v>
      </c>
      <c r="AI244" s="938">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9">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50">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8">
        <f t="shared" si="126"/>
        <v>0</v>
      </c>
      <c r="AE245" s="938">
        <f t="shared" si="127"/>
        <v>0</v>
      </c>
      <c r="AF245" s="938">
        <f t="shared" si="128"/>
        <v>0</v>
      </c>
      <c r="AG245" s="938">
        <f t="shared" si="129"/>
        <v>0</v>
      </c>
      <c r="AH245" s="1174">
        <f t="shared" si="130"/>
        <v>0</v>
      </c>
      <c r="AI245" s="938">
        <f t="shared" si="131"/>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9">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50">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8">
        <f t="shared" si="126"/>
        <v>0</v>
      </c>
      <c r="AE246" s="938">
        <f t="shared" si="127"/>
        <v>0</v>
      </c>
      <c r="AF246" s="938">
        <f t="shared" si="128"/>
        <v>0</v>
      </c>
      <c r="AG246" s="938">
        <f t="shared" si="129"/>
        <v>0</v>
      </c>
      <c r="AH246" s="1174">
        <f t="shared" si="130"/>
        <v>0</v>
      </c>
      <c r="AI246" s="938">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9">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50">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8">
        <f t="shared" si="126"/>
        <v>0</v>
      </c>
      <c r="AE247" s="938">
        <f t="shared" si="127"/>
        <v>0</v>
      </c>
      <c r="AF247" s="938">
        <f t="shared" si="128"/>
        <v>0</v>
      </c>
      <c r="AG247" s="938">
        <f t="shared" si="129"/>
        <v>0</v>
      </c>
      <c r="AH247" s="1174">
        <f t="shared" si="130"/>
        <v>0</v>
      </c>
      <c r="AI247" s="938">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9">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50">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8">
        <f t="shared" si="126"/>
        <v>0</v>
      </c>
      <c r="AE248" s="938">
        <f>SUMPRODUCT($B$74:$L$74,B248:L248)</f>
        <v>0</v>
      </c>
      <c r="AF248" s="938">
        <f>SUMPRODUCT($O$74:$Y$74,O248:Y248)</f>
        <v>0</v>
      </c>
      <c r="AG248" s="938">
        <f>SUM(AE248:AF248)</f>
        <v>0</v>
      </c>
      <c r="AH248" s="1174">
        <f t="shared" si="130"/>
        <v>0</v>
      </c>
      <c r="AI248" s="938">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9">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50">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8">
        <f t="shared" si="126"/>
        <v>0</v>
      </c>
      <c r="AE249" s="938">
        <f t="shared" ref="AE249:AE276" si="132">SUMPRODUCT($B$74:$L$74,B249:L249)</f>
        <v>0</v>
      </c>
      <c r="AF249" s="938">
        <f t="shared" ref="AF249:AF276" si="133">SUMPRODUCT($O$74:$Y$74,O249:Y249)</f>
        <v>0</v>
      </c>
      <c r="AG249" s="938">
        <f t="shared" ref="AG249:AG276" si="134">SUM(AE249:AF249)</f>
        <v>0</v>
      </c>
      <c r="AH249" s="1174">
        <f t="shared" si="130"/>
        <v>0</v>
      </c>
      <c r="AI249" s="938">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9">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50">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8">
        <f t="shared" si="126"/>
        <v>0</v>
      </c>
      <c r="AE250" s="938">
        <f t="shared" si="132"/>
        <v>0</v>
      </c>
      <c r="AF250" s="938">
        <f t="shared" si="133"/>
        <v>0</v>
      </c>
      <c r="AG250" s="938">
        <f t="shared" si="134"/>
        <v>0</v>
      </c>
      <c r="AH250" s="1174">
        <f t="shared" si="130"/>
        <v>0</v>
      </c>
      <c r="AI250" s="938">
        <f t="shared" si="131"/>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9">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50">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8">
        <f t="shared" si="126"/>
        <v>0</v>
      </c>
      <c r="AE251" s="938">
        <f t="shared" si="132"/>
        <v>0</v>
      </c>
      <c r="AF251" s="938">
        <f t="shared" si="133"/>
        <v>0</v>
      </c>
      <c r="AG251" s="938">
        <f t="shared" si="134"/>
        <v>0</v>
      </c>
      <c r="AH251" s="1174">
        <f t="shared" si="130"/>
        <v>0</v>
      </c>
      <c r="AI251" s="938">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9">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50">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8">
        <f t="shared" si="126"/>
        <v>0</v>
      </c>
      <c r="AE252" s="938">
        <f t="shared" si="132"/>
        <v>0</v>
      </c>
      <c r="AF252" s="938">
        <f t="shared" si="133"/>
        <v>0</v>
      </c>
      <c r="AG252" s="938">
        <f t="shared" si="134"/>
        <v>0</v>
      </c>
      <c r="AH252" s="1174">
        <f t="shared" si="130"/>
        <v>0</v>
      </c>
      <c r="AI252" s="938">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9">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50">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8">
        <f t="shared" si="126"/>
        <v>0</v>
      </c>
      <c r="AE253" s="938">
        <f t="shared" si="132"/>
        <v>0</v>
      </c>
      <c r="AF253" s="938">
        <f t="shared" si="133"/>
        <v>0</v>
      </c>
      <c r="AG253" s="938">
        <f t="shared" si="134"/>
        <v>0</v>
      </c>
      <c r="AH253" s="1174">
        <f t="shared" si="130"/>
        <v>0</v>
      </c>
      <c r="AI253" s="938">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9">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50">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8">
        <f t="shared" si="126"/>
        <v>0</v>
      </c>
      <c r="AE254" s="938">
        <f t="shared" si="132"/>
        <v>0</v>
      </c>
      <c r="AF254" s="938">
        <f t="shared" si="133"/>
        <v>0</v>
      </c>
      <c r="AG254" s="938">
        <f t="shared" si="134"/>
        <v>0</v>
      </c>
      <c r="AH254" s="1174">
        <f t="shared" si="130"/>
        <v>0</v>
      </c>
      <c r="AI254" s="938">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9">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50">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8">
        <f t="shared" si="126"/>
        <v>0</v>
      </c>
      <c r="AE255" s="938">
        <f t="shared" si="132"/>
        <v>0</v>
      </c>
      <c r="AF255" s="938">
        <f t="shared" si="133"/>
        <v>0</v>
      </c>
      <c r="AG255" s="938">
        <f t="shared" si="134"/>
        <v>0</v>
      </c>
      <c r="AH255" s="1174">
        <f t="shared" si="130"/>
        <v>0</v>
      </c>
      <c r="AI255" s="938">
        <f t="shared" si="131"/>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9">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50">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8">
        <f t="shared" si="126"/>
        <v>0</v>
      </c>
      <c r="AE256" s="938">
        <f t="shared" si="132"/>
        <v>0</v>
      </c>
      <c r="AF256" s="938">
        <f t="shared" si="133"/>
        <v>0</v>
      </c>
      <c r="AG256" s="938">
        <f t="shared" si="134"/>
        <v>0</v>
      </c>
      <c r="AH256" s="1174">
        <f t="shared" si="130"/>
        <v>0</v>
      </c>
      <c r="AI256" s="938">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9">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50">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8">
        <f t="shared" si="126"/>
        <v>0</v>
      </c>
      <c r="AE257" s="938">
        <f t="shared" si="132"/>
        <v>0</v>
      </c>
      <c r="AF257" s="938">
        <f t="shared" si="133"/>
        <v>0</v>
      </c>
      <c r="AG257" s="938">
        <f t="shared" si="134"/>
        <v>0</v>
      </c>
      <c r="AH257" s="1174">
        <f t="shared" si="130"/>
        <v>0</v>
      </c>
      <c r="AI257" s="938">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9">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50">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8">
        <f t="shared" si="126"/>
        <v>0</v>
      </c>
      <c r="AE258" s="938">
        <f t="shared" si="132"/>
        <v>0</v>
      </c>
      <c r="AF258" s="938">
        <f t="shared" si="133"/>
        <v>0</v>
      </c>
      <c r="AG258" s="938">
        <f t="shared" si="134"/>
        <v>0</v>
      </c>
      <c r="AH258" s="1174">
        <f t="shared" si="130"/>
        <v>0</v>
      </c>
      <c r="AI258" s="938">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9">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50">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8">
        <f>AB259*AH259+AC259*AI259</f>
        <v>0</v>
      </c>
      <c r="AE259" s="938">
        <f t="shared" si="132"/>
        <v>0</v>
      </c>
      <c r="AF259" s="938">
        <f t="shared" si="133"/>
        <v>0</v>
      </c>
      <c r="AG259" s="938">
        <f t="shared" si="134"/>
        <v>0</v>
      </c>
      <c r="AH259" s="1174">
        <f t="shared" si="130"/>
        <v>0</v>
      </c>
      <c r="AI259" s="938">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9">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50">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8">
        <f t="shared" ref="AD260:AD276" si="135">AB260*AH260+AC260*AI260</f>
        <v>0</v>
      </c>
      <c r="AE260" s="938">
        <f t="shared" si="132"/>
        <v>0</v>
      </c>
      <c r="AF260" s="938">
        <f t="shared" si="133"/>
        <v>0</v>
      </c>
      <c r="AG260" s="938">
        <f t="shared" si="134"/>
        <v>0</v>
      </c>
      <c r="AH260" s="1174">
        <f t="shared" si="130"/>
        <v>0</v>
      </c>
      <c r="AI260" s="938">
        <f t="shared" si="131"/>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9">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50">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8">
        <f t="shared" si="135"/>
        <v>0</v>
      </c>
      <c r="AE261" s="938">
        <f t="shared" si="132"/>
        <v>0</v>
      </c>
      <c r="AF261" s="938">
        <f t="shared" si="133"/>
        <v>0</v>
      </c>
      <c r="AG261" s="938">
        <f t="shared" si="134"/>
        <v>0</v>
      </c>
      <c r="AH261" s="1174">
        <f t="shared" si="130"/>
        <v>0</v>
      </c>
      <c r="AI261" s="938">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9.588921586431651E-5</v>
      </c>
      <c r="M262" s="282">
        <f t="shared" si="122"/>
        <v>1.5296670539333401E-6</v>
      </c>
      <c r="N262" s="284">
        <f t="shared" si="123"/>
        <v>7.2072589040673436E-7</v>
      </c>
      <c r="O262" s="342">
        <v>0</v>
      </c>
      <c r="P262" s="343">
        <v>0</v>
      </c>
      <c r="Q262" s="343">
        <v>0</v>
      </c>
      <c r="R262" s="343">
        <v>0</v>
      </c>
      <c r="S262" s="343">
        <v>0</v>
      </c>
      <c r="T262" s="343">
        <v>0</v>
      </c>
      <c r="U262" s="343">
        <v>0</v>
      </c>
      <c r="V262" s="343">
        <v>0</v>
      </c>
      <c r="W262" s="343">
        <v>0</v>
      </c>
      <c r="X262" s="343">
        <v>0</v>
      </c>
      <c r="Y262" s="379">
        <v>4.8258144750879911E-4</v>
      </c>
      <c r="Z262" s="282">
        <f t="shared" si="124"/>
        <v>2.4481855928197959E-5</v>
      </c>
      <c r="AA262" s="284">
        <f t="shared" si="125"/>
        <v>1.2488912258593561E-5</v>
      </c>
      <c r="AB262" s="949">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0.27982036984729919</v>
      </c>
      <c r="AC262" s="950">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0.30296076758473112</v>
      </c>
      <c r="AD262" s="1228">
        <f t="shared" si="135"/>
        <v>0.30159994361228709</v>
      </c>
      <c r="AE262" s="938">
        <f t="shared" si="132"/>
        <v>1.5296670539333401E-6</v>
      </c>
      <c r="AF262" s="938">
        <f t="shared" si="133"/>
        <v>2.4481855928197959E-5</v>
      </c>
      <c r="AG262" s="938">
        <f t="shared" si="134"/>
        <v>2.6011522982131297E-5</v>
      </c>
      <c r="AH262" s="1174">
        <f t="shared" si="130"/>
        <v>5.8807285332125689E-2</v>
      </c>
      <c r="AI262" s="938">
        <f t="shared" si="131"/>
        <v>0.94119271466787435</v>
      </c>
    </row>
    <row r="263" spans="1:35" x14ac:dyDescent="0.2">
      <c r="A263" s="330">
        <v>2037</v>
      </c>
      <c r="B263" s="344">
        <v>0</v>
      </c>
      <c r="C263" s="345">
        <v>0</v>
      </c>
      <c r="D263" s="345">
        <v>0</v>
      </c>
      <c r="E263" s="345">
        <v>0</v>
      </c>
      <c r="F263" s="345">
        <v>0</v>
      </c>
      <c r="G263" s="345">
        <v>0</v>
      </c>
      <c r="H263" s="345">
        <v>0</v>
      </c>
      <c r="I263" s="345">
        <v>0</v>
      </c>
      <c r="J263" s="345">
        <v>0</v>
      </c>
      <c r="K263" s="345">
        <v>0</v>
      </c>
      <c r="L263" s="380">
        <v>4.087185537192352E-4</v>
      </c>
      <c r="M263" s="296">
        <f t="shared" si="122"/>
        <v>6.5200585938700592E-6</v>
      </c>
      <c r="N263" s="298">
        <f t="shared" si="123"/>
        <v>3.0720247412584071E-6</v>
      </c>
      <c r="O263" s="344">
        <v>0</v>
      </c>
      <c r="P263" s="345">
        <v>0</v>
      </c>
      <c r="Q263" s="345">
        <v>0</v>
      </c>
      <c r="R263" s="345">
        <v>0</v>
      </c>
      <c r="S263" s="345">
        <v>0</v>
      </c>
      <c r="T263" s="345">
        <v>0</v>
      </c>
      <c r="U263" s="345">
        <v>0</v>
      </c>
      <c r="V263" s="345">
        <v>0</v>
      </c>
      <c r="W263" s="345">
        <v>0</v>
      </c>
      <c r="X263" s="345">
        <v>0</v>
      </c>
      <c r="Y263" s="380">
        <v>1.5204709924332136E-3</v>
      </c>
      <c r="Z263" s="296">
        <f t="shared" si="124"/>
        <v>7.7135065949826803E-5</v>
      </c>
      <c r="AA263" s="298">
        <f t="shared" si="125"/>
        <v>3.9348857927011053E-5</v>
      </c>
      <c r="AB263" s="949">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0.27999870485161837</v>
      </c>
      <c r="AC263" s="950">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0.30315385041792597</v>
      </c>
      <c r="AD263" s="1228">
        <f t="shared" si="135"/>
        <v>0.3013491444101899</v>
      </c>
      <c r="AE263" s="938">
        <f t="shared" si="132"/>
        <v>6.5200585938700592E-6</v>
      </c>
      <c r="AF263" s="938">
        <f t="shared" si="133"/>
        <v>7.7135065949826803E-5</v>
      </c>
      <c r="AG263" s="938">
        <f t="shared" si="134"/>
        <v>8.3655124543696859E-5</v>
      </c>
      <c r="AH263" s="1174">
        <f t="shared" si="130"/>
        <v>7.7939739250096243E-2</v>
      </c>
      <c r="AI263" s="938">
        <f t="shared" si="131"/>
        <v>0.92206026074990377</v>
      </c>
    </row>
    <row r="264" spans="1:35" x14ac:dyDescent="0.2">
      <c r="A264" s="330">
        <v>2038</v>
      </c>
      <c r="B264" s="344">
        <v>0</v>
      </c>
      <c r="C264" s="345">
        <v>0</v>
      </c>
      <c r="D264" s="345">
        <v>0</v>
      </c>
      <c r="E264" s="345">
        <v>0</v>
      </c>
      <c r="F264" s="345">
        <v>0</v>
      </c>
      <c r="G264" s="345">
        <v>0</v>
      </c>
      <c r="H264" s="345">
        <v>0</v>
      </c>
      <c r="I264" s="345">
        <v>0</v>
      </c>
      <c r="J264" s="345">
        <v>0</v>
      </c>
      <c r="K264" s="345">
        <v>0</v>
      </c>
      <c r="L264" s="380">
        <v>2.802338682227712E-3</v>
      </c>
      <c r="M264" s="296">
        <f t="shared" si="122"/>
        <v>4.4704142353529271E-5</v>
      </c>
      <c r="N264" s="298">
        <f t="shared" si="123"/>
        <v>2.1063036377601714E-5</v>
      </c>
      <c r="O264" s="344">
        <v>0</v>
      </c>
      <c r="P264" s="345">
        <v>0</v>
      </c>
      <c r="Q264" s="345">
        <v>0</v>
      </c>
      <c r="R264" s="345">
        <v>0</v>
      </c>
      <c r="S264" s="345">
        <v>0</v>
      </c>
      <c r="T264" s="345">
        <v>0</v>
      </c>
      <c r="U264" s="345">
        <v>0</v>
      </c>
      <c r="V264" s="345">
        <v>0</v>
      </c>
      <c r="W264" s="345">
        <v>0</v>
      </c>
      <c r="X264" s="345">
        <v>2.9130622210017204E-4</v>
      </c>
      <c r="Y264" s="380">
        <v>5.6960751399754246E-3</v>
      </c>
      <c r="Z264" s="296">
        <f t="shared" si="124"/>
        <v>2.9922452699695357E-4</v>
      </c>
      <c r="AA264" s="298">
        <f t="shared" si="125"/>
        <v>1.5360446004689105E-4</v>
      </c>
      <c r="AB264" s="949">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0.28017703985593739</v>
      </c>
      <c r="AC264" s="950">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0.30525723703461305</v>
      </c>
      <c r="AD264" s="1228">
        <f t="shared" si="135"/>
        <v>0.30199729157252786</v>
      </c>
      <c r="AE264" s="938">
        <f t="shared" si="132"/>
        <v>4.4704142353529271E-5</v>
      </c>
      <c r="AF264" s="938">
        <f t="shared" si="133"/>
        <v>2.9922452699695357E-4</v>
      </c>
      <c r="AG264" s="938">
        <f t="shared" si="134"/>
        <v>3.4392866935048283E-4</v>
      </c>
      <c r="AH264" s="1174">
        <f t="shared" si="130"/>
        <v>0.12998085457067032</v>
      </c>
      <c r="AI264" s="938">
        <f t="shared" si="131"/>
        <v>0.87001914542932968</v>
      </c>
    </row>
    <row r="265" spans="1:35" x14ac:dyDescent="0.2">
      <c r="A265" s="330">
        <v>2039</v>
      </c>
      <c r="B265" s="344">
        <v>0</v>
      </c>
      <c r="C265" s="345">
        <v>0</v>
      </c>
      <c r="D265" s="345">
        <v>0</v>
      </c>
      <c r="E265" s="345">
        <v>0</v>
      </c>
      <c r="F265" s="345">
        <v>0</v>
      </c>
      <c r="G265" s="345">
        <v>0</v>
      </c>
      <c r="H265" s="345">
        <v>0</v>
      </c>
      <c r="I265" s="345">
        <v>0</v>
      </c>
      <c r="J265" s="345">
        <v>0</v>
      </c>
      <c r="K265" s="345">
        <v>1.2936617509579958E-4</v>
      </c>
      <c r="L265" s="380">
        <v>9.3956359747031943E-3</v>
      </c>
      <c r="M265" s="296">
        <f t="shared" si="122"/>
        <v>1.506639143115639E-4</v>
      </c>
      <c r="N265" s="298">
        <f t="shared" si="123"/>
        <v>7.1086123625817174E-5</v>
      </c>
      <c r="O265" s="344">
        <v>0</v>
      </c>
      <c r="P265" s="345">
        <v>0</v>
      </c>
      <c r="Q265" s="345">
        <v>0</v>
      </c>
      <c r="R265" s="345">
        <v>0</v>
      </c>
      <c r="S265" s="345">
        <v>0</v>
      </c>
      <c r="T265" s="345">
        <v>0</v>
      </c>
      <c r="U265" s="345">
        <v>0</v>
      </c>
      <c r="V265" s="345">
        <v>0</v>
      </c>
      <c r="W265" s="345">
        <v>2.0762095878293919E-4</v>
      </c>
      <c r="X265" s="345">
        <v>2.441010490649462E-3</v>
      </c>
      <c r="Y265" s="380">
        <v>1.5824562783061987E-2</v>
      </c>
      <c r="Z265" s="296">
        <f t="shared" si="124"/>
        <v>8.9480425966440556E-4</v>
      </c>
      <c r="AA265" s="298">
        <f t="shared" si="125"/>
        <v>4.655515171272576E-4</v>
      </c>
      <c r="AB265" s="949">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0.28074450352274899</v>
      </c>
      <c r="AC265" s="950">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0.30958177045863605</v>
      </c>
      <c r="AD265" s="1228">
        <f t="shared" si="135"/>
        <v>0.30542599066279119</v>
      </c>
      <c r="AE265" s="938">
        <f t="shared" si="132"/>
        <v>1.506639143115639E-4</v>
      </c>
      <c r="AF265" s="938">
        <f t="shared" si="133"/>
        <v>8.9480425966440556E-4</v>
      </c>
      <c r="AG265" s="938">
        <f t="shared" si="134"/>
        <v>1.0454681739759694E-3</v>
      </c>
      <c r="AH265" s="1174">
        <f t="shared" si="130"/>
        <v>0.14411143070819771</v>
      </c>
      <c r="AI265" s="938">
        <f t="shared" si="131"/>
        <v>0.85588856929180235</v>
      </c>
    </row>
    <row r="266" spans="1:35" ht="13.5" thickBot="1" x14ac:dyDescent="0.25">
      <c r="A266" s="328">
        <v>2040</v>
      </c>
      <c r="B266" s="346">
        <v>0</v>
      </c>
      <c r="C266" s="347">
        <v>0</v>
      </c>
      <c r="D266" s="347">
        <v>0</v>
      </c>
      <c r="E266" s="347">
        <v>0</v>
      </c>
      <c r="F266" s="347">
        <v>0</v>
      </c>
      <c r="G266" s="347">
        <v>0</v>
      </c>
      <c r="H266" s="347">
        <v>0</v>
      </c>
      <c r="I266" s="347">
        <v>0</v>
      </c>
      <c r="J266" s="347">
        <v>2.0645221736301559E-4</v>
      </c>
      <c r="K266" s="347">
        <v>2.0068017242123259E-3</v>
      </c>
      <c r="L266" s="381">
        <v>2.1919703757968461E-2</v>
      </c>
      <c r="M266" s="310">
        <f t="shared" si="122"/>
        <v>3.6421222725608205E-4</v>
      </c>
      <c r="N266" s="312">
        <f t="shared" si="123"/>
        <v>1.7361609210106148E-4</v>
      </c>
      <c r="O266" s="346">
        <v>0</v>
      </c>
      <c r="P266" s="347">
        <v>0</v>
      </c>
      <c r="Q266" s="347">
        <v>0</v>
      </c>
      <c r="R266" s="347">
        <v>0</v>
      </c>
      <c r="S266" s="347">
        <v>0</v>
      </c>
      <c r="T266" s="347">
        <v>0</v>
      </c>
      <c r="U266" s="347">
        <v>0</v>
      </c>
      <c r="V266" s="347">
        <v>4.2613931300667312E-4</v>
      </c>
      <c r="W266" s="347">
        <v>3.3374117186767091E-3</v>
      </c>
      <c r="X266" s="347">
        <v>1.1107630231018217E-2</v>
      </c>
      <c r="Y266" s="381">
        <v>3.7654226986676746E-2</v>
      </c>
      <c r="Z266" s="310">
        <f t="shared" si="124"/>
        <v>2.4395010523413762E-3</v>
      </c>
      <c r="AA266" s="312">
        <f t="shared" si="125"/>
        <v>1.3081635433095755E-3</v>
      </c>
      <c r="AB266" s="949">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0.2838228125181958</v>
      </c>
      <c r="AC266" s="950">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0.31928085410472434</v>
      </c>
      <c r="AD266" s="1228">
        <f t="shared" si="135"/>
        <v>0.31467472965029275</v>
      </c>
      <c r="AE266" s="938">
        <f t="shared" si="132"/>
        <v>3.6421222725608205E-4</v>
      </c>
      <c r="AF266" s="938">
        <f t="shared" si="133"/>
        <v>2.4395010523413762E-3</v>
      </c>
      <c r="AG266" s="938">
        <f t="shared" si="134"/>
        <v>2.8037132795974582E-3</v>
      </c>
      <c r="AH266" s="1174">
        <f t="shared" si="130"/>
        <v>0.12990352112908407</v>
      </c>
      <c r="AI266" s="938">
        <f t="shared" si="131"/>
        <v>0.8700964788709159</v>
      </c>
    </row>
    <row r="267" spans="1:35" x14ac:dyDescent="0.2">
      <c r="A267" s="329">
        <v>2041</v>
      </c>
      <c r="B267" s="342">
        <v>0</v>
      </c>
      <c r="C267" s="343">
        <v>0</v>
      </c>
      <c r="D267" s="343">
        <v>0</v>
      </c>
      <c r="E267" s="343">
        <v>0</v>
      </c>
      <c r="F267" s="343">
        <v>0</v>
      </c>
      <c r="G267" s="343">
        <v>0</v>
      </c>
      <c r="H267" s="343">
        <v>0</v>
      </c>
      <c r="I267" s="343">
        <v>5.7141840220721379E-4</v>
      </c>
      <c r="J267" s="343">
        <v>4.0254572947176987E-3</v>
      </c>
      <c r="K267" s="343">
        <v>1.1152113631134185E-2</v>
      </c>
      <c r="L267" s="379">
        <v>4.6128382697539903E-2</v>
      </c>
      <c r="M267" s="282">
        <f t="shared" si="122"/>
        <v>8.691027946713119E-4</v>
      </c>
      <c r="N267" s="284">
        <f t="shared" si="123"/>
        <v>4.329110060346808E-4</v>
      </c>
      <c r="O267" s="342">
        <v>0</v>
      </c>
      <c r="P267" s="343">
        <v>0</v>
      </c>
      <c r="Q267" s="343">
        <v>0</v>
      </c>
      <c r="R267" s="343">
        <v>0</v>
      </c>
      <c r="S267" s="343">
        <v>0</v>
      </c>
      <c r="T267" s="343">
        <v>7.1878370773372215E-5</v>
      </c>
      <c r="U267" s="343">
        <v>1.007527015472775E-3</v>
      </c>
      <c r="V267" s="343">
        <v>5.9313457228188501E-3</v>
      </c>
      <c r="W267" s="343">
        <v>1.614501240081655E-2</v>
      </c>
      <c r="X267" s="343">
        <v>3.4416860099277337E-2</v>
      </c>
      <c r="Y267" s="379">
        <v>6.4735424264361158E-2</v>
      </c>
      <c r="Z267" s="282">
        <f t="shared" si="124"/>
        <v>5.7874481607457038E-3</v>
      </c>
      <c r="AA267" s="284">
        <f t="shared" si="125"/>
        <v>3.3908386368421859E-3</v>
      </c>
      <c r="AB267" s="949">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0.29676680298618302</v>
      </c>
      <c r="AC267" s="950">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0.34906623881745363</v>
      </c>
      <c r="AD267" s="1228">
        <f t="shared" si="135"/>
        <v>0.34223783982447353</v>
      </c>
      <c r="AE267" s="938">
        <f t="shared" si="132"/>
        <v>8.691027946713119E-4</v>
      </c>
      <c r="AF267" s="938">
        <f t="shared" si="133"/>
        <v>5.7874481607457038E-3</v>
      </c>
      <c r="AG267" s="938">
        <f t="shared" si="134"/>
        <v>6.6565509554170153E-3</v>
      </c>
      <c r="AH267" s="1174">
        <f t="shared" si="130"/>
        <v>0.13056353064706089</v>
      </c>
      <c r="AI267" s="938">
        <f t="shared" si="131"/>
        <v>0.86943646935293917</v>
      </c>
    </row>
    <row r="268" spans="1:35" x14ac:dyDescent="0.2">
      <c r="A268" s="330">
        <v>2042</v>
      </c>
      <c r="B268" s="344">
        <v>0</v>
      </c>
      <c r="C268" s="345">
        <v>0</v>
      </c>
      <c r="D268" s="345">
        <v>0</v>
      </c>
      <c r="E268" s="345">
        <v>0</v>
      </c>
      <c r="F268" s="345">
        <v>0</v>
      </c>
      <c r="G268" s="345">
        <v>5.0830215300069531E-4</v>
      </c>
      <c r="H268" s="345">
        <v>2.7384047616878433E-3</v>
      </c>
      <c r="I268" s="345">
        <v>1.0157772413953367E-2</v>
      </c>
      <c r="J268" s="345">
        <v>2.445789627670265E-2</v>
      </c>
      <c r="K268" s="345">
        <v>3.9088447489761965E-2</v>
      </c>
      <c r="L268" s="380">
        <v>7.2829531327152836E-2</v>
      </c>
      <c r="M268" s="296">
        <f t="shared" si="122"/>
        <v>2.2388485352510144E-3</v>
      </c>
      <c r="N268" s="298">
        <f t="shared" si="123"/>
        <v>1.337675534219341E-3</v>
      </c>
      <c r="O268" s="344">
        <v>0</v>
      </c>
      <c r="P268" s="345">
        <v>0</v>
      </c>
      <c r="Q268" s="345">
        <v>0</v>
      </c>
      <c r="R268" s="345">
        <v>0</v>
      </c>
      <c r="S268" s="345">
        <v>9.1396972094335519E-4</v>
      </c>
      <c r="T268" s="345">
        <v>6.2085777271375766E-3</v>
      </c>
      <c r="U268" s="345">
        <v>1.4902098823174212E-2</v>
      </c>
      <c r="V268" s="345">
        <v>3.1885496668905278E-2</v>
      </c>
      <c r="W268" s="345">
        <v>5.1170208128921299E-2</v>
      </c>
      <c r="X268" s="345">
        <v>7.0771127832261319E-2</v>
      </c>
      <c r="Y268" s="380">
        <v>0.10761164856407623</v>
      </c>
      <c r="Z268" s="296">
        <f t="shared" si="124"/>
        <v>1.7247883000487359E-2</v>
      </c>
      <c r="AA268" s="298">
        <f t="shared" si="125"/>
        <v>1.2066665205819251E-2</v>
      </c>
      <c r="AB268" s="949">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0.3561965639588176</v>
      </c>
      <c r="AC268" s="950">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0.41707592410154604</v>
      </c>
      <c r="AD268" s="1228">
        <f t="shared" si="135"/>
        <v>0.41008143833913918</v>
      </c>
      <c r="AE268" s="938">
        <f t="shared" si="132"/>
        <v>2.2388485352510144E-3</v>
      </c>
      <c r="AF268" s="938">
        <f t="shared" si="133"/>
        <v>1.7247883000487359E-2</v>
      </c>
      <c r="AG268" s="938">
        <f t="shared" si="134"/>
        <v>1.9486731535738374E-2</v>
      </c>
      <c r="AH268" s="1174">
        <f t="shared" si="130"/>
        <v>0.11489092109392485</v>
      </c>
      <c r="AI268" s="938">
        <f t="shared" si="131"/>
        <v>0.88510907890607515</v>
      </c>
    </row>
    <row r="269" spans="1:35" x14ac:dyDescent="0.2">
      <c r="A269" s="330">
        <v>2043</v>
      </c>
      <c r="B269" s="344">
        <v>0</v>
      </c>
      <c r="C269" s="345">
        <v>0</v>
      </c>
      <c r="D269" s="345">
        <v>0</v>
      </c>
      <c r="E269" s="345">
        <v>5.9405780315798754E-4</v>
      </c>
      <c r="F269" s="345">
        <v>4.0085013956384311E-3</v>
      </c>
      <c r="G269" s="345">
        <v>1.2036598253272808E-2</v>
      </c>
      <c r="H269" s="345">
        <v>2.2862675324269711E-2</v>
      </c>
      <c r="I269" s="345">
        <v>4.0171138229895188E-2</v>
      </c>
      <c r="J269" s="345">
        <v>5.5542723672715795E-2</v>
      </c>
      <c r="K269" s="345">
        <v>6.912766418860275E-2</v>
      </c>
      <c r="L269" s="380">
        <v>9.9821987880838708E-2</v>
      </c>
      <c r="M269" s="296">
        <f t="shared" si="122"/>
        <v>6.1954582801386129E-3</v>
      </c>
      <c r="N269" s="298">
        <f t="shared" si="123"/>
        <v>4.5467896768985197E-3</v>
      </c>
      <c r="O269" s="344">
        <v>0</v>
      </c>
      <c r="P269" s="345">
        <v>0</v>
      </c>
      <c r="Q269" s="345">
        <v>1.1086218768657009E-4</v>
      </c>
      <c r="R269" s="345">
        <v>5.3787849013306422E-3</v>
      </c>
      <c r="S269" s="345">
        <v>1.787657299019265E-2</v>
      </c>
      <c r="T269" s="345">
        <v>3.6843741726461793E-2</v>
      </c>
      <c r="U269" s="345">
        <v>5.2698134685440219E-2</v>
      </c>
      <c r="V269" s="345">
        <v>7.2420430132787192E-2</v>
      </c>
      <c r="W269" s="345">
        <v>8.9915086981580405E-2</v>
      </c>
      <c r="X269" s="345">
        <v>0.10843226155665858</v>
      </c>
      <c r="Y269" s="380">
        <v>0.13553934921039487</v>
      </c>
      <c r="Z269" s="296">
        <f t="shared" si="124"/>
        <v>4.1174306013312428E-2</v>
      </c>
      <c r="AA269" s="298">
        <f t="shared" si="125"/>
        <v>3.3134867327637312E-2</v>
      </c>
      <c r="AB269" s="949">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0.43779492819722576</v>
      </c>
      <c r="AC269" s="950">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0.48005420301910545</v>
      </c>
      <c r="AD269" s="1228">
        <f t="shared" si="135"/>
        <v>0.4745271420760544</v>
      </c>
      <c r="AE269" s="938">
        <f t="shared" si="132"/>
        <v>6.1954582801386129E-3</v>
      </c>
      <c r="AF269" s="938">
        <f t="shared" si="133"/>
        <v>4.1174306013312428E-2</v>
      </c>
      <c r="AG269" s="938">
        <f t="shared" si="134"/>
        <v>4.7369764293451043E-2</v>
      </c>
      <c r="AH269" s="1174">
        <f t="shared" si="130"/>
        <v>0.13078929930405303</v>
      </c>
      <c r="AI269" s="938">
        <f t="shared" si="131"/>
        <v>0.86921070069594697</v>
      </c>
    </row>
    <row r="270" spans="1:35" x14ac:dyDescent="0.2">
      <c r="A270" s="330">
        <v>2044</v>
      </c>
      <c r="B270" s="344">
        <v>0</v>
      </c>
      <c r="C270" s="345">
        <v>0</v>
      </c>
      <c r="D270" s="345">
        <v>4.2275598303873188E-4</v>
      </c>
      <c r="E270" s="345">
        <v>1.2198374844093777E-2</v>
      </c>
      <c r="F270" s="345">
        <v>2.494124468678487E-2</v>
      </c>
      <c r="G270" s="345">
        <v>4.2268961074806877E-2</v>
      </c>
      <c r="H270" s="345">
        <v>5.3310144831230651E-2</v>
      </c>
      <c r="I270" s="345">
        <v>7.0920563616433244E-2</v>
      </c>
      <c r="J270" s="345">
        <v>8.5252880628059205E-2</v>
      </c>
      <c r="K270" s="345">
        <v>9.5634632007471285E-2</v>
      </c>
      <c r="L270" s="380">
        <v>0.1224826167299851</v>
      </c>
      <c r="M270" s="296">
        <f t="shared" si="122"/>
        <v>1.2171294653318027E-2</v>
      </c>
      <c r="N270" s="298">
        <f t="shared" si="123"/>
        <v>1.0032449361932384E-2</v>
      </c>
      <c r="O270" s="344">
        <v>0</v>
      </c>
      <c r="P270" s="345">
        <v>0</v>
      </c>
      <c r="Q270" s="345">
        <v>5.1839625550617495E-3</v>
      </c>
      <c r="R270" s="345">
        <v>3.4121816055637584E-2</v>
      </c>
      <c r="S270" s="345">
        <v>5.5962490963086343E-2</v>
      </c>
      <c r="T270" s="345">
        <v>7.6281807704764309E-2</v>
      </c>
      <c r="U270" s="345">
        <v>9.2517098019994318E-2</v>
      </c>
      <c r="V270" s="345">
        <v>0.11089093883228825</v>
      </c>
      <c r="W270" s="345">
        <v>0.12401148795337322</v>
      </c>
      <c r="X270" s="345">
        <v>0.14360314745287536</v>
      </c>
      <c r="Y270" s="380">
        <v>0.15677897266830207</v>
      </c>
      <c r="Z270" s="296">
        <f t="shared" si="124"/>
        <v>6.9091158889438356E-2</v>
      </c>
      <c r="AA270" s="298">
        <f t="shared" si="125"/>
        <v>5.9457935499598852E-2</v>
      </c>
      <c r="AB270" s="949">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0.49197420664698965</v>
      </c>
      <c r="AC270" s="950">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0.5134449793552669</v>
      </c>
      <c r="AD270" s="1228">
        <f t="shared" si="135"/>
        <v>0.51022913870963138</v>
      </c>
      <c r="AE270" s="938">
        <f t="shared" si="132"/>
        <v>1.2171294653318027E-2</v>
      </c>
      <c r="AF270" s="938">
        <f t="shared" si="133"/>
        <v>6.9091158889438356E-2</v>
      </c>
      <c r="AG270" s="938">
        <f t="shared" si="134"/>
        <v>8.126245354275638E-2</v>
      </c>
      <c r="AH270" s="1174">
        <f t="shared" si="130"/>
        <v>0.14977759251280887</v>
      </c>
      <c r="AI270" s="938">
        <f t="shared" si="131"/>
        <v>0.85022240748719113</v>
      </c>
    </row>
    <row r="271" spans="1:35" ht="13.5" thickBot="1" x14ac:dyDescent="0.25">
      <c r="A271" s="328">
        <v>2045</v>
      </c>
      <c r="B271" s="346">
        <v>0</v>
      </c>
      <c r="C271" s="347">
        <v>0</v>
      </c>
      <c r="D271" s="347">
        <v>6.5362489246181777E-3</v>
      </c>
      <c r="E271" s="347">
        <v>3.9231716970202439E-2</v>
      </c>
      <c r="F271" s="347">
        <v>5.7347318261848891E-2</v>
      </c>
      <c r="G271" s="347">
        <v>6.8690681904112552E-2</v>
      </c>
      <c r="H271" s="347">
        <v>8.2781882632396595E-2</v>
      </c>
      <c r="I271" s="347">
        <v>9.7869173468860052E-2</v>
      </c>
      <c r="J271" s="347">
        <v>0.10789315490550901</v>
      </c>
      <c r="K271" s="347">
        <v>0.11856937242321079</v>
      </c>
      <c r="L271" s="381">
        <v>0.13377235864186179</v>
      </c>
      <c r="M271" s="310">
        <f t="shared" si="122"/>
        <v>1.8280549583528715E-2</v>
      </c>
      <c r="N271" s="312">
        <f t="shared" si="123"/>
        <v>1.6119678854616501E-2</v>
      </c>
      <c r="O271" s="346">
        <v>0</v>
      </c>
      <c r="P271" s="347">
        <v>0</v>
      </c>
      <c r="Q271" s="347">
        <v>2.4275256795792184E-2</v>
      </c>
      <c r="R271" s="347">
        <v>7.8408784352627797E-2</v>
      </c>
      <c r="S271" s="347">
        <v>9.7677816400662615E-2</v>
      </c>
      <c r="T271" s="347">
        <v>0.11630347907178873</v>
      </c>
      <c r="U271" s="347">
        <v>0.12722894066070753</v>
      </c>
      <c r="V271" s="347">
        <v>0.13933738712367244</v>
      </c>
      <c r="W271" s="347">
        <v>0.15250936905494974</v>
      </c>
      <c r="X271" s="347">
        <v>0.16446596622285273</v>
      </c>
      <c r="Y271" s="381">
        <v>0.17673259232853444</v>
      </c>
      <c r="Z271" s="310">
        <f t="shared" si="124"/>
        <v>9.5245549885950354E-2</v>
      </c>
      <c r="AA271" s="312">
        <f t="shared" si="125"/>
        <v>8.5253366231293495E-2</v>
      </c>
      <c r="AB271" s="949">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0.52619416203381841</v>
      </c>
      <c r="AC271" s="950">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0.53379558539225525</v>
      </c>
      <c r="AD271" s="1228">
        <f t="shared" si="135"/>
        <v>0.53257156556546059</v>
      </c>
      <c r="AE271" s="938">
        <f t="shared" si="132"/>
        <v>1.8280549583528715E-2</v>
      </c>
      <c r="AF271" s="938">
        <f t="shared" si="133"/>
        <v>9.5245549885950354E-2</v>
      </c>
      <c r="AG271" s="938">
        <f t="shared" si="134"/>
        <v>0.11352609946947907</v>
      </c>
      <c r="AH271" s="1174">
        <f t="shared" si="130"/>
        <v>0.16102508294529533</v>
      </c>
      <c r="AI271" s="938">
        <f t="shared" si="131"/>
        <v>0.83897491705470462</v>
      </c>
    </row>
    <row r="272" spans="1:35" x14ac:dyDescent="0.2">
      <c r="A272" s="329">
        <v>2046</v>
      </c>
      <c r="B272" s="342">
        <v>0</v>
      </c>
      <c r="C272" s="343">
        <v>0</v>
      </c>
      <c r="D272" s="343">
        <v>1.7383631984331124E-2</v>
      </c>
      <c r="E272" s="343">
        <v>6.5659030431649237E-2</v>
      </c>
      <c r="F272" s="343">
        <v>7.766659411435059E-2</v>
      </c>
      <c r="G272" s="343">
        <v>9.0877187757141903E-2</v>
      </c>
      <c r="H272" s="343">
        <v>9.977160964168566E-2</v>
      </c>
      <c r="I272" s="343">
        <v>0.10984870893737922</v>
      </c>
      <c r="J272" s="343">
        <v>0.1198146133895986</v>
      </c>
      <c r="K272" s="343">
        <v>0.13026311657121301</v>
      </c>
      <c r="L272" s="379">
        <v>0.14498716242463566</v>
      </c>
      <c r="M272" s="282">
        <f t="shared" si="122"/>
        <v>2.2228612936354718E-2</v>
      </c>
      <c r="N272" s="284">
        <f t="shared" si="123"/>
        <v>2.0230069651986763E-2</v>
      </c>
      <c r="O272" s="342">
        <v>0</v>
      </c>
      <c r="P272" s="343">
        <v>0</v>
      </c>
      <c r="Q272" s="343">
        <v>4.5854004947535221E-2</v>
      </c>
      <c r="R272" s="343">
        <v>0.10554160029877559</v>
      </c>
      <c r="S272" s="343">
        <v>0.12022898197295884</v>
      </c>
      <c r="T272" s="343">
        <v>0.13828879650118486</v>
      </c>
      <c r="U272" s="343">
        <v>0.14170896220466422</v>
      </c>
      <c r="V272" s="343">
        <v>0.15358174067556282</v>
      </c>
      <c r="W272" s="343">
        <v>0.16633739486396132</v>
      </c>
      <c r="X272" s="343">
        <v>0.17112765866476778</v>
      </c>
      <c r="Y272" s="379">
        <v>0.1829326810493917</v>
      </c>
      <c r="Z272" s="282">
        <f t="shared" si="124"/>
        <v>0.1081299066478062</v>
      </c>
      <c r="AA272" s="284">
        <f t="shared" si="125"/>
        <v>9.8493720528487289E-2</v>
      </c>
      <c r="AB272" s="949">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0.54284611556493378</v>
      </c>
      <c r="AC272" s="950">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0.54301245831973666</v>
      </c>
      <c r="AD272" s="1228">
        <f t="shared" si="135"/>
        <v>0.54298409370863887</v>
      </c>
      <c r="AE272" s="938">
        <f t="shared" si="132"/>
        <v>2.2228612936354718E-2</v>
      </c>
      <c r="AF272" s="938">
        <f t="shared" si="133"/>
        <v>0.1081299066478062</v>
      </c>
      <c r="AG272" s="938">
        <f t="shared" si="134"/>
        <v>0.13035851958416092</v>
      </c>
      <c r="AH272" s="1174">
        <f t="shared" si="130"/>
        <v>0.17051906547622056</v>
      </c>
      <c r="AI272" s="938">
        <f t="shared" si="131"/>
        <v>0.82948093452377936</v>
      </c>
    </row>
    <row r="273" spans="1:43" x14ac:dyDescent="0.2">
      <c r="A273" s="330">
        <v>2047</v>
      </c>
      <c r="B273" s="344">
        <v>0</v>
      </c>
      <c r="C273" s="345">
        <v>0</v>
      </c>
      <c r="D273" s="345">
        <v>2.6545317874666075E-2</v>
      </c>
      <c r="E273" s="345">
        <v>7.6003254763589448E-2</v>
      </c>
      <c r="F273" s="345">
        <v>8.8815991069888606E-2</v>
      </c>
      <c r="G273" s="345">
        <v>0.10248299952867425</v>
      </c>
      <c r="H273" s="345">
        <v>0.11194422405313474</v>
      </c>
      <c r="I273" s="345">
        <v>0.12161521758803086</v>
      </c>
      <c r="J273" s="345">
        <v>0.13137091873722212</v>
      </c>
      <c r="K273" s="345">
        <v>0.13623743461568094</v>
      </c>
      <c r="L273" s="380">
        <v>0.15041543105142063</v>
      </c>
      <c r="M273" s="296">
        <f t="shared" si="122"/>
        <v>2.4742842470249118E-2</v>
      </c>
      <c r="N273" s="298">
        <f t="shared" si="123"/>
        <v>2.2729715034047356E-2</v>
      </c>
      <c r="O273" s="344">
        <v>0</v>
      </c>
      <c r="P273" s="345">
        <v>1.2609918731391019E-4</v>
      </c>
      <c r="Q273" s="345">
        <v>6.6738592408266073E-2</v>
      </c>
      <c r="R273" s="345">
        <v>0.12014459050094921</v>
      </c>
      <c r="S273" s="345">
        <v>0.13490299151237625</v>
      </c>
      <c r="T273" s="345">
        <v>0.14545055517938127</v>
      </c>
      <c r="U273" s="345">
        <v>0.15590723434230577</v>
      </c>
      <c r="V273" s="345">
        <v>0.16723177226563846</v>
      </c>
      <c r="W273" s="345">
        <v>0.17278779665216029</v>
      </c>
      <c r="X273" s="345">
        <v>0.17732522256989974</v>
      </c>
      <c r="Y273" s="380">
        <v>0.1885773664593825</v>
      </c>
      <c r="Z273" s="296">
        <f t="shared" si="124"/>
        <v>0.11681909230548783</v>
      </c>
      <c r="AA273" s="298">
        <f t="shared" si="125"/>
        <v>0.10715630426457114</v>
      </c>
      <c r="AB273" s="949">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0.54789172928529573</v>
      </c>
      <c r="AC273" s="950">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0.54668468855824059</v>
      </c>
      <c r="AD273" s="1228">
        <f t="shared" si="135"/>
        <v>0.54689566065756945</v>
      </c>
      <c r="AE273" s="938">
        <f t="shared" si="132"/>
        <v>2.4742842470249118E-2</v>
      </c>
      <c r="AF273" s="938">
        <f t="shared" si="133"/>
        <v>0.11681909230548783</v>
      </c>
      <c r="AG273" s="938">
        <f t="shared" si="134"/>
        <v>0.14156193477573695</v>
      </c>
      <c r="AH273" s="1174">
        <f t="shared" si="130"/>
        <v>0.17478457404136813</v>
      </c>
      <c r="AI273" s="938">
        <f t="shared" si="131"/>
        <v>0.82521542595863184</v>
      </c>
    </row>
    <row r="274" spans="1:43" x14ac:dyDescent="0.2">
      <c r="A274" s="330">
        <v>2048</v>
      </c>
      <c r="B274" s="344">
        <v>0</v>
      </c>
      <c r="C274" s="345">
        <v>0</v>
      </c>
      <c r="D274" s="345">
        <v>3.5289456135044889E-2</v>
      </c>
      <c r="E274" s="345">
        <v>8.706101393130164E-2</v>
      </c>
      <c r="F274" s="345">
        <v>0.10052911378982489</v>
      </c>
      <c r="G274" s="345">
        <v>0.10838572126472036</v>
      </c>
      <c r="H274" s="345">
        <v>0.11788503764741849</v>
      </c>
      <c r="I274" s="345">
        <v>0.12785927455999854</v>
      </c>
      <c r="J274" s="345">
        <v>0.13738196129312163</v>
      </c>
      <c r="K274" s="345">
        <v>0.14198899529428805</v>
      </c>
      <c r="L274" s="380">
        <v>0.15561224019819303</v>
      </c>
      <c r="M274" s="296">
        <f t="shared" si="122"/>
        <v>2.6406715352884282E-2</v>
      </c>
      <c r="N274" s="298">
        <f t="shared" si="123"/>
        <v>2.4497487598255742E-2</v>
      </c>
      <c r="O274" s="344">
        <v>0</v>
      </c>
      <c r="P274" s="345">
        <v>3.1751647287478322E-4</v>
      </c>
      <c r="Q274" s="345">
        <v>7.879431584843366E-2</v>
      </c>
      <c r="R274" s="345">
        <v>0.13552359752346876</v>
      </c>
      <c r="S274" s="345">
        <v>0.14245115118992802</v>
      </c>
      <c r="T274" s="345">
        <v>0.15287140106359834</v>
      </c>
      <c r="U274" s="345">
        <v>0.16305803359763851</v>
      </c>
      <c r="V274" s="345">
        <v>0.17402296929673436</v>
      </c>
      <c r="W274" s="345">
        <v>0.17935431364203641</v>
      </c>
      <c r="X274" s="345">
        <v>0.18360440790243035</v>
      </c>
      <c r="Y274" s="380">
        <v>0.19423908188754505</v>
      </c>
      <c r="Z274" s="296">
        <f t="shared" si="124"/>
        <v>0.12255643807309609</v>
      </c>
      <c r="AA274" s="298">
        <f t="shared" si="125"/>
        <v>0.11295054032952778</v>
      </c>
      <c r="AB274" s="949">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0.55328802579337211</v>
      </c>
      <c r="AC274" s="950">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0.54937085649864759</v>
      </c>
      <c r="AD274" s="1228">
        <f t="shared" si="135"/>
        <v>0.55006525355037383</v>
      </c>
      <c r="AE274" s="938">
        <f t="shared" si="132"/>
        <v>2.6406715352884282E-2</v>
      </c>
      <c r="AF274" s="938">
        <f t="shared" si="133"/>
        <v>0.12255643807309609</v>
      </c>
      <c r="AG274" s="938">
        <f t="shared" si="134"/>
        <v>0.14896315342598038</v>
      </c>
      <c r="AH274" s="1174">
        <f t="shared" si="130"/>
        <v>0.17727011509598412</v>
      </c>
      <c r="AI274" s="938">
        <f t="shared" si="131"/>
        <v>0.82272988490401588</v>
      </c>
    </row>
    <row r="275" spans="1:43" x14ac:dyDescent="0.2">
      <c r="A275" s="330">
        <v>2049</v>
      </c>
      <c r="B275" s="344">
        <v>0</v>
      </c>
      <c r="C275" s="345">
        <v>0</v>
      </c>
      <c r="D275" s="345">
        <v>3.8529293183251045E-2</v>
      </c>
      <c r="E275" s="345">
        <v>9.1841159421526847E-2</v>
      </c>
      <c r="F275" s="345">
        <v>0.10705057476639308</v>
      </c>
      <c r="G275" s="345">
        <v>0.11440302944510168</v>
      </c>
      <c r="H275" s="345">
        <v>0.1239029596186691</v>
      </c>
      <c r="I275" s="345">
        <v>0.13380702910992112</v>
      </c>
      <c r="J275" s="345">
        <v>0.13779535617918096</v>
      </c>
      <c r="K275" s="345">
        <v>0.14767934969562144</v>
      </c>
      <c r="L275" s="380">
        <v>0.15618320999794988</v>
      </c>
      <c r="M275" s="296">
        <f t="shared" si="122"/>
        <v>2.7604961481484003E-2</v>
      </c>
      <c r="N275" s="298">
        <f t="shared" si="123"/>
        <v>2.5717980551730385E-2</v>
      </c>
      <c r="O275" s="344">
        <v>0</v>
      </c>
      <c r="P275" s="345">
        <v>4.4720686671420113E-4</v>
      </c>
      <c r="Q275" s="345">
        <v>8.4653591014697702E-2</v>
      </c>
      <c r="R275" s="345">
        <v>0.13467012263726291</v>
      </c>
      <c r="S275" s="345">
        <v>0.14920440141369776</v>
      </c>
      <c r="T275" s="345">
        <v>0.15946201622555986</v>
      </c>
      <c r="U275" s="345">
        <v>0.17066573207719149</v>
      </c>
      <c r="V275" s="345">
        <v>0.17330068587413522</v>
      </c>
      <c r="W275" s="345">
        <v>0.1786267907309578</v>
      </c>
      <c r="X275" s="345">
        <v>0.18965219883595294</v>
      </c>
      <c r="Y275" s="380">
        <v>0.19349460620017123</v>
      </c>
      <c r="Z275" s="296">
        <f t="shared" si="124"/>
        <v>0.12625278528305697</v>
      </c>
      <c r="AA275" s="298">
        <f t="shared" si="125"/>
        <v>0.11663732238546538</v>
      </c>
      <c r="AB275" s="949">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0.55591275139667129</v>
      </c>
      <c r="AC275" s="950">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0.55094227991835487</v>
      </c>
      <c r="AD275" s="1228">
        <f t="shared" si="135"/>
        <v>0.55183407559708475</v>
      </c>
      <c r="AE275" s="938">
        <f t="shared" si="132"/>
        <v>2.7604961481484003E-2</v>
      </c>
      <c r="AF275" s="938">
        <f t="shared" si="133"/>
        <v>0.12625278528305697</v>
      </c>
      <c r="AG275" s="938">
        <f t="shared" si="134"/>
        <v>0.15385774676454098</v>
      </c>
      <c r="AH275" s="1174">
        <f t="shared" si="130"/>
        <v>0.17941872971615633</v>
      </c>
      <c r="AI275" s="938">
        <f t="shared" si="131"/>
        <v>0.82058127028384364</v>
      </c>
    </row>
    <row r="276" spans="1:43" ht="13.5" thickBot="1" x14ac:dyDescent="0.25">
      <c r="A276" s="328">
        <v>2050</v>
      </c>
      <c r="B276" s="346">
        <v>0</v>
      </c>
      <c r="C276" s="347">
        <v>9.4929549121090462E-5</v>
      </c>
      <c r="D276" s="347">
        <v>4.1414766763237625E-2</v>
      </c>
      <c r="E276" s="347">
        <v>9.8288346813038149E-2</v>
      </c>
      <c r="F276" s="347">
        <v>0.10685438739439267</v>
      </c>
      <c r="G276" s="347">
        <v>0.12087448535129698</v>
      </c>
      <c r="H276" s="347">
        <v>0.12436440524524575</v>
      </c>
      <c r="I276" s="347">
        <v>0.13430186328135438</v>
      </c>
      <c r="J276" s="347">
        <v>0.14369247350535286</v>
      </c>
      <c r="K276" s="347">
        <v>0.14821943303822574</v>
      </c>
      <c r="L276" s="381">
        <v>0.16111784875098828</v>
      </c>
      <c r="M276" s="310">
        <f t="shared" si="122"/>
        <v>2.8116002076327067E-2</v>
      </c>
      <c r="N276" s="312">
        <f t="shared" si="123"/>
        <v>2.6247401420236179E-2</v>
      </c>
      <c r="O276" s="346">
        <v>0</v>
      </c>
      <c r="P276" s="347">
        <v>7.4070948162400162E-4</v>
      </c>
      <c r="Q276" s="347">
        <v>8.4289042930835695E-2</v>
      </c>
      <c r="R276" s="347">
        <v>0.14208193045913475</v>
      </c>
      <c r="S276" s="347">
        <v>0.15647007287389308</v>
      </c>
      <c r="T276" s="347">
        <v>0.16641122713810458</v>
      </c>
      <c r="U276" s="347">
        <v>0.170448701517179</v>
      </c>
      <c r="V276" s="347">
        <v>0.17958574404980815</v>
      </c>
      <c r="W276" s="347">
        <v>0.18463693241828125</v>
      </c>
      <c r="X276" s="347">
        <v>0.18947820531241338</v>
      </c>
      <c r="Y276" s="381">
        <v>0.19847582972880015</v>
      </c>
      <c r="Z276" s="310">
        <f t="shared" si="124"/>
        <v>0.12935769921841975</v>
      </c>
      <c r="AA276" s="312">
        <f t="shared" si="125"/>
        <v>0.11976236070398591</v>
      </c>
      <c r="AB276" s="951">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0.55728162630154698</v>
      </c>
      <c r="AC276" s="952">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0.55251873008920638</v>
      </c>
      <c r="AD276" s="1229">
        <f t="shared" si="135"/>
        <v>0.55336911716142523</v>
      </c>
      <c r="AE276" s="938">
        <f t="shared" si="132"/>
        <v>2.8116002076327067E-2</v>
      </c>
      <c r="AF276" s="938">
        <f t="shared" si="133"/>
        <v>0.12935769921841975</v>
      </c>
      <c r="AG276" s="938">
        <f t="shared" si="134"/>
        <v>0.1574737012947468</v>
      </c>
      <c r="AH276" s="1174">
        <f t="shared" si="130"/>
        <v>0.17854411146215304</v>
      </c>
      <c r="AI276" s="938">
        <f t="shared" si="131"/>
        <v>0.82145588853784701</v>
      </c>
    </row>
    <row r="277" spans="1:43" x14ac:dyDescent="0.2">
      <c r="B277" s="227" t="str">
        <f>B$120</f>
        <v>Output generated: 4/26/2020 19:05</v>
      </c>
      <c r="U277" s="227" t="str">
        <f>U$120</f>
        <v>Output generated: 4/26/2020 19:05</v>
      </c>
      <c r="AE277" s="938"/>
      <c r="AF277" s="938"/>
      <c r="AG277" s="938"/>
      <c r="AH277" s="938"/>
      <c r="AI277" s="938"/>
    </row>
    <row r="278" spans="1:43" x14ac:dyDescent="0.2">
      <c r="AE278" s="938"/>
      <c r="AF278" s="938"/>
      <c r="AG278" s="938"/>
      <c r="AH278" s="938"/>
      <c r="AI278" s="938"/>
    </row>
    <row r="279" spans="1:43" ht="13.5" thickBot="1" x14ac:dyDescent="0.25">
      <c r="AE279" s="938"/>
      <c r="AF279" s="938"/>
      <c r="AG279" s="938"/>
      <c r="AH279" s="938"/>
      <c r="AI279" s="938"/>
    </row>
    <row r="280" spans="1:43" ht="15" x14ac:dyDescent="0.25">
      <c r="A280" s="333"/>
      <c r="B280" s="613" t="s">
        <v>215</v>
      </c>
      <c r="C280" s="614"/>
      <c r="D280" s="614"/>
      <c r="E280" s="614"/>
      <c r="F280" s="614"/>
      <c r="G280" s="614"/>
      <c r="H280" s="614"/>
      <c r="I280" s="614"/>
      <c r="J280" s="614"/>
      <c r="K280" s="614"/>
      <c r="L280" s="614"/>
      <c r="M280" s="614"/>
      <c r="N280" s="615"/>
      <c r="O280" s="613" t="s">
        <v>216</v>
      </c>
      <c r="P280" s="614"/>
      <c r="Q280" s="614"/>
      <c r="R280" s="614"/>
      <c r="S280" s="614"/>
      <c r="T280" s="614"/>
      <c r="U280" s="614"/>
      <c r="V280" s="614"/>
      <c r="W280" s="614"/>
      <c r="X280" s="614"/>
      <c r="Y280" s="614"/>
      <c r="Z280" s="614"/>
      <c r="AA280" s="615"/>
      <c r="AE280" s="938"/>
      <c r="AF280" s="938"/>
      <c r="AG280" s="938"/>
      <c r="AH280" s="938"/>
      <c r="AI280" s="938"/>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8"/>
      <c r="AF281" s="938"/>
      <c r="AG281" s="938"/>
      <c r="AH281" s="938"/>
      <c r="AI281" s="938"/>
    </row>
    <row r="282" spans="1:43"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4" t="s">
        <v>268</v>
      </c>
      <c r="AD282" s="234" t="b">
        <f>INDEX(TECH_OPT_FUEL2_Cls1,MATCH(RIGHT(O280),TECH_OPT_ROWS_Cls1,0))&lt;&gt;"N/A"</f>
        <v>0</v>
      </c>
      <c r="AE282" s="938"/>
      <c r="AF282" s="938"/>
      <c r="AG282" s="938"/>
      <c r="AH282" s="938"/>
      <c r="AI282" s="938"/>
    </row>
    <row r="283" spans="1:43" ht="14.25"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7"/>
      <c r="AC283" s="904" t="s">
        <v>269</v>
      </c>
      <c r="AD283" s="234">
        <f>MATCH(RIGHT(O280),TECH_OPT_ROWS_Cls1,0)</f>
        <v>6</v>
      </c>
      <c r="AE283" s="938"/>
      <c r="AF283" s="938"/>
      <c r="AG283" s="938"/>
      <c r="AH283" s="938"/>
      <c r="AI283" s="938"/>
    </row>
    <row r="284" spans="1:43" x14ac:dyDescent="0.2">
      <c r="A284" s="331" t="s">
        <v>125</v>
      </c>
      <c r="B284" s="939">
        <f t="array" ref="B284:L284">TRANSPOSE(Cls1CentVMTShr)</f>
        <v>8.9762242961142352E-4</v>
      </c>
      <c r="C284" s="940">
        <v>1.2044238150123706E-3</v>
      </c>
      <c r="D284" s="940">
        <v>4.1499109643594731E-3</v>
      </c>
      <c r="E284" s="940">
        <v>1.9575808105519295E-2</v>
      </c>
      <c r="F284" s="940">
        <v>3.4523467949689302E-2</v>
      </c>
      <c r="G284" s="940">
        <v>2.7311948935134379E-2</v>
      </c>
      <c r="H284" s="940">
        <v>7.6478458482655817E-2</v>
      </c>
      <c r="I284" s="940">
        <v>3.2480526319280681E-2</v>
      </c>
      <c r="J284" s="940">
        <v>1.1772940427842455E-2</v>
      </c>
      <c r="K284" s="940">
        <v>6.0339283082965706E-3</v>
      </c>
      <c r="L284" s="941">
        <v>1.5952440951210019E-2</v>
      </c>
      <c r="M284" s="388"/>
      <c r="N284" s="334"/>
      <c r="O284" s="939">
        <f t="array" ref="O284:Y284">TRANSPOSE(Cls1NCentVMTShr)</f>
        <v>1.3589913425833078E-3</v>
      </c>
      <c r="P284" s="940">
        <v>5.8692629772239642E-3</v>
      </c>
      <c r="Q284" s="940">
        <v>1.2100393581509007E-2</v>
      </c>
      <c r="R284" s="940">
        <v>3.6555003327388577E-2</v>
      </c>
      <c r="S284" s="940">
        <v>8.3148735051829181E-2</v>
      </c>
      <c r="T284" s="940">
        <v>0.18151138394047112</v>
      </c>
      <c r="U284" s="940">
        <v>0.2383386372324876</v>
      </c>
      <c r="V284" s="940">
        <v>9.5602564448196578E-2</v>
      </c>
      <c r="W284" s="940">
        <v>2.9193025028929166E-2</v>
      </c>
      <c r="X284" s="940">
        <v>3.5209492159336005E-2</v>
      </c>
      <c r="Y284" s="941">
        <v>5.0731034221433824E-2</v>
      </c>
      <c r="Z284" s="388"/>
      <c r="AA284" s="334"/>
      <c r="AB284" s="1572" t="str">
        <f>"% of miles on f2 for Tech "&amp; RIGHT(O280)&amp;" adopters"</f>
        <v>% of miles on f2 for Tech E adopters</v>
      </c>
      <c r="AC284" s="1573"/>
      <c r="AD284" s="1574"/>
      <c r="AE284" s="938" t="s">
        <v>301</v>
      </c>
      <c r="AF284" s="938"/>
      <c r="AG284" s="938"/>
      <c r="AH284" s="1174" t="s">
        <v>312</v>
      </c>
      <c r="AI284" s="938"/>
    </row>
    <row r="285" spans="1:43" s="945" customFormat="1" ht="13.5" thickBot="1" x14ac:dyDescent="0.25">
      <c r="A285" s="943" t="s">
        <v>267</v>
      </c>
      <c r="B285" s="934">
        <f t="array" ref="B285:L285">TRANSPOSE(Cls1CentVMT/OPDAYS_Cls1)</f>
        <v>51.642967609234425</v>
      </c>
      <c r="C285" s="935">
        <v>110.97733417848234</v>
      </c>
      <c r="D285" s="935">
        <v>204.40224583551472</v>
      </c>
      <c r="E285" s="935">
        <v>290.24610572847212</v>
      </c>
      <c r="F285" s="935">
        <v>364.75750419264841</v>
      </c>
      <c r="G285" s="935">
        <v>443.63126889109378</v>
      </c>
      <c r="H285" s="935">
        <v>506.78134229373978</v>
      </c>
      <c r="I285" s="935">
        <v>595.71283413609137</v>
      </c>
      <c r="J285" s="935">
        <v>682.23089916089702</v>
      </c>
      <c r="K285" s="935">
        <v>765.26438827532684</v>
      </c>
      <c r="L285" s="936">
        <v>970.27871027310334</v>
      </c>
      <c r="M285" s="932"/>
      <c r="N285" s="933"/>
      <c r="O285" s="934">
        <f t="array" ref="O285:Y285">TRANSPOSE(Cls1NCentVMT/OPDAYS_Cls1)</f>
        <v>47.924548633512046</v>
      </c>
      <c r="P285" s="935">
        <v>112.56389213862748</v>
      </c>
      <c r="Q285" s="935">
        <v>214.67280220238027</v>
      </c>
      <c r="R285" s="935">
        <v>288.30186744262801</v>
      </c>
      <c r="S285" s="935">
        <v>368.60089210549245</v>
      </c>
      <c r="T285" s="935">
        <v>447.31558789932524</v>
      </c>
      <c r="U285" s="935">
        <v>511.28831950097862</v>
      </c>
      <c r="V285" s="935">
        <v>595.73726658362273</v>
      </c>
      <c r="W285" s="935">
        <v>672.11099195240695</v>
      </c>
      <c r="X285" s="935">
        <v>757.0793017898726</v>
      </c>
      <c r="Y285" s="936">
        <v>896.16800791754974</v>
      </c>
      <c r="Z285" s="944"/>
      <c r="AA285" s="933"/>
      <c r="AB285" s="946" t="s">
        <v>187</v>
      </c>
      <c r="AC285" s="947" t="s">
        <v>15</v>
      </c>
      <c r="AD285" s="948" t="s">
        <v>18</v>
      </c>
      <c r="AE285" s="938" t="s">
        <v>187</v>
      </c>
      <c r="AF285" s="938" t="s">
        <v>15</v>
      </c>
      <c r="AG285" s="938" t="s">
        <v>18</v>
      </c>
      <c r="AH285" s="1174" t="s">
        <v>187</v>
      </c>
      <c r="AI285" s="938" t="s">
        <v>15</v>
      </c>
      <c r="AJ285" s="323"/>
      <c r="AK285" s="323"/>
      <c r="AL285" s="323"/>
      <c r="AM285" s="323"/>
      <c r="AN285" s="227"/>
      <c r="AO285" s="227"/>
      <c r="AP285" s="227"/>
      <c r="AQ285" s="227"/>
    </row>
    <row r="286" spans="1:43" ht="13.5" thickTop="1" x14ac:dyDescent="0.2">
      <c r="A286" s="942">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9">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50">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8">
        <f t="shared" ref="AD286:AD311" si="140">AB286*AH286+AC286*AI286</f>
        <v>0</v>
      </c>
      <c r="AE286" s="938">
        <f t="shared" ref="AE286:AE300" si="141">SUMPRODUCT($B$74:$L$74,B286:L286)</f>
        <v>0</v>
      </c>
      <c r="AF286" s="938">
        <f t="shared" ref="AF286:AF300" si="142">SUMPRODUCT($O$74:$Y$74,O286:Y286)</f>
        <v>0</v>
      </c>
      <c r="AG286" s="938">
        <f t="shared" ref="AG286:AG300" si="143">SUM(AE286:AF286)</f>
        <v>0</v>
      </c>
      <c r="AH286" s="1174">
        <f>IF(AG286&gt;0,AE286/AG286,0)</f>
        <v>0</v>
      </c>
      <c r="AI286" s="938">
        <f>IF(AG286&gt;0,AF286/AG286,0)</f>
        <v>0</v>
      </c>
      <c r="AJ286" s="945"/>
      <c r="AK286" s="945"/>
      <c r="AL286" s="945"/>
      <c r="AM286" s="945"/>
      <c r="AN286" s="945"/>
      <c r="AO286" s="945"/>
      <c r="AP286" s="945"/>
      <c r="AQ286" s="945"/>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9">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50">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8">
        <f t="shared" si="140"/>
        <v>0</v>
      </c>
      <c r="AE287" s="938">
        <f t="shared" si="141"/>
        <v>0</v>
      </c>
      <c r="AF287" s="938">
        <f t="shared" si="142"/>
        <v>0</v>
      </c>
      <c r="AG287" s="938">
        <f t="shared" si="143"/>
        <v>0</v>
      </c>
      <c r="AH287" s="1174">
        <f t="shared" ref="AH287:AH329" si="144">IF(AG287&gt;0,AE287/AG287,0)</f>
        <v>0</v>
      </c>
      <c r="AI287" s="938">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9">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50">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8">
        <f t="shared" si="140"/>
        <v>0</v>
      </c>
      <c r="AE288" s="938">
        <f t="shared" si="141"/>
        <v>0</v>
      </c>
      <c r="AF288" s="938">
        <f t="shared" si="142"/>
        <v>0</v>
      </c>
      <c r="AG288" s="938">
        <f t="shared" si="143"/>
        <v>0</v>
      </c>
      <c r="AH288" s="1174">
        <f t="shared" si="144"/>
        <v>0</v>
      </c>
      <c r="AI288" s="938">
        <f t="shared" si="14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9">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50">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8">
        <f t="shared" si="140"/>
        <v>0</v>
      </c>
      <c r="AE289" s="938">
        <f t="shared" si="141"/>
        <v>0</v>
      </c>
      <c r="AF289" s="938">
        <f t="shared" si="142"/>
        <v>0</v>
      </c>
      <c r="AG289" s="938">
        <f t="shared" si="143"/>
        <v>0</v>
      </c>
      <c r="AH289" s="1174">
        <f t="shared" si="144"/>
        <v>0</v>
      </c>
      <c r="AI289" s="938">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9">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50">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8">
        <f t="shared" si="140"/>
        <v>0</v>
      </c>
      <c r="AE290" s="938">
        <f t="shared" si="141"/>
        <v>0</v>
      </c>
      <c r="AF290" s="938">
        <f t="shared" si="142"/>
        <v>0</v>
      </c>
      <c r="AG290" s="938">
        <f t="shared" si="143"/>
        <v>0</v>
      </c>
      <c r="AH290" s="1174">
        <f t="shared" si="144"/>
        <v>0</v>
      </c>
      <c r="AI290" s="938">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9">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50">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8">
        <f t="shared" si="140"/>
        <v>0</v>
      </c>
      <c r="AE291" s="938">
        <f t="shared" si="141"/>
        <v>0</v>
      </c>
      <c r="AF291" s="938">
        <f t="shared" si="142"/>
        <v>0</v>
      </c>
      <c r="AG291" s="938">
        <f t="shared" si="143"/>
        <v>0</v>
      </c>
      <c r="AH291" s="1174">
        <f t="shared" si="144"/>
        <v>0</v>
      </c>
      <c r="AI291" s="938">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9">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50">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8">
        <f t="shared" si="140"/>
        <v>0</v>
      </c>
      <c r="AE292" s="938">
        <f t="shared" si="141"/>
        <v>0</v>
      </c>
      <c r="AF292" s="938">
        <f t="shared" si="142"/>
        <v>0</v>
      </c>
      <c r="AG292" s="938">
        <f t="shared" si="143"/>
        <v>0</v>
      </c>
      <c r="AH292" s="1174">
        <f t="shared" si="144"/>
        <v>0</v>
      </c>
      <c r="AI292" s="938">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9">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50">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8">
        <f t="shared" si="140"/>
        <v>0</v>
      </c>
      <c r="AE293" s="938">
        <f t="shared" si="141"/>
        <v>0</v>
      </c>
      <c r="AF293" s="938">
        <f t="shared" si="142"/>
        <v>0</v>
      </c>
      <c r="AG293" s="938">
        <f t="shared" si="143"/>
        <v>0</v>
      </c>
      <c r="AH293" s="1174">
        <f t="shared" si="144"/>
        <v>0</v>
      </c>
      <c r="AI293" s="938">
        <f t="shared" si="14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9">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50">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8">
        <f t="shared" si="140"/>
        <v>0</v>
      </c>
      <c r="AE294" s="938">
        <f t="shared" si="141"/>
        <v>0</v>
      </c>
      <c r="AF294" s="938">
        <f t="shared" si="142"/>
        <v>0</v>
      </c>
      <c r="AG294" s="938">
        <f t="shared" si="143"/>
        <v>0</v>
      </c>
      <c r="AH294" s="1174">
        <f t="shared" si="144"/>
        <v>0</v>
      </c>
      <c r="AI294" s="938">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9">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50">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8">
        <f t="shared" si="140"/>
        <v>0</v>
      </c>
      <c r="AE295" s="938">
        <f t="shared" si="141"/>
        <v>0</v>
      </c>
      <c r="AF295" s="938">
        <f t="shared" si="142"/>
        <v>0</v>
      </c>
      <c r="AG295" s="938">
        <f t="shared" si="143"/>
        <v>0</v>
      </c>
      <c r="AH295" s="1174">
        <f t="shared" si="144"/>
        <v>0</v>
      </c>
      <c r="AI295" s="938">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9">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50">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8">
        <f t="shared" si="140"/>
        <v>0</v>
      </c>
      <c r="AE296" s="938">
        <f t="shared" si="141"/>
        <v>0</v>
      </c>
      <c r="AF296" s="938">
        <f t="shared" si="142"/>
        <v>0</v>
      </c>
      <c r="AG296" s="938">
        <f t="shared" si="143"/>
        <v>0</v>
      </c>
      <c r="AH296" s="1174">
        <f t="shared" si="144"/>
        <v>0</v>
      </c>
      <c r="AI296" s="938">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9">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50">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8">
        <f t="shared" si="140"/>
        <v>0</v>
      </c>
      <c r="AE297" s="938">
        <f t="shared" si="141"/>
        <v>0</v>
      </c>
      <c r="AF297" s="938">
        <f t="shared" si="142"/>
        <v>0</v>
      </c>
      <c r="AG297" s="938">
        <f t="shared" si="143"/>
        <v>0</v>
      </c>
      <c r="AH297" s="1174">
        <f t="shared" si="144"/>
        <v>0</v>
      </c>
      <c r="AI297" s="938">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9">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50">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8">
        <f t="shared" si="140"/>
        <v>0</v>
      </c>
      <c r="AE298" s="938">
        <f t="shared" si="141"/>
        <v>0</v>
      </c>
      <c r="AF298" s="938">
        <f t="shared" si="142"/>
        <v>0</v>
      </c>
      <c r="AG298" s="938">
        <f t="shared" si="143"/>
        <v>0</v>
      </c>
      <c r="AH298" s="1174">
        <f t="shared" si="144"/>
        <v>0</v>
      </c>
      <c r="AI298" s="938">
        <f t="shared" si="14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9">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50">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8">
        <f t="shared" si="140"/>
        <v>0</v>
      </c>
      <c r="AE299" s="938">
        <f t="shared" si="141"/>
        <v>0</v>
      </c>
      <c r="AF299" s="938">
        <f t="shared" si="142"/>
        <v>0</v>
      </c>
      <c r="AG299" s="938">
        <f t="shared" si="143"/>
        <v>0</v>
      </c>
      <c r="AH299" s="1174">
        <f t="shared" si="144"/>
        <v>0</v>
      </c>
      <c r="AI299" s="938">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9">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50">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8">
        <f t="shared" si="140"/>
        <v>0</v>
      </c>
      <c r="AE300" s="938">
        <f t="shared" si="141"/>
        <v>0</v>
      </c>
      <c r="AF300" s="938">
        <f t="shared" si="142"/>
        <v>0</v>
      </c>
      <c r="AG300" s="938">
        <f t="shared" si="143"/>
        <v>0</v>
      </c>
      <c r="AH300" s="1174">
        <f t="shared" si="144"/>
        <v>0</v>
      </c>
      <c r="AI300" s="938">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9">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50">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8">
        <f t="shared" si="140"/>
        <v>0</v>
      </c>
      <c r="AE301" s="938">
        <f>SUMPRODUCT($B$74:$L$74,B301:L301)</f>
        <v>0</v>
      </c>
      <c r="AF301" s="938">
        <f>SUMPRODUCT($O$74:$Y$74,O301:Y301)</f>
        <v>0</v>
      </c>
      <c r="AG301" s="938">
        <f>SUM(AE301:AF301)</f>
        <v>0</v>
      </c>
      <c r="AH301" s="1174">
        <f t="shared" si="144"/>
        <v>0</v>
      </c>
      <c r="AI301" s="938">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9">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50">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8">
        <f t="shared" si="140"/>
        <v>0</v>
      </c>
      <c r="AE302" s="938">
        <f t="shared" ref="AE302:AE329" si="146">SUMPRODUCT($B$74:$L$74,B302:L302)</f>
        <v>0</v>
      </c>
      <c r="AF302" s="938">
        <f t="shared" ref="AF302:AF329" si="147">SUMPRODUCT($O$74:$Y$74,O302:Y302)</f>
        <v>0</v>
      </c>
      <c r="AG302" s="938">
        <f t="shared" ref="AG302:AG329" si="148">SUM(AE302:AF302)</f>
        <v>0</v>
      </c>
      <c r="AH302" s="1174">
        <f t="shared" si="144"/>
        <v>0</v>
      </c>
      <c r="AI302" s="938">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9">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50">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8">
        <f t="shared" si="140"/>
        <v>0</v>
      </c>
      <c r="AE303" s="938">
        <f t="shared" si="146"/>
        <v>0</v>
      </c>
      <c r="AF303" s="938">
        <f t="shared" si="147"/>
        <v>0</v>
      </c>
      <c r="AG303" s="938">
        <f t="shared" si="148"/>
        <v>0</v>
      </c>
      <c r="AH303" s="1174">
        <f t="shared" si="144"/>
        <v>0</v>
      </c>
      <c r="AI303" s="938">
        <f t="shared" si="14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9">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50">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8">
        <f t="shared" si="140"/>
        <v>0</v>
      </c>
      <c r="AE304" s="938">
        <f t="shared" si="146"/>
        <v>0</v>
      </c>
      <c r="AF304" s="938">
        <f t="shared" si="147"/>
        <v>0</v>
      </c>
      <c r="AG304" s="938">
        <f t="shared" si="148"/>
        <v>0</v>
      </c>
      <c r="AH304" s="1174">
        <f t="shared" si="144"/>
        <v>0</v>
      </c>
      <c r="AI304" s="938">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9">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50">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8">
        <f t="shared" si="140"/>
        <v>0</v>
      </c>
      <c r="AE305" s="938">
        <f t="shared" si="146"/>
        <v>0</v>
      </c>
      <c r="AF305" s="938">
        <f t="shared" si="147"/>
        <v>0</v>
      </c>
      <c r="AG305" s="938">
        <f t="shared" si="148"/>
        <v>0</v>
      </c>
      <c r="AH305" s="1174">
        <f t="shared" si="144"/>
        <v>0</v>
      </c>
      <c r="AI305" s="938">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9">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50">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8">
        <f t="shared" si="140"/>
        <v>0</v>
      </c>
      <c r="AE306" s="938">
        <f t="shared" si="146"/>
        <v>0</v>
      </c>
      <c r="AF306" s="938">
        <f t="shared" si="147"/>
        <v>0</v>
      </c>
      <c r="AG306" s="938">
        <f t="shared" si="148"/>
        <v>0</v>
      </c>
      <c r="AH306" s="1174">
        <f t="shared" si="144"/>
        <v>0</v>
      </c>
      <c r="AI306" s="938">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9">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50">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8">
        <f t="shared" si="140"/>
        <v>0</v>
      </c>
      <c r="AE307" s="938">
        <f t="shared" si="146"/>
        <v>0</v>
      </c>
      <c r="AF307" s="938">
        <f t="shared" si="147"/>
        <v>0</v>
      </c>
      <c r="AG307" s="938">
        <f t="shared" si="148"/>
        <v>0</v>
      </c>
      <c r="AH307" s="1174">
        <f t="shared" si="144"/>
        <v>0</v>
      </c>
      <c r="AI307" s="938">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9">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50">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8">
        <f t="shared" si="140"/>
        <v>0</v>
      </c>
      <c r="AE308" s="938">
        <f t="shared" si="146"/>
        <v>0</v>
      </c>
      <c r="AF308" s="938">
        <f t="shared" si="147"/>
        <v>0</v>
      </c>
      <c r="AG308" s="938">
        <f t="shared" si="148"/>
        <v>0</v>
      </c>
      <c r="AH308" s="1174">
        <f t="shared" si="144"/>
        <v>0</v>
      </c>
      <c r="AI308" s="938">
        <f t="shared" si="14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9">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50">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8">
        <f t="shared" si="140"/>
        <v>0</v>
      </c>
      <c r="AE309" s="938">
        <f t="shared" si="146"/>
        <v>0</v>
      </c>
      <c r="AF309" s="938">
        <f t="shared" si="147"/>
        <v>0</v>
      </c>
      <c r="AG309" s="938">
        <f t="shared" si="148"/>
        <v>0</v>
      </c>
      <c r="AH309" s="1174">
        <f t="shared" si="144"/>
        <v>0</v>
      </c>
      <c r="AI309" s="938">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9">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50">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8">
        <f t="shared" si="140"/>
        <v>0</v>
      </c>
      <c r="AE310" s="938">
        <f t="shared" si="146"/>
        <v>0</v>
      </c>
      <c r="AF310" s="938">
        <f t="shared" si="147"/>
        <v>0</v>
      </c>
      <c r="AG310" s="938">
        <f t="shared" si="148"/>
        <v>0</v>
      </c>
      <c r="AH310" s="1174">
        <f t="shared" si="144"/>
        <v>0</v>
      </c>
      <c r="AI310" s="938">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9">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50">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8">
        <f t="shared" si="140"/>
        <v>0</v>
      </c>
      <c r="AE311" s="938">
        <f t="shared" si="146"/>
        <v>0</v>
      </c>
      <c r="AF311" s="938">
        <f t="shared" si="147"/>
        <v>0</v>
      </c>
      <c r="AG311" s="938">
        <f t="shared" si="148"/>
        <v>0</v>
      </c>
      <c r="AH311" s="1174">
        <f t="shared" si="144"/>
        <v>0</v>
      </c>
      <c r="AI311" s="938">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9">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50">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8">
        <f>AB312*AH312+AC312*AI312</f>
        <v>0</v>
      </c>
      <c r="AE312" s="938">
        <f t="shared" si="146"/>
        <v>0</v>
      </c>
      <c r="AF312" s="938">
        <f t="shared" si="147"/>
        <v>0</v>
      </c>
      <c r="AG312" s="938">
        <f t="shared" si="148"/>
        <v>0</v>
      </c>
      <c r="AH312" s="1174">
        <f t="shared" si="144"/>
        <v>0</v>
      </c>
      <c r="AI312" s="938">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9">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50">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8">
        <f t="shared" ref="AD313:AD329" si="149">AB313*AH313+AC313*AI313</f>
        <v>0</v>
      </c>
      <c r="AE313" s="938">
        <f t="shared" si="146"/>
        <v>0</v>
      </c>
      <c r="AF313" s="938">
        <f t="shared" si="147"/>
        <v>0</v>
      </c>
      <c r="AG313" s="938">
        <f t="shared" si="148"/>
        <v>0</v>
      </c>
      <c r="AH313" s="1174">
        <f t="shared" si="144"/>
        <v>0</v>
      </c>
      <c r="AI313" s="938">
        <f t="shared" si="14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9">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50">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8">
        <f t="shared" si="149"/>
        <v>0</v>
      </c>
      <c r="AE314" s="938">
        <f t="shared" si="146"/>
        <v>0</v>
      </c>
      <c r="AF314" s="938">
        <f t="shared" si="147"/>
        <v>0</v>
      </c>
      <c r="AG314" s="938">
        <f t="shared" si="148"/>
        <v>0</v>
      </c>
      <c r="AH314" s="1174">
        <f t="shared" si="144"/>
        <v>0</v>
      </c>
      <c r="AI314" s="938">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9">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50">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8">
        <f t="shared" si="149"/>
        <v>0</v>
      </c>
      <c r="AE315" s="938">
        <f t="shared" si="146"/>
        <v>0</v>
      </c>
      <c r="AF315" s="938">
        <f t="shared" si="147"/>
        <v>0</v>
      </c>
      <c r="AG315" s="938">
        <f t="shared" si="148"/>
        <v>0</v>
      </c>
      <c r="AH315" s="1174">
        <f t="shared" si="144"/>
        <v>0</v>
      </c>
      <c r="AI315" s="938">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9.6227587148205782E-8</v>
      </c>
      <c r="Y316" s="380">
        <v>9.2679367532900824E-7</v>
      </c>
      <c r="Z316" s="296">
        <f t="shared" si="138"/>
        <v>5.0405326134530919E-8</v>
      </c>
      <c r="AA316" s="298">
        <f t="shared" si="139"/>
        <v>2.6030768135797323E-8</v>
      </c>
      <c r="AB316" s="949">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50">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8">
        <f t="shared" si="149"/>
        <v>0</v>
      </c>
      <c r="AE316" s="938">
        <f t="shared" si="146"/>
        <v>0</v>
      </c>
      <c r="AF316" s="938">
        <f t="shared" si="147"/>
        <v>5.0405326134530919E-8</v>
      </c>
      <c r="AG316" s="938">
        <f t="shared" si="148"/>
        <v>5.0405326134530919E-8</v>
      </c>
      <c r="AH316" s="1174">
        <f t="shared" si="144"/>
        <v>0</v>
      </c>
      <c r="AI316" s="938">
        <f t="shared" si="145"/>
        <v>1</v>
      </c>
    </row>
    <row r="317" spans="1:35" x14ac:dyDescent="0.2">
      <c r="A317" s="330">
        <v>2038</v>
      </c>
      <c r="B317" s="344">
        <v>0</v>
      </c>
      <c r="C317" s="345">
        <v>0</v>
      </c>
      <c r="D317" s="345">
        <v>0</v>
      </c>
      <c r="E317" s="345">
        <v>0</v>
      </c>
      <c r="F317" s="345">
        <v>0</v>
      </c>
      <c r="G317" s="345">
        <v>0</v>
      </c>
      <c r="H317" s="345">
        <v>0</v>
      </c>
      <c r="I317" s="345">
        <v>0</v>
      </c>
      <c r="J317" s="345">
        <v>0</v>
      </c>
      <c r="K317" s="345">
        <v>0</v>
      </c>
      <c r="L317" s="380">
        <v>2.411239594254272E-4</v>
      </c>
      <c r="M317" s="296">
        <f t="shared" si="136"/>
        <v>3.8465157246560874E-6</v>
      </c>
      <c r="N317" s="298">
        <f t="shared" si="137"/>
        <v>1.8123443683301518E-6</v>
      </c>
      <c r="O317" s="344">
        <v>0</v>
      </c>
      <c r="P317" s="345">
        <v>0</v>
      </c>
      <c r="Q317" s="345">
        <v>0</v>
      </c>
      <c r="R317" s="345">
        <v>0</v>
      </c>
      <c r="S317" s="345">
        <v>6.3908916948475054E-7</v>
      </c>
      <c r="T317" s="345">
        <v>4.7067662236551007E-6</v>
      </c>
      <c r="U317" s="345">
        <v>1.2059678045333458E-5</v>
      </c>
      <c r="V317" s="345">
        <v>2.4636206991591337E-5</v>
      </c>
      <c r="W317" s="345">
        <v>3.8485868373896771E-5</v>
      </c>
      <c r="X317" s="345">
        <v>5.2266499813497743E-5</v>
      </c>
      <c r="Y317" s="380">
        <v>7.2896554355289078E-5</v>
      </c>
      <c r="Z317" s="296">
        <f t="shared" si="138"/>
        <v>1.279895633232924E-5</v>
      </c>
      <c r="AA317" s="298">
        <f t="shared" si="139"/>
        <v>9.078436656438338E-6</v>
      </c>
      <c r="AB317" s="949">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50">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8">
        <f t="shared" si="149"/>
        <v>0</v>
      </c>
      <c r="AE317" s="938">
        <f t="shared" si="146"/>
        <v>3.8465157246560874E-6</v>
      </c>
      <c r="AF317" s="938">
        <f t="shared" si="147"/>
        <v>1.279895633232924E-5</v>
      </c>
      <c r="AG317" s="938">
        <f t="shared" si="148"/>
        <v>1.6645472056985326E-5</v>
      </c>
      <c r="AH317" s="1174">
        <f t="shared" si="144"/>
        <v>0.23108480861868286</v>
      </c>
      <c r="AI317" s="938">
        <f t="shared" si="145"/>
        <v>0.76891519138131725</v>
      </c>
    </row>
    <row r="318" spans="1:35" x14ac:dyDescent="0.2">
      <c r="A318" s="330">
        <v>2039</v>
      </c>
      <c r="B318" s="344">
        <v>0</v>
      </c>
      <c r="C318" s="345">
        <v>0</v>
      </c>
      <c r="D318" s="345">
        <v>0</v>
      </c>
      <c r="E318" s="345">
        <v>0</v>
      </c>
      <c r="F318" s="345">
        <v>3.3322684768368784E-4</v>
      </c>
      <c r="G318" s="345">
        <v>4.8732544833301715E-3</v>
      </c>
      <c r="H318" s="345">
        <v>1.5571165142726625E-2</v>
      </c>
      <c r="I318" s="345">
        <v>3.7510322975780039E-2</v>
      </c>
      <c r="J318" s="345">
        <v>6.4921405029073259E-2</v>
      </c>
      <c r="K318" s="345">
        <v>9.5809678184036337E-2</v>
      </c>
      <c r="L318" s="380">
        <v>0.14568755281346069</v>
      </c>
      <c r="M318" s="296">
        <f t="shared" si="136"/>
        <v>6.2203126104323249E-3</v>
      </c>
      <c r="N318" s="298">
        <f t="shared" si="137"/>
        <v>4.1133699913718392E-3</v>
      </c>
      <c r="O318" s="344">
        <v>0</v>
      </c>
      <c r="P318" s="345">
        <v>0</v>
      </c>
      <c r="Q318" s="345">
        <v>6.2353166274557261E-7</v>
      </c>
      <c r="R318" s="345">
        <v>1.5148216119208568E-5</v>
      </c>
      <c r="S318" s="345">
        <v>5.8997293923608452E-5</v>
      </c>
      <c r="T318" s="345">
        <v>1.065121081026815E-4</v>
      </c>
      <c r="U318" s="345">
        <v>1.4893940420476033E-4</v>
      </c>
      <c r="V318" s="345">
        <v>1.8728413948952509E-4</v>
      </c>
      <c r="W318" s="345">
        <v>2.0700707369501162E-4</v>
      </c>
      <c r="X318" s="345">
        <v>2.3486880635592957E-4</v>
      </c>
      <c r="Y318" s="380">
        <v>2.5888794228926215E-4</v>
      </c>
      <c r="Z318" s="296">
        <f t="shared" si="138"/>
        <v>1.0564928436178751E-4</v>
      </c>
      <c r="AA318" s="298">
        <f t="shared" si="139"/>
        <v>8.8020988607664076E-5</v>
      </c>
      <c r="AB318" s="949">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50">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8">
        <f t="shared" si="149"/>
        <v>0</v>
      </c>
      <c r="AE318" s="938">
        <f t="shared" si="146"/>
        <v>6.2203126104323249E-3</v>
      </c>
      <c r="AF318" s="938">
        <f t="shared" si="147"/>
        <v>1.0564928436178751E-4</v>
      </c>
      <c r="AG318" s="938">
        <f t="shared" si="148"/>
        <v>6.3259618947941127E-3</v>
      </c>
      <c r="AH318" s="1174">
        <f t="shared" si="144"/>
        <v>0.98329909567606932</v>
      </c>
      <c r="AI318" s="938">
        <f t="shared" si="145"/>
        <v>1.6700904323930649E-2</v>
      </c>
    </row>
    <row r="319" spans="1:35" ht="13.5" thickBot="1" x14ac:dyDescent="0.25">
      <c r="A319" s="328">
        <v>2040</v>
      </c>
      <c r="B319" s="346">
        <v>0</v>
      </c>
      <c r="C319" s="347">
        <v>0</v>
      </c>
      <c r="D319" s="347">
        <v>0</v>
      </c>
      <c r="E319" s="347">
        <v>7.2245098295562254E-3</v>
      </c>
      <c r="F319" s="347">
        <v>3.7416635401778822E-2</v>
      </c>
      <c r="G319" s="347">
        <v>8.0790303268688801E-2</v>
      </c>
      <c r="H319" s="347">
        <v>0.10702754192311857</v>
      </c>
      <c r="I319" s="347">
        <v>0.14380126178460578</v>
      </c>
      <c r="J319" s="347">
        <v>0.17320151985244983</v>
      </c>
      <c r="K319" s="347">
        <v>0.18700678390638617</v>
      </c>
      <c r="L319" s="381">
        <v>0.20777001026784583</v>
      </c>
      <c r="M319" s="310">
        <f t="shared" si="136"/>
        <v>2.2977675880816402E-2</v>
      </c>
      <c r="N319" s="312">
        <f t="shared" si="137"/>
        <v>1.8685994667740728E-2</v>
      </c>
      <c r="O319" s="346">
        <v>0</v>
      </c>
      <c r="P319" s="347">
        <v>0</v>
      </c>
      <c r="Q319" s="347">
        <v>3.8911173486407126E-5</v>
      </c>
      <c r="R319" s="347">
        <v>1.5976824607428675E-4</v>
      </c>
      <c r="S319" s="347">
        <v>3.0247367531110119E-4</v>
      </c>
      <c r="T319" s="347">
        <v>3.9936237463237645E-4</v>
      </c>
      <c r="U319" s="347">
        <v>4.5780221203845222E-4</v>
      </c>
      <c r="V319" s="347">
        <v>5.127436191806864E-4</v>
      </c>
      <c r="W319" s="347">
        <v>5.4630804751299236E-4</v>
      </c>
      <c r="X319" s="347">
        <v>5.691692503734673E-4</v>
      </c>
      <c r="Y319" s="381">
        <v>5.789371396930815E-4</v>
      </c>
      <c r="Z319" s="310">
        <f t="shared" si="138"/>
        <v>3.2744047492875867E-4</v>
      </c>
      <c r="AA319" s="312">
        <f t="shared" si="139"/>
        <v>2.8865077030064564E-4</v>
      </c>
      <c r="AB319" s="949">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50">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8">
        <f t="shared" si="149"/>
        <v>0</v>
      </c>
      <c r="AE319" s="938">
        <f t="shared" si="146"/>
        <v>2.2977675880816402E-2</v>
      </c>
      <c r="AF319" s="938">
        <f t="shared" si="147"/>
        <v>3.2744047492875867E-4</v>
      </c>
      <c r="AG319" s="938">
        <f t="shared" si="148"/>
        <v>2.330511635574516E-2</v>
      </c>
      <c r="AH319" s="1174">
        <f t="shared" si="144"/>
        <v>0.98594984595097135</v>
      </c>
      <c r="AI319" s="938">
        <f t="shared" si="145"/>
        <v>1.4050154049028736E-2</v>
      </c>
    </row>
    <row r="320" spans="1:35" x14ac:dyDescent="0.2">
      <c r="A320" s="329">
        <v>2041</v>
      </c>
      <c r="B320" s="342">
        <v>0</v>
      </c>
      <c r="C320" s="343">
        <v>0</v>
      </c>
      <c r="D320" s="343">
        <v>5.4080682613542336E-3</v>
      </c>
      <c r="E320" s="343">
        <v>5.2700626629911748E-2</v>
      </c>
      <c r="F320" s="343">
        <v>0.10628027438069582</v>
      </c>
      <c r="G320" s="343">
        <v>0.14856276426227066</v>
      </c>
      <c r="H320" s="343">
        <v>0.17851798771056698</v>
      </c>
      <c r="I320" s="343">
        <v>0.19718802104540958</v>
      </c>
      <c r="J320" s="343">
        <v>0.21556715606843305</v>
      </c>
      <c r="K320" s="343">
        <v>0.21778894901605741</v>
      </c>
      <c r="L320" s="379">
        <v>0.22338074816989165</v>
      </c>
      <c r="M320" s="282">
        <f t="shared" si="136"/>
        <v>3.6253804238235945E-2</v>
      </c>
      <c r="N320" s="284">
        <f t="shared" si="137"/>
        <v>3.1850904659407056E-2</v>
      </c>
      <c r="O320" s="342">
        <v>0</v>
      </c>
      <c r="P320" s="343">
        <v>0</v>
      </c>
      <c r="Q320" s="343">
        <v>2.5229437795562103E-4</v>
      </c>
      <c r="R320" s="343">
        <v>5.8413064674957141E-4</v>
      </c>
      <c r="S320" s="343">
        <v>8.4155776453385316E-4</v>
      </c>
      <c r="T320" s="343">
        <v>9.827642805864509E-4</v>
      </c>
      <c r="U320" s="343">
        <v>1.0408480830815174E-3</v>
      </c>
      <c r="V320" s="343">
        <v>1.0874179248536262E-3</v>
      </c>
      <c r="W320" s="343">
        <v>1.1208607019736084E-3</v>
      </c>
      <c r="X320" s="343">
        <v>1.1186895885118146E-3</v>
      </c>
      <c r="Y320" s="379">
        <v>1.11709565559302E-3</v>
      </c>
      <c r="Z320" s="282">
        <f t="shared" si="138"/>
        <v>7.5357860794300819E-4</v>
      </c>
      <c r="AA320" s="284">
        <f t="shared" si="139"/>
        <v>6.8599765666327208E-4</v>
      </c>
      <c r="AB320" s="949">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50">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8">
        <f t="shared" si="149"/>
        <v>0</v>
      </c>
      <c r="AE320" s="938">
        <f t="shared" si="146"/>
        <v>3.6253804238235945E-2</v>
      </c>
      <c r="AF320" s="938">
        <f t="shared" si="147"/>
        <v>7.5357860794300819E-4</v>
      </c>
      <c r="AG320" s="938">
        <f t="shared" si="148"/>
        <v>3.7007382846178952E-2</v>
      </c>
      <c r="AH320" s="1174">
        <f t="shared" si="144"/>
        <v>0.97963707374079245</v>
      </c>
      <c r="AI320" s="938">
        <f t="shared" si="145"/>
        <v>2.0362926259207652E-2</v>
      </c>
    </row>
    <row r="321" spans="1:35" x14ac:dyDescent="0.2">
      <c r="A321" s="330">
        <v>2042</v>
      </c>
      <c r="B321" s="344">
        <v>0</v>
      </c>
      <c r="C321" s="345">
        <v>0</v>
      </c>
      <c r="D321" s="345">
        <v>3.6283180646532583E-2</v>
      </c>
      <c r="E321" s="345">
        <v>0.12068135592315005</v>
      </c>
      <c r="F321" s="345">
        <v>0.17394826024718998</v>
      </c>
      <c r="G321" s="345">
        <v>0.19711621516127117</v>
      </c>
      <c r="H321" s="345">
        <v>0.21553378800103246</v>
      </c>
      <c r="I321" s="345">
        <v>0.22354362511412815</v>
      </c>
      <c r="J321" s="345">
        <v>0.22813139340485647</v>
      </c>
      <c r="K321" s="345">
        <v>0.23205808106201217</v>
      </c>
      <c r="L321" s="380">
        <v>0.2273790738401833</v>
      </c>
      <c r="M321" s="296">
        <f t="shared" si="136"/>
        <v>4.5359689058986831E-2</v>
      </c>
      <c r="N321" s="298">
        <f t="shared" si="137"/>
        <v>4.1919323589633704E-2</v>
      </c>
      <c r="O321" s="344">
        <v>0</v>
      </c>
      <c r="P321" s="345">
        <v>1.5932751332055815E-5</v>
      </c>
      <c r="Q321" s="345">
        <v>9.4501189428285517E-4</v>
      </c>
      <c r="R321" s="345">
        <v>1.5807795283805854E-3</v>
      </c>
      <c r="S321" s="345">
        <v>1.8507323598990146E-3</v>
      </c>
      <c r="T321" s="345">
        <v>1.9873377197983052E-3</v>
      </c>
      <c r="U321" s="345">
        <v>2.0509543158229045E-3</v>
      </c>
      <c r="V321" s="345">
        <v>2.0764245519345019E-3</v>
      </c>
      <c r="W321" s="345">
        <v>2.0586471698341904E-3</v>
      </c>
      <c r="X321" s="345">
        <v>2.0214581220954261E-3</v>
      </c>
      <c r="Y321" s="380">
        <v>1.9550296547394368E-3</v>
      </c>
      <c r="Z321" s="296">
        <f t="shared" si="138"/>
        <v>1.5017109020911579E-3</v>
      </c>
      <c r="AA321" s="298">
        <f t="shared" si="139"/>
        <v>1.3997457392714914E-3</v>
      </c>
      <c r="AB321" s="949">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50">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8">
        <f t="shared" si="149"/>
        <v>0</v>
      </c>
      <c r="AE321" s="938">
        <f t="shared" si="146"/>
        <v>4.5359689058986831E-2</v>
      </c>
      <c r="AF321" s="938">
        <f t="shared" si="147"/>
        <v>1.5017109020911579E-3</v>
      </c>
      <c r="AG321" s="938">
        <f t="shared" si="148"/>
        <v>4.6861399961077986E-2</v>
      </c>
      <c r="AH321" s="1174">
        <f t="shared" si="144"/>
        <v>0.96795420317492775</v>
      </c>
      <c r="AI321" s="938">
        <f t="shared" si="145"/>
        <v>3.2045796825072338E-2</v>
      </c>
    </row>
    <row r="322" spans="1:35" x14ac:dyDescent="0.2">
      <c r="A322" s="330">
        <v>2043</v>
      </c>
      <c r="B322" s="344">
        <v>0</v>
      </c>
      <c r="C322" s="345">
        <v>4.6345338936870986E-4</v>
      </c>
      <c r="D322" s="345">
        <v>7.872519459345674E-2</v>
      </c>
      <c r="E322" s="345">
        <v>0.16321111717223255</v>
      </c>
      <c r="F322" s="345">
        <v>0.20649984742552277</v>
      </c>
      <c r="G322" s="345">
        <v>0.21670712754255067</v>
      </c>
      <c r="H322" s="345">
        <v>0.22967314382312745</v>
      </c>
      <c r="I322" s="345">
        <v>0.23224957908818472</v>
      </c>
      <c r="J322" s="345">
        <v>0.22959082812905177</v>
      </c>
      <c r="K322" s="345">
        <v>0.2284249382627884</v>
      </c>
      <c r="L322" s="380">
        <v>0.22306043000226167</v>
      </c>
      <c r="M322" s="296">
        <f t="shared" si="136"/>
        <v>4.9318288860981045E-2</v>
      </c>
      <c r="N322" s="298">
        <f t="shared" si="137"/>
        <v>4.6745206728882743E-2</v>
      </c>
      <c r="O322" s="344">
        <v>0</v>
      </c>
      <c r="P322" s="345">
        <v>1.2032577008911498E-4</v>
      </c>
      <c r="Q322" s="345">
        <v>2.1969592402733746E-3</v>
      </c>
      <c r="R322" s="345">
        <v>3.1722129242808456E-3</v>
      </c>
      <c r="S322" s="345">
        <v>3.3946043226290752E-3</v>
      </c>
      <c r="T322" s="345">
        <v>3.5304543965771693E-3</v>
      </c>
      <c r="U322" s="345">
        <v>3.569411116262868E-3</v>
      </c>
      <c r="V322" s="345">
        <v>3.4951188686032073E-3</v>
      </c>
      <c r="W322" s="345">
        <v>3.4565438052999936E-3</v>
      </c>
      <c r="X322" s="345">
        <v>3.3823784984112985E-3</v>
      </c>
      <c r="Y322" s="380">
        <v>3.2891766358059205E-3</v>
      </c>
      <c r="Z322" s="296">
        <f t="shared" si="138"/>
        <v>2.6380583075443975E-3</v>
      </c>
      <c r="AA322" s="298">
        <f t="shared" si="139"/>
        <v>2.4911104508981876E-3</v>
      </c>
      <c r="AB322" s="949">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50">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8">
        <f t="shared" si="149"/>
        <v>0</v>
      </c>
      <c r="AE322" s="938">
        <f t="shared" si="146"/>
        <v>4.9318288860981045E-2</v>
      </c>
      <c r="AF322" s="938">
        <f t="shared" si="147"/>
        <v>2.6380583075443975E-3</v>
      </c>
      <c r="AG322" s="938">
        <f t="shared" si="148"/>
        <v>5.1956347168525444E-2</v>
      </c>
      <c r="AH322" s="1174">
        <f t="shared" si="144"/>
        <v>0.94922548540628537</v>
      </c>
      <c r="AI322" s="938">
        <f t="shared" si="145"/>
        <v>5.0774514593714605E-2</v>
      </c>
    </row>
    <row r="323" spans="1:35" x14ac:dyDescent="0.2">
      <c r="A323" s="330">
        <v>2044</v>
      </c>
      <c r="B323" s="344">
        <v>0</v>
      </c>
      <c r="C323" s="345">
        <v>3.3875805764979781E-3</v>
      </c>
      <c r="D323" s="345">
        <v>0.12537255491398189</v>
      </c>
      <c r="E323" s="345">
        <v>0.19538033454098741</v>
      </c>
      <c r="F323" s="345">
        <v>0.22433360151822188</v>
      </c>
      <c r="G323" s="345">
        <v>0.23029458885049447</v>
      </c>
      <c r="H323" s="345">
        <v>0.22780012519022677</v>
      </c>
      <c r="I323" s="345">
        <v>0.22900706431713461</v>
      </c>
      <c r="J323" s="345">
        <v>0.228676961449262</v>
      </c>
      <c r="K323" s="345">
        <v>0.2269426460258826</v>
      </c>
      <c r="L323" s="380">
        <v>0.21901917252179684</v>
      </c>
      <c r="M323" s="296">
        <f t="shared" si="136"/>
        <v>5.0799179626303398E-2</v>
      </c>
      <c r="N323" s="298">
        <f t="shared" si="137"/>
        <v>4.908566792716889E-2</v>
      </c>
      <c r="O323" s="344">
        <v>0</v>
      </c>
      <c r="P323" s="345">
        <v>4.4971211793405933E-4</v>
      </c>
      <c r="Q323" s="345">
        <v>3.65045396695352E-3</v>
      </c>
      <c r="R323" s="345">
        <v>4.349716626943302E-3</v>
      </c>
      <c r="S323" s="345">
        <v>4.5049754006669393E-3</v>
      </c>
      <c r="T323" s="345">
        <v>4.6430104769627639E-3</v>
      </c>
      <c r="U323" s="345">
        <v>4.50157988021969E-3</v>
      </c>
      <c r="V323" s="345">
        <v>4.3948356351406663E-3</v>
      </c>
      <c r="W323" s="345">
        <v>4.3480654021632306E-3</v>
      </c>
      <c r="X323" s="345">
        <v>4.2286132370493099E-3</v>
      </c>
      <c r="Y323" s="380">
        <v>4.1557783021489471E-3</v>
      </c>
      <c r="Z323" s="296">
        <f t="shared" si="138"/>
        <v>3.4028629866183551E-3</v>
      </c>
      <c r="AA323" s="298">
        <f t="shared" si="139"/>
        <v>3.2483469624505338E-3</v>
      </c>
      <c r="AB323" s="949">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50">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8">
        <f t="shared" si="149"/>
        <v>0</v>
      </c>
      <c r="AE323" s="938">
        <f t="shared" si="146"/>
        <v>5.0799179626303398E-2</v>
      </c>
      <c r="AF323" s="938">
        <f t="shared" si="147"/>
        <v>3.4028629866183551E-3</v>
      </c>
      <c r="AG323" s="938">
        <f t="shared" si="148"/>
        <v>5.4202042612921754E-2</v>
      </c>
      <c r="AH323" s="1174">
        <f t="shared" si="144"/>
        <v>0.93721891606706509</v>
      </c>
      <c r="AI323" s="938">
        <f t="shared" si="145"/>
        <v>6.2781083932934911E-2</v>
      </c>
    </row>
    <row r="324" spans="1:35" ht="13.5" thickBot="1" x14ac:dyDescent="0.25">
      <c r="A324" s="328">
        <v>2045</v>
      </c>
      <c r="B324" s="346">
        <v>0</v>
      </c>
      <c r="C324" s="347">
        <v>1.5647800206921539E-2</v>
      </c>
      <c r="D324" s="347">
        <v>0.168454064707692</v>
      </c>
      <c r="E324" s="347">
        <v>0.21307550386965682</v>
      </c>
      <c r="F324" s="347">
        <v>0.22947818280203414</v>
      </c>
      <c r="G324" s="347">
        <v>0.23370524758071032</v>
      </c>
      <c r="H324" s="347">
        <v>0.2292949267758182</v>
      </c>
      <c r="I324" s="347">
        <v>0.22863486885369586</v>
      </c>
      <c r="J324" s="347">
        <v>0.22531138767824829</v>
      </c>
      <c r="K324" s="347">
        <v>0.22277250084415265</v>
      </c>
      <c r="L324" s="381">
        <v>0.21697060790266648</v>
      </c>
      <c r="M324" s="310">
        <f t="shared" si="136"/>
        <v>5.161465467373394E-2</v>
      </c>
      <c r="N324" s="312">
        <f t="shared" si="137"/>
        <v>5.0447431131313551E-2</v>
      </c>
      <c r="O324" s="346">
        <v>0</v>
      </c>
      <c r="P324" s="347">
        <v>1.5842289797531404E-3</v>
      </c>
      <c r="Q324" s="347">
        <v>6.7853977171163397E-3</v>
      </c>
      <c r="R324" s="347">
        <v>7.2222276371173393E-3</v>
      </c>
      <c r="S324" s="347">
        <v>7.3277710746764866E-3</v>
      </c>
      <c r="T324" s="347">
        <v>7.2987413655316788E-3</v>
      </c>
      <c r="U324" s="347">
        <v>7.0905214810087569E-3</v>
      </c>
      <c r="V324" s="347">
        <v>6.9414889048734409E-3</v>
      </c>
      <c r="W324" s="347">
        <v>6.8356734091907E-3</v>
      </c>
      <c r="X324" s="347">
        <v>6.672088030783993E-3</v>
      </c>
      <c r="Y324" s="381">
        <v>6.5406201642174092E-3</v>
      </c>
      <c r="Z324" s="310">
        <f t="shared" si="138"/>
        <v>5.4093689456350272E-3</v>
      </c>
      <c r="AA324" s="312">
        <f t="shared" si="139"/>
        <v>5.2080611744788905E-3</v>
      </c>
      <c r="AB324" s="949">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50">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8">
        <f t="shared" si="149"/>
        <v>0</v>
      </c>
      <c r="AE324" s="938">
        <f t="shared" si="146"/>
        <v>5.161465467373394E-2</v>
      </c>
      <c r="AF324" s="938">
        <f t="shared" si="147"/>
        <v>5.4093689456350272E-3</v>
      </c>
      <c r="AG324" s="938">
        <f t="shared" si="148"/>
        <v>5.7024023619368966E-2</v>
      </c>
      <c r="AH324" s="1174">
        <f t="shared" si="144"/>
        <v>0.90513877130554388</v>
      </c>
      <c r="AI324" s="938">
        <f t="shared" si="145"/>
        <v>9.4861228694456123E-2</v>
      </c>
    </row>
    <row r="325" spans="1:35" x14ac:dyDescent="0.2">
      <c r="A325" s="329">
        <v>2046</v>
      </c>
      <c r="B325" s="342">
        <v>0</v>
      </c>
      <c r="C325" s="343">
        <v>2.2467214055642622E-2</v>
      </c>
      <c r="D325" s="343">
        <v>0.1708080858437894</v>
      </c>
      <c r="E325" s="343">
        <v>0.21392924422293436</v>
      </c>
      <c r="F325" s="343">
        <v>0.23016901376192822</v>
      </c>
      <c r="G325" s="343">
        <v>0.22829185897554882</v>
      </c>
      <c r="H325" s="343">
        <v>0.22858894419328621</v>
      </c>
      <c r="I325" s="343">
        <v>0.22583192191399148</v>
      </c>
      <c r="J325" s="343">
        <v>0.2225328652295617</v>
      </c>
      <c r="K325" s="343">
        <v>0.22004774433195085</v>
      </c>
      <c r="L325" s="379">
        <v>0.21502284756615186</v>
      </c>
      <c r="M325" s="282">
        <f t="shared" si="136"/>
        <v>5.1300091913033204E-2</v>
      </c>
      <c r="N325" s="284">
        <f t="shared" si="137"/>
        <v>5.0242016901806616E-2</v>
      </c>
      <c r="O325" s="342">
        <v>0</v>
      </c>
      <c r="P325" s="343">
        <v>3.0067765119750987E-3</v>
      </c>
      <c r="Q325" s="343">
        <v>1.0745069458587416E-2</v>
      </c>
      <c r="R325" s="343">
        <v>1.1217786018951301E-2</v>
      </c>
      <c r="S325" s="343">
        <v>1.1192105101811725E-2</v>
      </c>
      <c r="T325" s="343">
        <v>1.1018330655108629E-2</v>
      </c>
      <c r="U325" s="343">
        <v>1.0929058132742666E-2</v>
      </c>
      <c r="V325" s="343">
        <v>1.065675087283665E-2</v>
      </c>
      <c r="W325" s="343">
        <v>1.0446626540239085E-2</v>
      </c>
      <c r="X325" s="343">
        <v>1.0250638038216811E-2</v>
      </c>
      <c r="Y325" s="379">
        <v>1.0053410655321973E-2</v>
      </c>
      <c r="Z325" s="282">
        <f t="shared" si="138"/>
        <v>8.2878330079364255E-3</v>
      </c>
      <c r="AA325" s="284">
        <f t="shared" si="139"/>
        <v>7.9934155873711867E-3</v>
      </c>
      <c r="AB325" s="949">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50">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8">
        <f t="shared" si="149"/>
        <v>0</v>
      </c>
      <c r="AE325" s="938">
        <f t="shared" si="146"/>
        <v>5.1300091913033204E-2</v>
      </c>
      <c r="AF325" s="938">
        <f t="shared" si="147"/>
        <v>8.2878330079364255E-3</v>
      </c>
      <c r="AG325" s="938">
        <f t="shared" si="148"/>
        <v>5.9587924920969627E-2</v>
      </c>
      <c r="AH325" s="1174">
        <f t="shared" si="144"/>
        <v>0.86091422013892205</v>
      </c>
      <c r="AI325" s="938">
        <f t="shared" si="145"/>
        <v>0.13908577986107801</v>
      </c>
    </row>
    <row r="326" spans="1:35" x14ac:dyDescent="0.2">
      <c r="A326" s="330">
        <v>2047</v>
      </c>
      <c r="B326" s="344">
        <v>0</v>
      </c>
      <c r="C326" s="345">
        <v>3.0135915579355438E-2</v>
      </c>
      <c r="D326" s="345">
        <v>0.18576715208578437</v>
      </c>
      <c r="E326" s="345">
        <v>0.21819495566440447</v>
      </c>
      <c r="F326" s="345">
        <v>0.23256288332490452</v>
      </c>
      <c r="G326" s="345">
        <v>0.22945715826662055</v>
      </c>
      <c r="H326" s="345">
        <v>0.22570918360025402</v>
      </c>
      <c r="I326" s="345">
        <v>0.22511625826934534</v>
      </c>
      <c r="J326" s="345">
        <v>0.22117155180304859</v>
      </c>
      <c r="K326" s="345">
        <v>0.21876155468072259</v>
      </c>
      <c r="L326" s="380">
        <v>0.21388026091509599</v>
      </c>
      <c r="M326" s="296">
        <f t="shared" si="136"/>
        <v>5.1283883828366773E-2</v>
      </c>
      <c r="N326" s="298">
        <f t="shared" si="137"/>
        <v>5.044633659615886E-2</v>
      </c>
      <c r="O326" s="344">
        <v>0</v>
      </c>
      <c r="P326" s="345">
        <v>5.249285269235281E-3</v>
      </c>
      <c r="Q326" s="345">
        <v>1.6476058451702028E-2</v>
      </c>
      <c r="R326" s="345">
        <v>1.6961751801492647E-2</v>
      </c>
      <c r="S326" s="345">
        <v>1.6773814406285694E-2</v>
      </c>
      <c r="T326" s="345">
        <v>1.6550106725620916E-2</v>
      </c>
      <c r="U326" s="345">
        <v>1.6026757972434927E-2</v>
      </c>
      <c r="V326" s="345">
        <v>1.5635410599640041E-2</v>
      </c>
      <c r="W326" s="345">
        <v>1.54586560306292E-2</v>
      </c>
      <c r="X326" s="345">
        <v>1.5174039807580515E-2</v>
      </c>
      <c r="Y326" s="380">
        <v>1.4891153809686327E-2</v>
      </c>
      <c r="Z326" s="296">
        <f t="shared" si="138"/>
        <v>1.2304547152667017E-2</v>
      </c>
      <c r="AA326" s="298">
        <f t="shared" si="139"/>
        <v>1.1910314377592572E-2</v>
      </c>
      <c r="AB326" s="949">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50">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8">
        <f t="shared" si="149"/>
        <v>0</v>
      </c>
      <c r="AE326" s="938">
        <f t="shared" si="146"/>
        <v>5.1283883828366773E-2</v>
      </c>
      <c r="AF326" s="938">
        <f t="shared" si="147"/>
        <v>1.2304547152667017E-2</v>
      </c>
      <c r="AG326" s="938">
        <f t="shared" si="148"/>
        <v>6.3588430981033783E-2</v>
      </c>
      <c r="AH326" s="1174">
        <f t="shared" si="144"/>
        <v>0.80649707874790888</v>
      </c>
      <c r="AI326" s="938">
        <f t="shared" si="145"/>
        <v>0.1935029212520912</v>
      </c>
    </row>
    <row r="327" spans="1:35" x14ac:dyDescent="0.2">
      <c r="A327" s="330">
        <v>2048</v>
      </c>
      <c r="B327" s="344">
        <v>0</v>
      </c>
      <c r="C327" s="345">
        <v>4.9198743101547968E-2</v>
      </c>
      <c r="D327" s="345">
        <v>0.19996861045083664</v>
      </c>
      <c r="E327" s="345">
        <v>0.22176029521305912</v>
      </c>
      <c r="F327" s="345">
        <v>0.23419320492425094</v>
      </c>
      <c r="G327" s="345">
        <v>0.23147734505781861</v>
      </c>
      <c r="H327" s="345">
        <v>0.22710415416682059</v>
      </c>
      <c r="I327" s="345">
        <v>0.22373478253789456</v>
      </c>
      <c r="J327" s="345">
        <v>0.21985905942259834</v>
      </c>
      <c r="K327" s="345">
        <v>0.21805448847114681</v>
      </c>
      <c r="L327" s="380">
        <v>0.21278676852996897</v>
      </c>
      <c r="M327" s="296">
        <f t="shared" si="136"/>
        <v>5.157168432196952E-2</v>
      </c>
      <c r="N327" s="298">
        <f t="shared" si="137"/>
        <v>5.0950744929042953E-2</v>
      </c>
      <c r="O327" s="344">
        <v>0</v>
      </c>
      <c r="P327" s="345">
        <v>8.2664870155285848E-3</v>
      </c>
      <c r="Q327" s="345">
        <v>2.124669167339684E-2</v>
      </c>
      <c r="R327" s="345">
        <v>2.064046217151207E-2</v>
      </c>
      <c r="S327" s="345">
        <v>2.0421044700964987E-2</v>
      </c>
      <c r="T327" s="345">
        <v>2.0012262471731258E-2</v>
      </c>
      <c r="U327" s="345">
        <v>1.9308691202519976E-2</v>
      </c>
      <c r="V327" s="345">
        <v>1.8755146164356702E-2</v>
      </c>
      <c r="W327" s="345">
        <v>1.8488332501206697E-2</v>
      </c>
      <c r="X327" s="345">
        <v>1.8154672346856984E-2</v>
      </c>
      <c r="Y327" s="380">
        <v>1.7828428069456996E-2</v>
      </c>
      <c r="Z327" s="296">
        <f t="shared" si="138"/>
        <v>1.4869010132923122E-2</v>
      </c>
      <c r="AA327" s="298">
        <f t="shared" si="139"/>
        <v>1.4464611934414983E-2</v>
      </c>
      <c r="AB327" s="949">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50">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8">
        <f t="shared" si="149"/>
        <v>0</v>
      </c>
      <c r="AE327" s="938">
        <f t="shared" si="146"/>
        <v>5.157168432196952E-2</v>
      </c>
      <c r="AF327" s="938">
        <f t="shared" si="147"/>
        <v>1.4869010132923122E-2</v>
      </c>
      <c r="AG327" s="938">
        <f t="shared" si="148"/>
        <v>6.6440694454892646E-2</v>
      </c>
      <c r="AH327" s="1174">
        <f t="shared" si="144"/>
        <v>0.77620628057977525</v>
      </c>
      <c r="AI327" s="938">
        <f t="shared" si="145"/>
        <v>0.22379371942022469</v>
      </c>
    </row>
    <row r="328" spans="1:35" x14ac:dyDescent="0.2">
      <c r="A328" s="330">
        <v>2049</v>
      </c>
      <c r="B328" s="344">
        <v>0</v>
      </c>
      <c r="C328" s="345">
        <v>6.340125630911761E-2</v>
      </c>
      <c r="D328" s="345">
        <v>0.20704290648888665</v>
      </c>
      <c r="E328" s="345">
        <v>0.23191513888876678</v>
      </c>
      <c r="F328" s="345">
        <v>0.2326507421094848</v>
      </c>
      <c r="G328" s="345">
        <v>0.23283496517956934</v>
      </c>
      <c r="H328" s="345">
        <v>0.22781711633927879</v>
      </c>
      <c r="I328" s="345">
        <v>0.22376630256234245</v>
      </c>
      <c r="J328" s="345">
        <v>0.22050503372395419</v>
      </c>
      <c r="K328" s="345">
        <v>0.21681789864035333</v>
      </c>
      <c r="L328" s="380">
        <v>0.21285351625871249</v>
      </c>
      <c r="M328" s="296">
        <f t="shared" si="136"/>
        <v>5.1857523569502899E-2</v>
      </c>
      <c r="N328" s="298">
        <f t="shared" si="137"/>
        <v>5.1422563656869674E-2</v>
      </c>
      <c r="O328" s="344">
        <v>0</v>
      </c>
      <c r="P328" s="345">
        <v>1.4876604911472205E-2</v>
      </c>
      <c r="Q328" s="345">
        <v>3.0864621615776359E-2</v>
      </c>
      <c r="R328" s="345">
        <v>2.9926418666163846E-2</v>
      </c>
      <c r="S328" s="345">
        <v>2.9063488735034518E-2</v>
      </c>
      <c r="T328" s="345">
        <v>2.8061918362316064E-2</v>
      </c>
      <c r="U328" s="345">
        <v>2.7316026248934634E-2</v>
      </c>
      <c r="V328" s="345">
        <v>2.6542366623945407E-2</v>
      </c>
      <c r="W328" s="345">
        <v>2.6167244721129603E-2</v>
      </c>
      <c r="X328" s="345">
        <v>2.563759958583732E-2</v>
      </c>
      <c r="Y328" s="380">
        <v>2.5238920955669888E-2</v>
      </c>
      <c r="Z328" s="296">
        <f t="shared" si="138"/>
        <v>2.1059866313076377E-2</v>
      </c>
      <c r="AA328" s="298">
        <f t="shared" si="139"/>
        <v>2.0573889644549748E-2</v>
      </c>
      <c r="AB328" s="949">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50">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8">
        <f t="shared" si="149"/>
        <v>0</v>
      </c>
      <c r="AE328" s="938">
        <f t="shared" si="146"/>
        <v>5.1857523569502899E-2</v>
      </c>
      <c r="AF328" s="938">
        <f t="shared" si="147"/>
        <v>2.1059866313076377E-2</v>
      </c>
      <c r="AG328" s="938">
        <f t="shared" si="148"/>
        <v>7.2917389882579273E-2</v>
      </c>
      <c r="AH328" s="1174">
        <f t="shared" si="144"/>
        <v>0.71118184088885228</v>
      </c>
      <c r="AI328" s="938">
        <f t="shared" si="145"/>
        <v>0.28881815911114778</v>
      </c>
    </row>
    <row r="329" spans="1:35" ht="13.5" thickBot="1" x14ac:dyDescent="0.25">
      <c r="A329" s="328">
        <v>2050</v>
      </c>
      <c r="B329" s="346">
        <v>0</v>
      </c>
      <c r="C329" s="347">
        <v>8.4685549794437889E-2</v>
      </c>
      <c r="D329" s="347">
        <v>0.22118310365797944</v>
      </c>
      <c r="E329" s="347">
        <v>0.23727691049926394</v>
      </c>
      <c r="F329" s="347">
        <v>0.23685305196167294</v>
      </c>
      <c r="G329" s="347">
        <v>0.23131178714193176</v>
      </c>
      <c r="H329" s="347">
        <v>0.22790396525207038</v>
      </c>
      <c r="I329" s="347">
        <v>0.22384577915853007</v>
      </c>
      <c r="J329" s="347">
        <v>0.21920027742788936</v>
      </c>
      <c r="K329" s="347">
        <v>0.21688605112592882</v>
      </c>
      <c r="L329" s="381">
        <v>0.21180932139746916</v>
      </c>
      <c r="M329" s="310">
        <f t="shared" si="136"/>
        <v>5.2127894264444335E-2</v>
      </c>
      <c r="N329" s="312">
        <f t="shared" si="137"/>
        <v>5.195377005791757E-2</v>
      </c>
      <c r="O329" s="346">
        <v>4.447233569507155E-5</v>
      </c>
      <c r="P329" s="347">
        <v>2.1644312574555985E-2</v>
      </c>
      <c r="Q329" s="347">
        <v>3.7462453485834747E-2</v>
      </c>
      <c r="R329" s="347">
        <v>3.5573104005765986E-2</v>
      </c>
      <c r="S329" s="347">
        <v>3.3821331204806598E-2</v>
      </c>
      <c r="T329" s="347">
        <v>3.2939022594562856E-2</v>
      </c>
      <c r="U329" s="347">
        <v>3.2194412783154824E-2</v>
      </c>
      <c r="V329" s="347">
        <v>3.094391244744802E-2</v>
      </c>
      <c r="W329" s="347">
        <v>3.0516964783555721E-2</v>
      </c>
      <c r="X329" s="347">
        <v>3.0128027940983768E-2</v>
      </c>
      <c r="Y329" s="381">
        <v>2.947170944947405E-2</v>
      </c>
      <c r="Z329" s="310">
        <f t="shared" si="138"/>
        <v>2.4750085685435404E-2</v>
      </c>
      <c r="AA329" s="312">
        <f t="shared" si="139"/>
        <v>2.4282433524641937E-2</v>
      </c>
      <c r="AB329" s="951">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2">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9">
        <f t="shared" si="149"/>
        <v>0</v>
      </c>
      <c r="AE329" s="938">
        <f t="shared" si="146"/>
        <v>5.2127894264444335E-2</v>
      </c>
      <c r="AF329" s="938">
        <f t="shared" si="147"/>
        <v>2.4750085685435404E-2</v>
      </c>
      <c r="AG329" s="938">
        <f t="shared" si="148"/>
        <v>7.6877979949879743E-2</v>
      </c>
      <c r="AH329" s="1174">
        <f t="shared" si="144"/>
        <v>0.67806014542042969</v>
      </c>
      <c r="AI329" s="938">
        <f t="shared" si="145"/>
        <v>0.32193985457957031</v>
      </c>
    </row>
    <row r="330" spans="1:35" x14ac:dyDescent="0.2">
      <c r="B330" s="227" t="str">
        <f>B$120</f>
        <v>Output generated: 4/26/2020 19:05</v>
      </c>
      <c r="U330" s="227" t="str">
        <f>U$120</f>
        <v>Output generated: 4/26/2020 19:05</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defaultColWidth="8.42578125" defaultRowHeight="12.75" x14ac:dyDescent="0.2"/>
  <cols>
    <col min="1" max="1" width="6" style="227" customWidth="1"/>
    <col min="2" max="2" width="10.28515625" style="227" customWidth="1"/>
    <col min="3" max="3" width="11.85546875" style="227" customWidth="1"/>
    <col min="4" max="4" width="12.5703125" style="227" customWidth="1"/>
    <col min="5" max="5" width="12.7109375" style="227" customWidth="1"/>
    <col min="6" max="6" width="12" style="227" customWidth="1"/>
    <col min="7" max="7" width="11.85546875" style="227" customWidth="1"/>
    <col min="8" max="8" width="10.85546875" style="227" bestFit="1" customWidth="1"/>
    <col min="9" max="9" width="8.42578125" style="227" customWidth="1"/>
    <col min="10" max="10" width="12.140625" style="227" customWidth="1"/>
    <col min="11" max="11" width="9.5703125" style="227" customWidth="1"/>
    <col min="12" max="12" width="10.85546875" style="227" bestFit="1" customWidth="1"/>
    <col min="13" max="13" width="9.85546875" style="227" customWidth="1"/>
    <col min="14" max="14" width="13" style="227" bestFit="1" customWidth="1"/>
    <col min="15" max="15" width="13.7109375" style="227" customWidth="1"/>
    <col min="16" max="16" width="12.5703125" style="227" customWidth="1"/>
    <col min="17" max="17" width="13.42578125" style="227" customWidth="1"/>
    <col min="18" max="18" width="11.5703125" style="227" customWidth="1"/>
    <col min="19" max="19" width="12.42578125" style="227" customWidth="1"/>
    <col min="20" max="22" width="8.42578125" style="227" customWidth="1"/>
    <col min="23" max="25" width="8.42578125" style="323" customWidth="1"/>
    <col min="26" max="28" width="8.42578125" style="227"/>
    <col min="29" max="29" width="10" style="227" customWidth="1"/>
    <col min="30" max="34" width="8.42578125" style="227"/>
    <col min="35" max="35" width="9.42578125" style="227" customWidth="1"/>
    <col min="36" max="42" width="8.42578125" style="227"/>
    <col min="43" max="43" width="9.5703125" style="227" bestFit="1" customWidth="1"/>
    <col min="44" max="44" width="7.42578125" style="227" bestFit="1" customWidth="1"/>
    <col min="45" max="47" width="8.42578125" style="227"/>
    <col min="48" max="48" width="9.5703125" style="227" bestFit="1" customWidth="1"/>
    <col min="49" max="52" width="8.42578125" style="227"/>
    <col min="53" max="53" width="9.5703125" style="227" bestFit="1" customWidth="1"/>
    <col min="54" max="58" width="8.42578125" style="227"/>
    <col min="59" max="59" width="9.5703125" style="227" bestFit="1" customWidth="1"/>
    <col min="60" max="16384" width="8.42578125" style="227"/>
  </cols>
  <sheetData>
    <row r="1" spans="2:60" ht="15.75" x14ac:dyDescent="0.25">
      <c r="B1" s="52" t="s">
        <v>244</v>
      </c>
      <c r="C1" s="232"/>
      <c r="D1" s="232"/>
      <c r="E1" s="232"/>
      <c r="F1" s="232"/>
      <c r="W1" s="227"/>
      <c r="X1" s="227"/>
      <c r="Y1" s="227"/>
    </row>
    <row r="2" spans="2:60" x14ac:dyDescent="0.2">
      <c r="Q2" s="235"/>
      <c r="W2" s="227"/>
      <c r="X2" s="227"/>
      <c r="Y2" s="227"/>
    </row>
    <row r="3" spans="2:60" x14ac:dyDescent="0.2">
      <c r="B3" s="1570" t="s">
        <v>53</v>
      </c>
      <c r="C3" s="1571"/>
      <c r="D3" s="236">
        <f>'Run Model'!C6</f>
        <v>7.4999999999999997E-2</v>
      </c>
      <c r="F3"/>
      <c r="G3"/>
      <c r="H3"/>
      <c r="J3" s="227" t="s">
        <v>127</v>
      </c>
      <c r="L3" s="1553" t="s">
        <v>375</v>
      </c>
      <c r="M3" s="1554"/>
      <c r="N3" s="1554"/>
      <c r="O3" s="1555"/>
      <c r="Q3" s="216"/>
      <c r="W3" s="227"/>
      <c r="X3" s="227"/>
      <c r="Y3" s="227"/>
    </row>
    <row r="4" spans="2:60" x14ac:dyDescent="0.2">
      <c r="B4" s="1570" t="s">
        <v>104</v>
      </c>
      <c r="C4" s="1571"/>
      <c r="D4" s="225" t="str">
        <f>'Run Model'!C7</f>
        <v>Moderate</v>
      </c>
      <c r="F4"/>
      <c r="G4"/>
      <c r="H4"/>
      <c r="J4" s="227" t="s">
        <v>126</v>
      </c>
      <c r="L4" s="1567">
        <v>43947.795219907406</v>
      </c>
      <c r="M4" s="1554"/>
      <c r="N4" s="1554"/>
      <c r="O4" s="1555"/>
      <c r="P4" s="227" t="s">
        <v>187</v>
      </c>
      <c r="W4" s="227"/>
      <c r="X4" s="227"/>
      <c r="Y4" s="227"/>
    </row>
    <row r="5" spans="2:60" x14ac:dyDescent="0.2">
      <c r="B5" s="1570" t="s">
        <v>118</v>
      </c>
      <c r="C5" s="1571"/>
      <c r="D5" s="225" t="s">
        <v>15</v>
      </c>
      <c r="F5"/>
      <c r="G5"/>
      <c r="H5"/>
      <c r="L5" s="1567">
        <v>43947.795231481483</v>
      </c>
      <c r="M5" s="1554"/>
      <c r="N5" s="1554"/>
      <c r="O5" s="1555"/>
      <c r="P5" s="227" t="s">
        <v>15</v>
      </c>
      <c r="W5" s="227"/>
      <c r="X5" s="227"/>
      <c r="Y5" s="227"/>
    </row>
    <row r="6" spans="2:60" x14ac:dyDescent="0.2">
      <c r="B6" s="1570" t="s">
        <v>68</v>
      </c>
      <c r="C6" s="1571"/>
      <c r="D6" s="238">
        <v>220702.9179341534</v>
      </c>
      <c r="F6"/>
      <c r="G6"/>
      <c r="H6"/>
      <c r="W6" s="227"/>
      <c r="X6" s="227"/>
      <c r="Y6" s="227"/>
    </row>
    <row r="7" spans="2:60" ht="6.75" customHeight="1" x14ac:dyDescent="0.2">
      <c r="Q7" s="239"/>
      <c r="W7" s="227"/>
      <c r="X7" s="227"/>
      <c r="Y7" s="227"/>
    </row>
    <row r="8" spans="2:60" s="240" customFormat="1" ht="15.75" thickBot="1" x14ac:dyDescent="0.3">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3" customFormat="1" ht="28.5" customHeight="1" x14ac:dyDescent="0.2">
      <c r="B9" s="1028"/>
      <c r="C9" s="1029"/>
      <c r="D9" s="1030"/>
      <c r="E9" s="1030"/>
      <c r="F9" s="1029"/>
      <c r="G9" s="1030"/>
      <c r="H9" s="1029"/>
      <c r="I9" s="1030"/>
      <c r="J9" s="1541" t="s">
        <v>76</v>
      </c>
      <c r="K9" s="1542"/>
      <c r="L9" s="1581" t="s">
        <v>83</v>
      </c>
      <c r="M9" s="1581"/>
      <c r="N9" s="1582" t="s">
        <v>109</v>
      </c>
      <c r="O9" s="1581"/>
      <c r="P9" s="1581"/>
      <c r="Q9" s="1583"/>
      <c r="R9" s="1031"/>
      <c r="S9" s="1032"/>
      <c r="AB9" s="1034"/>
      <c r="AC9" s="1035"/>
      <c r="AQ9" s="245"/>
      <c r="AR9" s="245"/>
      <c r="AS9" s="245"/>
      <c r="AT9" s="245"/>
    </row>
    <row r="10" spans="2:60" s="240" customFormat="1" ht="26.25" thickBot="1" x14ac:dyDescent="0.25">
      <c r="B10" s="249"/>
      <c r="C10" s="722" t="s">
        <v>75</v>
      </c>
      <c r="D10" s="713"/>
      <c r="E10" s="714"/>
      <c r="F10" s="646" t="s">
        <v>212</v>
      </c>
      <c r="G10" s="647" t="s">
        <v>211</v>
      </c>
      <c r="H10" s="646" t="s">
        <v>265</v>
      </c>
      <c r="I10" s="647" t="s">
        <v>81</v>
      </c>
      <c r="J10" s="1114" t="s">
        <v>284</v>
      </c>
      <c r="K10" s="1115" t="s">
        <v>285</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3.5" thickTop="1" x14ac:dyDescent="0.2">
      <c r="B11" s="253" t="s">
        <v>69</v>
      </c>
      <c r="C11" s="863" t="str">
        <f t="shared" ref="C11:C16" si="0">INDEX(TECH_OPT_PARAMS_Cls2,MATCH($B11,TECH_OPT_ROWS_Cls2,0),MATCH(C$10,TECH_OPT_COLS_Cls2,0))</f>
        <v>Conventional Diesel ICE</v>
      </c>
      <c r="D11" s="864"/>
      <c r="E11" s="865"/>
      <c r="F11" s="875" t="str">
        <f t="shared" ref="F11:O16" si="1">INDEX(TECH_OPT_PARAMS_Cls2,MATCH($B11,TECH_OPT_ROWS_Cls2,0),MATCH(F$10,TECH_OPT_COLS_Cls2,0))</f>
        <v>Diesel</v>
      </c>
      <c r="G11" s="875" t="str">
        <f t="shared" si="1"/>
        <v>N/A</v>
      </c>
      <c r="H11" s="898" t="b">
        <f t="shared" si="1"/>
        <v>0</v>
      </c>
      <c r="I11" s="721">
        <f t="shared" si="1"/>
        <v>0</v>
      </c>
      <c r="J11" s="721">
        <f t="shared" si="1"/>
        <v>0</v>
      </c>
      <c r="K11" s="1036">
        <f t="shared" si="1"/>
        <v>0</v>
      </c>
      <c r="L11" s="1037">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6" t="str">
        <f t="shared" si="0"/>
        <v>Adv Conv</v>
      </c>
      <c r="D12" s="867"/>
      <c r="E12" s="868"/>
      <c r="F12" s="876" t="str">
        <f t="shared" si="1"/>
        <v>Diesel</v>
      </c>
      <c r="G12" s="877" t="str">
        <f t="shared" si="1"/>
        <v>N/A</v>
      </c>
      <c r="H12" s="899" t="b">
        <f t="shared" si="1"/>
        <v>0</v>
      </c>
      <c r="I12" s="237">
        <f t="shared" si="1"/>
        <v>2020</v>
      </c>
      <c r="J12" s="237">
        <f t="shared" si="1"/>
        <v>0</v>
      </c>
      <c r="K12" s="987">
        <f t="shared" si="1"/>
        <v>0.5</v>
      </c>
      <c r="L12" s="739">
        <f t="shared" si="1"/>
        <v>5000</v>
      </c>
      <c r="M12" s="237">
        <f t="shared" si="1"/>
        <v>100</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6" t="str">
        <f t="shared" si="0"/>
        <v>ISG</v>
      </c>
      <c r="D13" s="867"/>
      <c r="E13" s="868"/>
      <c r="F13" s="876" t="str">
        <f t="shared" si="1"/>
        <v>Diesel</v>
      </c>
      <c r="G13" s="877" t="str">
        <f t="shared" si="1"/>
        <v>N/A</v>
      </c>
      <c r="H13" s="899" t="b">
        <f t="shared" si="1"/>
        <v>0</v>
      </c>
      <c r="I13" s="237">
        <f t="shared" si="1"/>
        <v>2020</v>
      </c>
      <c r="J13" s="237">
        <f t="shared" si="1"/>
        <v>0</v>
      </c>
      <c r="K13" s="987">
        <f t="shared" si="1"/>
        <v>0.5</v>
      </c>
      <c r="L13" s="739">
        <f t="shared" si="1"/>
        <v>5000</v>
      </c>
      <c r="M13" s="237">
        <f t="shared" si="1"/>
        <v>100</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6" t="str">
        <f t="shared" si="0"/>
        <v>PHEV</v>
      </c>
      <c r="D14" s="867"/>
      <c r="E14" s="868"/>
      <c r="F14" s="876" t="str">
        <f t="shared" si="1"/>
        <v>Diesel</v>
      </c>
      <c r="G14" s="877" t="str">
        <f t="shared" si="1"/>
        <v>Electricity</v>
      </c>
      <c r="H14" s="899" t="b">
        <f t="shared" si="1"/>
        <v>0</v>
      </c>
      <c r="I14" s="237">
        <f t="shared" si="1"/>
        <v>2020</v>
      </c>
      <c r="J14" s="237">
        <f t="shared" si="1"/>
        <v>0</v>
      </c>
      <c r="K14" s="987">
        <f t="shared" si="1"/>
        <v>0.5</v>
      </c>
      <c r="L14" s="739">
        <f t="shared" si="1"/>
        <v>5000</v>
      </c>
      <c r="M14" s="237">
        <f t="shared" si="1"/>
        <v>100</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206</v>
      </c>
      <c r="C15" s="869" t="str">
        <f t="shared" si="0"/>
        <v>BEV</v>
      </c>
      <c r="D15" s="870"/>
      <c r="E15" s="871"/>
      <c r="F15" s="878" t="str">
        <f t="shared" si="1"/>
        <v>Electricity</v>
      </c>
      <c r="G15" s="879" t="str">
        <f t="shared" si="1"/>
        <v>N/A</v>
      </c>
      <c r="H15" s="899" t="b">
        <f t="shared" si="1"/>
        <v>1</v>
      </c>
      <c r="I15" s="237">
        <f t="shared" si="1"/>
        <v>2020</v>
      </c>
      <c r="J15" s="237">
        <f t="shared" si="1"/>
        <v>0</v>
      </c>
      <c r="K15" s="987">
        <f t="shared" si="1"/>
        <v>0.5</v>
      </c>
      <c r="L15" s="739">
        <f t="shared" si="1"/>
        <v>5000</v>
      </c>
      <c r="M15" s="237">
        <f t="shared" si="1"/>
        <v>100</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3.5" thickBot="1" x14ac:dyDescent="0.25">
      <c r="B16" s="261" t="s">
        <v>207</v>
      </c>
      <c r="C16" s="872" t="str">
        <f t="shared" si="0"/>
        <v>FCHEV</v>
      </c>
      <c r="D16" s="873"/>
      <c r="E16" s="874"/>
      <c r="F16" s="880" t="str">
        <f t="shared" si="1"/>
        <v>Hydrogen</v>
      </c>
      <c r="G16" s="881" t="str">
        <f t="shared" si="1"/>
        <v>N/A</v>
      </c>
      <c r="H16" s="900" t="b">
        <f t="shared" si="1"/>
        <v>0</v>
      </c>
      <c r="I16" s="264">
        <f t="shared" si="1"/>
        <v>2020</v>
      </c>
      <c r="J16" s="264">
        <f t="shared" si="1"/>
        <v>0</v>
      </c>
      <c r="K16" s="988">
        <f t="shared" si="1"/>
        <v>0.5</v>
      </c>
      <c r="L16" s="740">
        <f t="shared" si="1"/>
        <v>5000</v>
      </c>
      <c r="M16" s="264">
        <f t="shared" si="1"/>
        <v>100</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8306.5867067228919</v>
      </c>
      <c r="AD17"/>
      <c r="AE17"/>
      <c r="AF17"/>
      <c r="AG17"/>
      <c r="AH17"/>
      <c r="AI17"/>
      <c r="AJ17"/>
      <c r="AK17"/>
      <c r="AL17"/>
      <c r="AM17"/>
      <c r="AN17" s="793" t="s">
        <v>78</v>
      </c>
      <c r="AO17" s="797">
        <f>'S-curves'!Z4</f>
        <v>2</v>
      </c>
      <c r="AP17" s="794" t="s">
        <v>101</v>
      </c>
      <c r="AQ17" s="797">
        <f>'S-curves'!Z6</f>
        <v>1</v>
      </c>
      <c r="AR17" s="789"/>
      <c r="AS17" s="787" t="s">
        <v>234</v>
      </c>
      <c r="AT17" s="800"/>
      <c r="AU17" s="800"/>
      <c r="AV17" s="799"/>
      <c r="AW17" s="789"/>
      <c r="AX17" s="787"/>
      <c r="AY17" s="788"/>
      <c r="AZ17" s="788"/>
      <c r="BA17" s="788"/>
      <c r="BB17"/>
      <c r="BC17"/>
      <c r="BD17"/>
      <c r="BE17"/>
      <c r="BF17"/>
      <c r="BG17"/>
      <c r="BH17"/>
    </row>
    <row r="18" spans="1:60" ht="13.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5.75" thickBot="1" x14ac:dyDescent="0.3">
      <c r="A19" s="805"/>
      <c r="B19" s="1564" t="s">
        <v>235</v>
      </c>
      <c r="C19" s="1565"/>
      <c r="D19" s="1565"/>
      <c r="E19" s="1565"/>
      <c r="F19" s="1565"/>
      <c r="G19" s="1566"/>
      <c r="H19" s="1584" t="s">
        <v>221</v>
      </c>
      <c r="I19" s="1585"/>
      <c r="J19" s="1585"/>
      <c r="K19" s="1585"/>
      <c r="L19" s="1585"/>
      <c r="M19" s="1586"/>
      <c r="N19" s="1565" t="s">
        <v>71</v>
      </c>
      <c r="O19" s="1565"/>
      <c r="P19" s="1565"/>
      <c r="Q19" s="1565"/>
      <c r="R19" s="1565"/>
      <c r="S19" s="1566"/>
      <c r="T19" s="1564" t="s">
        <v>107</v>
      </c>
      <c r="U19" s="1565"/>
      <c r="V19" s="1565"/>
      <c r="W19" s="1565"/>
      <c r="X19" s="1566"/>
      <c r="Y19" s="1564" t="s">
        <v>72</v>
      </c>
      <c r="Z19" s="1565"/>
      <c r="AA19" s="1565"/>
      <c r="AB19" s="1565"/>
      <c r="AC19" s="1566"/>
      <c r="AD19" s="1564" t="s">
        <v>92</v>
      </c>
      <c r="AE19" s="1565"/>
      <c r="AF19" s="1565"/>
      <c r="AG19" s="1565"/>
      <c r="AH19" s="1566"/>
      <c r="AI19" s="1564" t="s">
        <v>76</v>
      </c>
      <c r="AJ19" s="1565"/>
      <c r="AK19" s="1565"/>
      <c r="AL19" s="1565"/>
      <c r="AM19" s="1565"/>
      <c r="AN19" s="1564" t="s">
        <v>100</v>
      </c>
      <c r="AO19" s="1565"/>
      <c r="AP19" s="1565"/>
      <c r="AQ19" s="1565"/>
      <c r="AR19" s="1566"/>
      <c r="AS19" s="1564" t="s">
        <v>73</v>
      </c>
      <c r="AT19" s="1565"/>
      <c r="AU19" s="1565"/>
      <c r="AV19" s="1565"/>
      <c r="AW19" s="1566"/>
      <c r="AX19" s="1565" t="s">
        <v>102</v>
      </c>
      <c r="AY19" s="1565"/>
      <c r="AZ19" s="1565"/>
      <c r="BA19" s="1565"/>
      <c r="BB19" s="1566"/>
      <c r="BC19" s="1564" t="s">
        <v>82</v>
      </c>
      <c r="BD19" s="1565"/>
      <c r="BE19" s="1565"/>
      <c r="BF19" s="1565"/>
      <c r="BG19" s="1565"/>
      <c r="BH19" s="1566"/>
    </row>
    <row r="20" spans="1:60" ht="15" customHeight="1" x14ac:dyDescent="0.2">
      <c r="A20" s="272"/>
      <c r="B20" s="1038" t="s">
        <v>69</v>
      </c>
      <c r="C20" s="1039" t="s">
        <v>65</v>
      </c>
      <c r="D20" s="1039" t="s">
        <v>66</v>
      </c>
      <c r="E20" s="1039" t="s">
        <v>67</v>
      </c>
      <c r="F20" s="1039" t="s">
        <v>206</v>
      </c>
      <c r="G20" s="1085" t="s">
        <v>207</v>
      </c>
      <c r="H20" s="1098" t="s">
        <v>69</v>
      </c>
      <c r="I20" s="1099" t="s">
        <v>65</v>
      </c>
      <c r="J20" s="1099" t="s">
        <v>66</v>
      </c>
      <c r="K20" s="1099" t="s">
        <v>67</v>
      </c>
      <c r="L20" s="1099" t="s">
        <v>206</v>
      </c>
      <c r="M20" s="1100" t="s">
        <v>207</v>
      </c>
      <c r="N20" s="1038" t="s">
        <v>69</v>
      </c>
      <c r="O20" s="1039" t="s">
        <v>65</v>
      </c>
      <c r="P20" s="1039" t="s">
        <v>66</v>
      </c>
      <c r="Q20" s="1039" t="s">
        <v>67</v>
      </c>
      <c r="R20" s="1039" t="s">
        <v>206</v>
      </c>
      <c r="S20" s="1085" t="s">
        <v>207</v>
      </c>
      <c r="T20" s="1044" t="s">
        <v>65</v>
      </c>
      <c r="U20" s="1045" t="s">
        <v>66</v>
      </c>
      <c r="V20" s="1045" t="s">
        <v>67</v>
      </c>
      <c r="W20" s="1039" t="s">
        <v>206</v>
      </c>
      <c r="X20" s="1085" t="s">
        <v>207</v>
      </c>
      <c r="Y20" s="1044" t="s">
        <v>65</v>
      </c>
      <c r="Z20" s="1045" t="s">
        <v>66</v>
      </c>
      <c r="AA20" s="1045" t="s">
        <v>67</v>
      </c>
      <c r="AB20" s="1039" t="s">
        <v>206</v>
      </c>
      <c r="AC20" s="1085" t="s">
        <v>207</v>
      </c>
      <c r="AD20" s="1044" t="s">
        <v>65</v>
      </c>
      <c r="AE20" s="1045" t="s">
        <v>66</v>
      </c>
      <c r="AF20" s="1045" t="s">
        <v>67</v>
      </c>
      <c r="AG20" s="1039" t="s">
        <v>206</v>
      </c>
      <c r="AH20" s="1085" t="s">
        <v>207</v>
      </c>
      <c r="AI20" s="1044" t="s">
        <v>65</v>
      </c>
      <c r="AJ20" s="1045" t="s">
        <v>66</v>
      </c>
      <c r="AK20" s="1045" t="s">
        <v>67</v>
      </c>
      <c r="AL20" s="1039" t="s">
        <v>206</v>
      </c>
      <c r="AM20" s="1085" t="s">
        <v>207</v>
      </c>
      <c r="AN20" s="1044" t="s">
        <v>65</v>
      </c>
      <c r="AO20" s="1045" t="s">
        <v>66</v>
      </c>
      <c r="AP20" s="1045" t="s">
        <v>67</v>
      </c>
      <c r="AQ20" s="1039" t="s">
        <v>206</v>
      </c>
      <c r="AR20" s="1085" t="s">
        <v>207</v>
      </c>
      <c r="AS20" s="1044" t="s">
        <v>65</v>
      </c>
      <c r="AT20" s="1045" t="s">
        <v>66</v>
      </c>
      <c r="AU20" s="1045" t="s">
        <v>67</v>
      </c>
      <c r="AV20" s="1039" t="s">
        <v>206</v>
      </c>
      <c r="AW20" s="1085" t="s">
        <v>207</v>
      </c>
      <c r="AX20" s="1044" t="s">
        <v>65</v>
      </c>
      <c r="AY20" s="1045" t="s">
        <v>66</v>
      </c>
      <c r="AZ20" s="1045" t="s">
        <v>67</v>
      </c>
      <c r="BA20" s="1039" t="s">
        <v>206</v>
      </c>
      <c r="BB20" s="1085" t="s">
        <v>207</v>
      </c>
      <c r="BC20" s="1044" t="s">
        <v>69</v>
      </c>
      <c r="BD20" s="1045" t="s">
        <v>65</v>
      </c>
      <c r="BE20" s="1045" t="s">
        <v>66</v>
      </c>
      <c r="BF20" s="1045" t="s">
        <v>67</v>
      </c>
      <c r="BG20" s="1039" t="s">
        <v>206</v>
      </c>
      <c r="BH20" s="1085" t="s">
        <v>207</v>
      </c>
    </row>
    <row r="21" spans="1:60" s="274" customFormat="1" x14ac:dyDescent="0.2">
      <c r="A21" s="272"/>
      <c r="B21" s="1092"/>
      <c r="C21" s="1093"/>
      <c r="D21" s="1093"/>
      <c r="E21" s="1093"/>
      <c r="F21" s="1093"/>
      <c r="G21" s="1094"/>
      <c r="H21" s="1086" t="str">
        <f>IF(INDEX($G$11:$G$16,MATCH(H20,$B$11:$B$16,0))="N/A","Single-fuel","Dual-Fuel")</f>
        <v>Single-fuel</v>
      </c>
      <c r="I21" s="1087" t="str">
        <f t="shared" ref="I21:M21" si="3">IF(INDEX($G$11:$G$16,MATCH(I20,$B$11:$B$16,0))="N/A","Single-fuel","Dual-Fuel")</f>
        <v>Single-fuel</v>
      </c>
      <c r="J21" s="1087" t="str">
        <f t="shared" si="3"/>
        <v>Single-fuel</v>
      </c>
      <c r="K21" s="1087" t="str">
        <f t="shared" si="3"/>
        <v>Dual-Fuel</v>
      </c>
      <c r="L21" s="1087" t="str">
        <f t="shared" si="3"/>
        <v>Single-fuel</v>
      </c>
      <c r="M21" s="1088" t="str">
        <f t="shared" si="3"/>
        <v>Single-fuel</v>
      </c>
      <c r="N21" s="994" t="str">
        <f>INDEX($F$11:$F$16,MATCH(N20,$B$11:$B$16,0))</f>
        <v>Diesel</v>
      </c>
      <c r="O21" s="995" t="str">
        <f t="shared" ref="O21:S21" si="4">INDEX($F$11:$F$16,MATCH(RIGHT(O20),$B$11:$B$16,0))</f>
        <v>Diesel</v>
      </c>
      <c r="P21" s="995" t="str">
        <f t="shared" si="4"/>
        <v>Diesel</v>
      </c>
      <c r="Q21" s="995" t="str">
        <f t="shared" si="4"/>
        <v>Diesel</v>
      </c>
      <c r="R21" s="995" t="str">
        <f t="shared" si="4"/>
        <v>Electricity</v>
      </c>
      <c r="S21" s="996" t="str">
        <f t="shared" si="4"/>
        <v>Hydrogen</v>
      </c>
      <c r="T21" s="1578" t="s">
        <v>117</v>
      </c>
      <c r="U21" s="1579"/>
      <c r="V21" s="1579"/>
      <c r="W21" s="1579"/>
      <c r="X21" s="1580"/>
      <c r="Y21" s="1048" t="str">
        <f>INDEX($F$11:$F$16,MATCH(Y20,$B$11:$B$16,0))</f>
        <v>Diesel</v>
      </c>
      <c r="Z21" s="1049" t="str">
        <f t="shared" ref="Z21:AC21" si="5">INDEX($F$11:$F$16,MATCH(Z20,$B$11:$B$16,0))</f>
        <v>Diesel</v>
      </c>
      <c r="AA21" s="1049" t="str">
        <f t="shared" si="5"/>
        <v>Diesel</v>
      </c>
      <c r="AB21" s="1049" t="str">
        <f t="shared" si="5"/>
        <v>Electricity</v>
      </c>
      <c r="AC21" s="1050" t="str">
        <f t="shared" si="5"/>
        <v>Hydrogen</v>
      </c>
      <c r="AD21" s="1051">
        <f>INDEX($L$11:$L$16,MATCH(AD20,$B$11:$B$16,0))</f>
        <v>5000</v>
      </c>
      <c r="AE21" s="1020">
        <f>INDEX($L$11:$L$16,MATCH(AE20,$B$11:$B$16,0))</f>
        <v>5000</v>
      </c>
      <c r="AF21" s="1020">
        <f>INDEX($L$11:$L$16,MATCH(AF20,$B$11:$B$16,0))</f>
        <v>5000</v>
      </c>
      <c r="AG21" s="1020">
        <f>INDEX($L$11:$L$16,MATCH(AG20,$B$11:$B$16,0))</f>
        <v>5000</v>
      </c>
      <c r="AH21" s="1021">
        <f>INDEX($L$11:$L$16,MATCH(AH20,$B$11:$B$16,0))</f>
        <v>5000</v>
      </c>
      <c r="AI21" s="1053">
        <f>INDEX($J$11:$J$16,MATCH(AI20,$B$11:$B$16,0))</f>
        <v>0</v>
      </c>
      <c r="AJ21" s="1054">
        <f t="shared" ref="AJ21:AM21" si="6">INDEX($J$11:$J$16,MATCH(AJ20,$B$11:$B$16,0))</f>
        <v>0</v>
      </c>
      <c r="AK21" s="1054">
        <f t="shared" si="6"/>
        <v>0</v>
      </c>
      <c r="AL21" s="1054">
        <f t="shared" si="6"/>
        <v>0</v>
      </c>
      <c r="AM21" s="1055">
        <f t="shared" si="6"/>
        <v>0</v>
      </c>
      <c r="AN21" s="994" t="str">
        <f>INDEX($F$11:$F$16,MATCH(AN20,$B$11:$B$16,0))</f>
        <v>Diesel</v>
      </c>
      <c r="AO21" s="995" t="str">
        <f t="shared" ref="AO21" si="7">INDEX($F$11:$F$16,MATCH(AO20,$B$11:$B$16,0))</f>
        <v>Diesel</v>
      </c>
      <c r="AP21" s="995" t="str">
        <f t="shared" ref="AP21" si="8">INDEX($F$11:$F$16,MATCH(AP20,$B$11:$B$16,0))</f>
        <v>Diesel</v>
      </c>
      <c r="AQ21" s="995" t="str">
        <f t="shared" ref="AQ21" si="9">INDEX($F$11:$F$16,MATCH(AQ20,$B$11:$B$16,0))</f>
        <v>Electricity</v>
      </c>
      <c r="AR21" s="996" t="str">
        <f t="shared" ref="AR21" si="10">INDEX($F$11:$F$16,MATCH(AR20,$B$11:$B$16,0))</f>
        <v>Hydrogen</v>
      </c>
      <c r="AS21" s="1048" t="str">
        <f>INDEX($F$11:$F$16,MATCH(AS20,$B$11:$B$16,0))</f>
        <v>Diesel</v>
      </c>
      <c r="AT21" s="1049" t="str">
        <f t="shared" ref="AT21" si="11">INDEX($F$11:$F$16,MATCH(AT20,$B$11:$B$16,0))</f>
        <v>Diesel</v>
      </c>
      <c r="AU21" s="1049" t="str">
        <f t="shared" ref="AU21" si="12">INDEX($F$11:$F$16,MATCH(AU20,$B$11:$B$16,0))</f>
        <v>Diesel</v>
      </c>
      <c r="AV21" s="1049" t="str">
        <f t="shared" ref="AV21" si="13">INDEX($F$11:$F$16,MATCH(AV20,$B$11:$B$16,0))</f>
        <v>Electricity</v>
      </c>
      <c r="AW21" s="1050" t="str">
        <f t="shared" ref="AW21" si="14">INDEX($F$11:$F$16,MATCH(AW20,$B$11:$B$16,0))</f>
        <v>Hydrogen</v>
      </c>
      <c r="AX21" s="1048" t="str">
        <f>INDEX($F$11:$F$16,MATCH(AX20,$B$11:$B$16,0))</f>
        <v>Diesel</v>
      </c>
      <c r="AY21" s="1049" t="str">
        <f t="shared" ref="AY21" si="15">INDEX($F$11:$F$16,MATCH(AY20,$B$11:$B$16,0))</f>
        <v>Diesel</v>
      </c>
      <c r="AZ21" s="1049" t="str">
        <f t="shared" ref="AZ21" si="16">INDEX($F$11:$F$16,MATCH(AZ20,$B$11:$B$16,0))</f>
        <v>Diesel</v>
      </c>
      <c r="BA21" s="1049" t="str">
        <f t="shared" ref="BA21" si="17">INDEX($F$11:$F$16,MATCH(BA20,$B$11:$B$16,0))</f>
        <v>Electricity</v>
      </c>
      <c r="BB21" s="1050" t="str">
        <f t="shared" ref="BB21" si="18">INDEX($F$11:$F$16,MATCH(BB20,$B$11:$B$16,0))</f>
        <v>Hydrogen</v>
      </c>
      <c r="BC21" s="1059" t="str">
        <f>INDEX($F$11:$F$16,MATCH(BC20,$B$11:$B$16,0))</f>
        <v>Diesel</v>
      </c>
      <c r="BD21" s="1049" t="str">
        <f t="shared" ref="BD21" si="19">INDEX($F$11:$F$16,MATCH(BD20,$B$11:$B$16,0))</f>
        <v>Diesel</v>
      </c>
      <c r="BE21" s="1049" t="str">
        <f t="shared" ref="BE21" si="20">INDEX($F$11:$F$16,MATCH(BE20,$B$11:$B$16,0))</f>
        <v>Diesel</v>
      </c>
      <c r="BF21" s="1049" t="str">
        <f t="shared" ref="BF21" si="21">INDEX($F$11:$F$16,MATCH(BF20,$B$11:$B$16,0))</f>
        <v>Diesel</v>
      </c>
      <c r="BG21" s="1049" t="str">
        <f t="shared" ref="BG21:BH21" si="22">INDEX($F$11:$F$16,MATCH(BG20,$B$11:$B$16,0))</f>
        <v>Electricity</v>
      </c>
      <c r="BH21" s="1050" t="str">
        <f t="shared" si="22"/>
        <v>Hydrogen</v>
      </c>
    </row>
    <row r="22" spans="1:60" x14ac:dyDescent="0.2">
      <c r="A22" s="272"/>
      <c r="B22" s="1092"/>
      <c r="C22" s="1093"/>
      <c r="D22" s="1093"/>
      <c r="E22" s="1093"/>
      <c r="F22" s="1093"/>
      <c r="G22" s="1094"/>
      <c r="H22" s="1086"/>
      <c r="I22" s="1087"/>
      <c r="J22" s="1087"/>
      <c r="K22" s="1087"/>
      <c r="L22" s="1087"/>
      <c r="M22" s="1088"/>
      <c r="N22" s="1040"/>
      <c r="O22" s="1009"/>
      <c r="P22" s="1009"/>
      <c r="Q22" s="1009"/>
      <c r="R22" s="1009"/>
      <c r="S22" s="1010"/>
      <c r="T22" s="1003">
        <f>Q12</f>
        <v>0</v>
      </c>
      <c r="U22" s="1004">
        <f>Q13</f>
        <v>0</v>
      </c>
      <c r="V22" s="1046">
        <f>INDEX($Q$11:$Q$16,MATCH(V20,$B$11:$B$16,0))</f>
        <v>0</v>
      </c>
      <c r="W22" s="1004">
        <f>INDEX($Q$11:$Q$16,MATCH(W20,$B$11:$B$16,0))</f>
        <v>0</v>
      </c>
      <c r="X22" s="1005">
        <f>INDEX($Q$11:$Q$16,MATCH(X20,$B$11:$B$16,0))</f>
        <v>0</v>
      </c>
      <c r="Y22" s="1011" t="b">
        <f>INDEX($H$11:$H$16,MATCH(Y20,$B$11:$B$16,0))</f>
        <v>0</v>
      </c>
      <c r="Z22" s="1012" t="b">
        <f t="shared" ref="Z22:AC22" si="23">INDEX($H$11:$H$16,MATCH(Z20,$B$11:$B$16,0))</f>
        <v>0</v>
      </c>
      <c r="AA22" s="1012" t="b">
        <f t="shared" si="23"/>
        <v>0</v>
      </c>
      <c r="AB22" s="1012" t="b">
        <f t="shared" si="23"/>
        <v>1</v>
      </c>
      <c r="AC22" s="1013" t="b">
        <f t="shared" si="23"/>
        <v>0</v>
      </c>
      <c r="AD22" s="1051">
        <f>INDEX($M$11:$M$16,MATCH(AD20,$B$11:$B$16,0))</f>
        <v>100</v>
      </c>
      <c r="AE22" s="1020">
        <f>INDEX($M$11:$M$16,MATCH(AE20,$B$11:$B$16,0))</f>
        <v>100</v>
      </c>
      <c r="AF22" s="1020">
        <f>INDEX($M$11:$M$16,MATCH(AF20,$B$11:$B$16,0))</f>
        <v>100</v>
      </c>
      <c r="AG22" s="1020">
        <f>INDEX($M$11:$M$16,MATCH(AG20,$B$11:$B$16,0))</f>
        <v>100</v>
      </c>
      <c r="AH22" s="1021">
        <f>INDEX($M$11:$M$16,MATCH(AH20,$B$11:$B$16,0))</f>
        <v>100</v>
      </c>
      <c r="AI22" s="1053">
        <f>INDEX($K$11:$K$16,MATCH(AI20,$B$11:$B$16,0))</f>
        <v>0.5</v>
      </c>
      <c r="AJ22" s="1054">
        <f t="shared" ref="AJ22:AM22" si="24">INDEX($K$11:$K$16,MATCH(AJ20,$B$11:$B$16,0))</f>
        <v>0.5</v>
      </c>
      <c r="AK22" s="1054">
        <f t="shared" si="24"/>
        <v>0.5</v>
      </c>
      <c r="AL22" s="1054">
        <f t="shared" si="24"/>
        <v>0.5</v>
      </c>
      <c r="AM22" s="1055">
        <f t="shared" si="24"/>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3.5" thickBot="1" x14ac:dyDescent="0.25">
      <c r="A23" s="774"/>
      <c r="B23" s="1095"/>
      <c r="C23" s="1096"/>
      <c r="D23" s="1096"/>
      <c r="E23" s="1096"/>
      <c r="F23" s="1096"/>
      <c r="G23" s="1097"/>
      <c r="H23" s="1089"/>
      <c r="I23" s="1090"/>
      <c r="J23" s="1090"/>
      <c r="K23" s="1090"/>
      <c r="L23" s="1090"/>
      <c r="M23" s="1091"/>
      <c r="N23" s="1041"/>
      <c r="O23" s="1042"/>
      <c r="P23" s="1042"/>
      <c r="Q23" s="1042"/>
      <c r="R23" s="1042"/>
      <c r="S23" s="1043"/>
      <c r="T23" s="1006"/>
      <c r="U23" s="1007"/>
      <c r="V23" s="1047"/>
      <c r="W23" s="1007"/>
      <c r="X23" s="1008"/>
      <c r="Y23" s="1014"/>
      <c r="Z23" s="1015"/>
      <c r="AA23" s="1015"/>
      <c r="AB23" s="1015"/>
      <c r="AC23" s="1016"/>
      <c r="AD23" s="1052"/>
      <c r="AE23" s="1023"/>
      <c r="AF23" s="1023"/>
      <c r="AG23" s="1023"/>
      <c r="AH23" s="1024"/>
      <c r="AI23" s="1056">
        <f>INDEX($I$11:$I$16,MATCH(AI20,$B$11:$B$16,0))</f>
        <v>2020</v>
      </c>
      <c r="AJ23" s="1057">
        <f t="shared" ref="AJ23:AM23" si="25">INDEX($I$11:$I$16,MATCH(AJ20,$B$11:$B$16,0))</f>
        <v>2020</v>
      </c>
      <c r="AK23" s="1057">
        <f t="shared" si="25"/>
        <v>2020</v>
      </c>
      <c r="AL23" s="1057">
        <f t="shared" si="25"/>
        <v>2020</v>
      </c>
      <c r="AM23" s="1058">
        <f t="shared" si="25"/>
        <v>2020</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3.5" thickTop="1" x14ac:dyDescent="0.2">
      <c r="A24" s="609">
        <v>2007</v>
      </c>
      <c r="B24" s="809">
        <f t="shared" ref="B24:G33" si="26">ROUND(INDEX(COST_Cls2,$A24-($A$24-1),MATCH(B$20,TECHOPTS_Cls2,0)),2)</f>
        <v>136900</v>
      </c>
      <c r="C24" s="809">
        <f t="shared" si="26"/>
        <v>1000000</v>
      </c>
      <c r="D24" s="809">
        <f t="shared" si="26"/>
        <v>1000000</v>
      </c>
      <c r="E24" s="809">
        <f t="shared" si="26"/>
        <v>1000000</v>
      </c>
      <c r="F24" s="809">
        <f t="shared" si="26"/>
        <v>1000000</v>
      </c>
      <c r="G24" s="810">
        <f t="shared" si="26"/>
        <v>1000000</v>
      </c>
      <c r="H24" s="972">
        <f t="shared" ref="H24:M33" si="27">IF(H$21="Single-fuel",1,1-MIN(INDEX(CDRANGE_CLS2,$A24-($A$24-1),MATCH(H$20,TECHOPTS_Cls2,0))*OPDAYS_Cls2/$D$6,1))</f>
        <v>1</v>
      </c>
      <c r="I24" s="973">
        <f t="shared" si="27"/>
        <v>1</v>
      </c>
      <c r="J24" s="973">
        <f t="shared" si="27"/>
        <v>1</v>
      </c>
      <c r="K24" s="973">
        <f t="shared" si="27"/>
        <v>1</v>
      </c>
      <c r="L24" s="973">
        <f t="shared" si="27"/>
        <v>1</v>
      </c>
      <c r="M24" s="974">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7848.7604053474406</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43034.780126912701</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190086.28115665101</v>
      </c>
      <c r="T24" s="275">
        <f t="shared" ref="T24:T67" si="34">$N24-O24+T$22</f>
        <v>-35186.019721565259</v>
      </c>
      <c r="U24" s="276">
        <f t="shared" ref="U24:U67" si="35">$N24-P24+U$22</f>
        <v>-35186.019721565259</v>
      </c>
      <c r="V24" s="276">
        <f t="shared" ref="V24:V67" si="36">$N24-Q24+V$22</f>
        <v>-35186.019721565259</v>
      </c>
      <c r="W24" s="276">
        <f t="shared" ref="W24:W67" si="37">$N24-R24+W$22</f>
        <v>-73792.606197715897</v>
      </c>
      <c r="X24" s="278">
        <f t="shared" ref="X24:X67" si="38">$N24-S24+X$22</f>
        <v>-182237.52075130356</v>
      </c>
      <c r="Y24" s="279">
        <f ca="1">IF(AND(Y$22=TRUE,INDEX(CDRANGE_CLS2,MATCH($A24,$A$24:$A$67,0),MATCH(Y$20,$B$20:$G$20,0))&lt;$D$6/OPDAYS_Cls2),86,payback(C24,T24,disc_rate/12,85))</f>
        <v>86</v>
      </c>
      <c r="Z24" s="280">
        <f ca="1">IF(AND(Z$22=TRUE,INDEX(CDRANGE_CLS2,MATCH($A24,$A$24:$A$67,0),MATCH(Z$20,$B$20:$G$20,0))&lt;$D$6/OPDAYS_Cls2),86,payback(D24,U24,disc_rate/12,85))</f>
        <v>86</v>
      </c>
      <c r="AA24" s="280">
        <f ca="1">IF(AND(AA$22=TRUE,INDEX(CDRANGE_CLS2,MATCH($A24,$A$24:$A$67,0),MATCH(AA$20,$B$20:$G$20,0))&lt;$D$6/OPDAYS_Cls2),86,payback(E24,V24,disc_rate/12,85))</f>
        <v>86</v>
      </c>
      <c r="AB24" s="280">
        <f>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ca="1" si="52">MIN(1,MAX(AF24,IF(AA24&gt;85,0,(AK24/0.5)*VLOOKUP(AA24,AdoptDec,$AU$18,0))))</f>
        <v>0</v>
      </c>
      <c r="AV24" s="283">
        <f t="shared" ref="AV24:AV67"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ca="1" si="57">MIN(AU24*AP24,1)</f>
        <v>0</v>
      </c>
      <c r="BA24" s="283">
        <f t="shared" ref="BA24:BB24"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136900</v>
      </c>
      <c r="C25" s="812">
        <f t="shared" si="26"/>
        <v>1000000</v>
      </c>
      <c r="D25" s="812">
        <f t="shared" si="26"/>
        <v>1000000</v>
      </c>
      <c r="E25" s="812">
        <f t="shared" si="26"/>
        <v>1000000</v>
      </c>
      <c r="F25" s="812">
        <f t="shared" si="26"/>
        <v>1000000</v>
      </c>
      <c r="G25" s="813">
        <f t="shared" si="26"/>
        <v>1000000</v>
      </c>
      <c r="H25" s="975">
        <f t="shared" si="27"/>
        <v>1</v>
      </c>
      <c r="I25" s="976">
        <f t="shared" si="27"/>
        <v>1</v>
      </c>
      <c r="J25" s="976">
        <f t="shared" si="27"/>
        <v>1</v>
      </c>
      <c r="K25" s="976">
        <f t="shared" si="27"/>
        <v>1</v>
      </c>
      <c r="L25" s="976">
        <f t="shared" si="27"/>
        <v>1</v>
      </c>
      <c r="M25" s="977">
        <f t="shared" si="27"/>
        <v>1</v>
      </c>
      <c r="N25" s="289">
        <f t="shared" si="28"/>
        <v>10743.105857632985</v>
      </c>
      <c r="O25" s="290">
        <f t="shared" si="29"/>
        <v>58904.486133682345</v>
      </c>
      <c r="P25" s="290">
        <f t="shared" si="30"/>
        <v>58904.486133682345</v>
      </c>
      <c r="Q25" s="290">
        <f t="shared" si="31"/>
        <v>58904.486133682345</v>
      </c>
      <c r="R25" s="290">
        <f t="shared" si="32"/>
        <v>106035.83510663376</v>
      </c>
      <c r="S25" s="292">
        <f t="shared" si="33"/>
        <v>190086.28115665101</v>
      </c>
      <c r="T25" s="289">
        <f t="shared" si="34"/>
        <v>-48161.380276049356</v>
      </c>
      <c r="U25" s="290">
        <f t="shared" si="35"/>
        <v>-48161.380276049356</v>
      </c>
      <c r="V25" s="290">
        <f t="shared" si="36"/>
        <v>-48161.380276049356</v>
      </c>
      <c r="W25" s="290">
        <f t="shared" si="37"/>
        <v>-95292.729249000782</v>
      </c>
      <c r="X25" s="292">
        <f t="shared" si="38"/>
        <v>-179343.17529901801</v>
      </c>
      <c r="Y25" s="293">
        <f ca="1">IF(AND(Y$22=TRUE,INDEX(CDRANGE_CLS2,MATCH($A25,$A$24:$A$67,0),MATCH(Y$20,$B$20:$G$20,0))&lt;$D$6/OPDAYS_Cls2),86,payback(C25,T25,disc_rate/12,85))</f>
        <v>86</v>
      </c>
      <c r="Z25" s="294">
        <f ca="1">IF(AND(Z$22=TRUE,INDEX(CDRANGE_CLS2,MATCH($A25,$A$24:$A$67,0),MATCH(Z$20,$B$20:$G$20,0))&lt;$D$6/OPDAYS_Cls2),86,payback(D25,U25,disc_rate/12,85))</f>
        <v>86</v>
      </c>
      <c r="AA25" s="294">
        <f ca="1">IF(AND(AA$22=TRUE,INDEX(CDRANGE_CLS2,MATCH($A25,$A$24:$A$67,0),MATCH(AA$20,$B$20:$G$20,0))&lt;$D$6/OPDAYS_Cls2),86,payback(E25,V25,disc_rate/12,85))</f>
        <v>86</v>
      </c>
      <c r="AB25" s="294">
        <f>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ca="1" si="52"/>
        <v>0</v>
      </c>
      <c r="AV25" s="283">
        <f t="shared" si="53"/>
        <v>0</v>
      </c>
      <c r="AW25" s="284">
        <f t="shared" ca="1" si="54"/>
        <v>0</v>
      </c>
      <c r="AX25" s="296">
        <f t="shared" ca="1" si="55"/>
        <v>0</v>
      </c>
      <c r="AY25" s="297">
        <f t="shared" ca="1" si="56"/>
        <v>0</v>
      </c>
      <c r="AZ25" s="297">
        <f t="shared" ca="1" si="57"/>
        <v>0</v>
      </c>
      <c r="BA25" s="283">
        <f t="shared" ref="BA25:BA67"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136900</v>
      </c>
      <c r="C26" s="812">
        <f t="shared" si="26"/>
        <v>1000000</v>
      </c>
      <c r="D26" s="812">
        <f t="shared" si="26"/>
        <v>1000000</v>
      </c>
      <c r="E26" s="812">
        <f t="shared" si="26"/>
        <v>1000000</v>
      </c>
      <c r="F26" s="812">
        <f t="shared" si="26"/>
        <v>1000000</v>
      </c>
      <c r="G26" s="813">
        <f t="shared" si="26"/>
        <v>1000000</v>
      </c>
      <c r="H26" s="975">
        <f t="shared" si="27"/>
        <v>1</v>
      </c>
      <c r="I26" s="976">
        <f t="shared" si="27"/>
        <v>1</v>
      </c>
      <c r="J26" s="976">
        <f t="shared" si="27"/>
        <v>1</v>
      </c>
      <c r="K26" s="976">
        <f t="shared" si="27"/>
        <v>1</v>
      </c>
      <c r="L26" s="976">
        <f t="shared" si="27"/>
        <v>1</v>
      </c>
      <c r="M26" s="977">
        <f t="shared" si="27"/>
        <v>1</v>
      </c>
      <c r="N26" s="289">
        <f t="shared" si="28"/>
        <v>6943.917370564538</v>
      </c>
      <c r="O26" s="290">
        <f t="shared" si="29"/>
        <v>38073.522674752407</v>
      </c>
      <c r="P26" s="290">
        <f t="shared" si="30"/>
        <v>38073.522674752407</v>
      </c>
      <c r="Q26" s="290">
        <f t="shared" si="31"/>
        <v>38073.522674752407</v>
      </c>
      <c r="R26" s="290">
        <f t="shared" si="32"/>
        <v>158900.24876873204</v>
      </c>
      <c r="S26" s="292">
        <f t="shared" si="33"/>
        <v>190086.28115665101</v>
      </c>
      <c r="T26" s="289">
        <f t="shared" si="34"/>
        <v>-31129.605304187869</v>
      </c>
      <c r="U26" s="290">
        <f t="shared" si="35"/>
        <v>-31129.605304187869</v>
      </c>
      <c r="V26" s="290">
        <f t="shared" si="36"/>
        <v>-31129.605304187869</v>
      </c>
      <c r="W26" s="290">
        <f t="shared" si="37"/>
        <v>-151956.3313981675</v>
      </c>
      <c r="X26" s="292">
        <f t="shared" si="38"/>
        <v>-183142.36378608647</v>
      </c>
      <c r="Y26" s="293">
        <f ca="1">IF(AND(Y$22=TRUE,INDEX(CDRANGE_CLS2,MATCH($A26,$A$24:$A$67,0),MATCH(Y$20,$B$20:$G$20,0))&lt;$D$6/OPDAYS_Cls2),86,payback(C26,T26,disc_rate/12,85))</f>
        <v>86</v>
      </c>
      <c r="Z26" s="294">
        <f ca="1">IF(AND(Z$22=TRUE,INDEX(CDRANGE_CLS2,MATCH($A26,$A$24:$A$67,0),MATCH(Z$20,$B$20:$G$20,0))&lt;$D$6/OPDAYS_Cls2),86,payback(D26,U26,disc_rate/12,85))</f>
        <v>86</v>
      </c>
      <c r="AA26" s="294">
        <f ca="1">IF(AND(AA$22=TRUE,INDEX(CDRANGE_CLS2,MATCH($A26,$A$24:$A$67,0),MATCH(AA$20,$B$20:$G$20,0))&lt;$D$6/OPDAYS_Cls2),86,payback(E26,V26,disc_rate/12,85))</f>
        <v>86</v>
      </c>
      <c r="AB26" s="294">
        <f>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ca="1" si="52"/>
        <v>0</v>
      </c>
      <c r="AV26" s="283">
        <f t="shared" si="53"/>
        <v>0</v>
      </c>
      <c r="AW26" s="284">
        <f t="shared" ca="1" si="54"/>
        <v>0</v>
      </c>
      <c r="AX26" s="296">
        <f t="shared" ca="1" si="55"/>
        <v>0</v>
      </c>
      <c r="AY26" s="297">
        <f t="shared" ca="1" si="56"/>
        <v>0</v>
      </c>
      <c r="AZ26" s="297">
        <f t="shared" ca="1" si="57"/>
        <v>0</v>
      </c>
      <c r="BA26" s="283">
        <f t="shared"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3.5" thickBot="1" x14ac:dyDescent="0.25">
      <c r="A27" s="302">
        <v>2010</v>
      </c>
      <c r="B27" s="814">
        <f t="shared" si="26"/>
        <v>136900</v>
      </c>
      <c r="C27" s="815">
        <f t="shared" si="26"/>
        <v>1000000</v>
      </c>
      <c r="D27" s="815">
        <f t="shared" si="26"/>
        <v>1000000</v>
      </c>
      <c r="E27" s="815">
        <f t="shared" si="26"/>
        <v>1000000</v>
      </c>
      <c r="F27" s="815">
        <f t="shared" si="26"/>
        <v>1000000</v>
      </c>
      <c r="G27" s="816">
        <f t="shared" si="26"/>
        <v>1000000</v>
      </c>
      <c r="H27" s="978">
        <f t="shared" si="27"/>
        <v>1</v>
      </c>
      <c r="I27" s="979">
        <f t="shared" si="27"/>
        <v>1</v>
      </c>
      <c r="J27" s="979">
        <f t="shared" si="27"/>
        <v>1</v>
      </c>
      <c r="K27" s="979">
        <f t="shared" si="27"/>
        <v>1</v>
      </c>
      <c r="L27" s="979">
        <f t="shared" si="27"/>
        <v>1</v>
      </c>
      <c r="M27" s="980">
        <f t="shared" si="27"/>
        <v>1</v>
      </c>
      <c r="N27" s="303">
        <f t="shared" si="28"/>
        <v>8501.4674780623336</v>
      </c>
      <c r="O27" s="304">
        <f t="shared" si="29"/>
        <v>46935.908245807492</v>
      </c>
      <c r="P27" s="304">
        <f t="shared" si="30"/>
        <v>46935.908245807492</v>
      </c>
      <c r="Q27" s="304">
        <f t="shared" si="31"/>
        <v>46935.908245807492</v>
      </c>
      <c r="R27" s="304">
        <f t="shared" si="32"/>
        <v>114275.45716195549</v>
      </c>
      <c r="S27" s="306">
        <f t="shared" si="33"/>
        <v>190086.28115665101</v>
      </c>
      <c r="T27" s="303">
        <f t="shared" si="34"/>
        <v>-38434.44076774516</v>
      </c>
      <c r="U27" s="304">
        <f t="shared" si="35"/>
        <v>-38434.44076774516</v>
      </c>
      <c r="V27" s="304">
        <f t="shared" si="36"/>
        <v>-38434.44076774516</v>
      </c>
      <c r="W27" s="304">
        <f t="shared" si="37"/>
        <v>-105773.98968389316</v>
      </c>
      <c r="X27" s="306">
        <f t="shared" si="38"/>
        <v>-181584.81367858866</v>
      </c>
      <c r="Y27" s="307">
        <f ca="1">IF(AND(Y$22=TRUE,INDEX(CDRANGE_CLS2,MATCH($A27,$A$24:$A$67,0),MATCH(Y$20,$B$20:$G$20,0))&lt;$D$6/OPDAYS_Cls2),86,payback(C27,T27,disc_rate/12,85))</f>
        <v>86</v>
      </c>
      <c r="Z27" s="308">
        <f ca="1">IF(AND(Z$22=TRUE,INDEX(CDRANGE_CLS2,MATCH($A27,$A$24:$A$67,0),MATCH(Z$20,$B$20:$G$20,0))&lt;$D$6/OPDAYS_Cls2),86,payback(D27,U27,disc_rate/12,85))</f>
        <v>86</v>
      </c>
      <c r="AA27" s="308">
        <f ca="1">IF(AND(AA$22=TRUE,INDEX(CDRANGE_CLS2,MATCH($A27,$A$24:$A$67,0),MATCH(AA$20,$B$20:$G$20,0))&lt;$D$6/OPDAYS_Cls2),86,payback(E27,V27,disc_rate/12,85))</f>
        <v>86</v>
      </c>
      <c r="AB27" s="308">
        <f>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ca="1" si="52"/>
        <v>0</v>
      </c>
      <c r="AV27" s="320">
        <f t="shared" si="53"/>
        <v>0</v>
      </c>
      <c r="AW27" s="321">
        <f t="shared" ca="1" si="54"/>
        <v>0</v>
      </c>
      <c r="AX27" s="310">
        <f t="shared" ca="1" si="55"/>
        <v>0</v>
      </c>
      <c r="AY27" s="311">
        <f t="shared" ca="1" si="56"/>
        <v>0</v>
      </c>
      <c r="AZ27" s="311">
        <f t="shared" ca="1" si="57"/>
        <v>0</v>
      </c>
      <c r="BA27" s="311">
        <f t="shared"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136900</v>
      </c>
      <c r="C28" s="818">
        <f t="shared" si="26"/>
        <v>1000000</v>
      </c>
      <c r="D28" s="818">
        <f t="shared" si="26"/>
        <v>1000000</v>
      </c>
      <c r="E28" s="818">
        <f t="shared" si="26"/>
        <v>1000000</v>
      </c>
      <c r="F28" s="818">
        <f t="shared" si="26"/>
        <v>1000000</v>
      </c>
      <c r="G28" s="819">
        <f t="shared" si="26"/>
        <v>1000000</v>
      </c>
      <c r="H28" s="981">
        <f t="shared" si="27"/>
        <v>1</v>
      </c>
      <c r="I28" s="982">
        <f t="shared" si="27"/>
        <v>1</v>
      </c>
      <c r="J28" s="982">
        <f t="shared" si="27"/>
        <v>1</v>
      </c>
      <c r="K28" s="982">
        <f t="shared" si="27"/>
        <v>1</v>
      </c>
      <c r="L28" s="982">
        <f t="shared" si="27"/>
        <v>1</v>
      </c>
      <c r="M28" s="983">
        <f t="shared" si="27"/>
        <v>1</v>
      </c>
      <c r="N28" s="275">
        <f t="shared" si="28"/>
        <v>11019.107932597239</v>
      </c>
      <c r="O28" s="276">
        <f t="shared" si="29"/>
        <v>62135.793122563649</v>
      </c>
      <c r="P28" s="276">
        <f t="shared" si="30"/>
        <v>62135.793122563649</v>
      </c>
      <c r="Q28" s="276">
        <f t="shared" si="31"/>
        <v>62135.793122563649</v>
      </c>
      <c r="R28" s="276">
        <f t="shared" si="32"/>
        <v>90275.440726440633</v>
      </c>
      <c r="S28" s="278">
        <f t="shared" si="33"/>
        <v>190086.28115665101</v>
      </c>
      <c r="T28" s="275">
        <f t="shared" si="34"/>
        <v>-51116.685189966411</v>
      </c>
      <c r="U28" s="276">
        <f t="shared" si="35"/>
        <v>-51116.685189966411</v>
      </c>
      <c r="V28" s="276">
        <f t="shared" si="36"/>
        <v>-51116.685189966411</v>
      </c>
      <c r="W28" s="276">
        <f t="shared" si="37"/>
        <v>-79256.332793843394</v>
      </c>
      <c r="X28" s="278">
        <f t="shared" si="38"/>
        <v>-179067.17322405375</v>
      </c>
      <c r="Y28" s="279">
        <f ca="1">IF(AND(Y$22=TRUE,INDEX(CDRANGE_CLS2,MATCH($A28,$A$24:$A$67,0),MATCH(Y$20,$B$20:$G$20,0))&lt;$D$6/OPDAYS_Cls2),86,payback(C28,T28,disc_rate/12,85))</f>
        <v>86</v>
      </c>
      <c r="Z28" s="280">
        <f ca="1">IF(AND(Z$22=TRUE,INDEX(CDRANGE_CLS2,MATCH($A28,$A$24:$A$67,0),MATCH(Z$20,$B$20:$G$20,0))&lt;$D$6/OPDAYS_Cls2),86,payback(D28,U28,disc_rate/12,85))</f>
        <v>86</v>
      </c>
      <c r="AA28" s="280">
        <f ca="1">IF(AND(AA$22=TRUE,INDEX(CDRANGE_CLS2,MATCH($A28,$A$24:$A$67,0),MATCH(AA$20,$B$20:$G$20,0))&lt;$D$6/OPDAYS_Cls2),86,payback(E28,V28,disc_rate/12,85))</f>
        <v>86</v>
      </c>
      <c r="AB28" s="280">
        <f>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ca="1" si="52"/>
        <v>0</v>
      </c>
      <c r="AV28" s="283">
        <f t="shared" si="53"/>
        <v>0</v>
      </c>
      <c r="AW28" s="284">
        <f t="shared" ca="1" si="54"/>
        <v>0</v>
      </c>
      <c r="AX28" s="282">
        <f t="shared" ca="1" si="55"/>
        <v>0</v>
      </c>
      <c r="AY28" s="283">
        <f t="shared" ca="1" si="56"/>
        <v>0</v>
      </c>
      <c r="AZ28" s="283">
        <f t="shared" ca="1" si="57"/>
        <v>0</v>
      </c>
      <c r="BA28" s="283">
        <f t="shared"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136900</v>
      </c>
      <c r="C29" s="821">
        <f t="shared" si="26"/>
        <v>1000000</v>
      </c>
      <c r="D29" s="821">
        <f t="shared" si="26"/>
        <v>1000000</v>
      </c>
      <c r="E29" s="821">
        <f t="shared" si="26"/>
        <v>1000000</v>
      </c>
      <c r="F29" s="821">
        <f t="shared" si="26"/>
        <v>1000000</v>
      </c>
      <c r="G29" s="822">
        <f t="shared" si="26"/>
        <v>1000000</v>
      </c>
      <c r="H29" s="984">
        <f t="shared" si="27"/>
        <v>1</v>
      </c>
      <c r="I29" s="985">
        <f t="shared" si="27"/>
        <v>1</v>
      </c>
      <c r="J29" s="985">
        <f t="shared" si="27"/>
        <v>1</v>
      </c>
      <c r="K29" s="985">
        <f t="shared" si="27"/>
        <v>1</v>
      </c>
      <c r="L29" s="985">
        <f t="shared" si="27"/>
        <v>1</v>
      </c>
      <c r="M29" s="986">
        <f t="shared" si="27"/>
        <v>1</v>
      </c>
      <c r="N29" s="289">
        <f t="shared" si="28"/>
        <v>11529.985542406041</v>
      </c>
      <c r="O29" s="290">
        <f t="shared" si="29"/>
        <v>65536.094100928531</v>
      </c>
      <c r="P29" s="290">
        <f t="shared" si="30"/>
        <v>65536.094100928531</v>
      </c>
      <c r="Q29" s="290">
        <f t="shared" si="31"/>
        <v>65536.094100928531</v>
      </c>
      <c r="R29" s="290">
        <f t="shared" si="32"/>
        <v>77163.644703686878</v>
      </c>
      <c r="S29" s="292">
        <f t="shared" si="33"/>
        <v>190086.28115665101</v>
      </c>
      <c r="T29" s="289">
        <f t="shared" si="34"/>
        <v>-54006.108558522494</v>
      </c>
      <c r="U29" s="290">
        <f t="shared" si="35"/>
        <v>-54006.108558522494</v>
      </c>
      <c r="V29" s="290">
        <f t="shared" si="36"/>
        <v>-54006.108558522494</v>
      </c>
      <c r="W29" s="290">
        <f t="shared" si="37"/>
        <v>-65633.659161280841</v>
      </c>
      <c r="X29" s="292">
        <f t="shared" si="38"/>
        <v>-178556.29561424497</v>
      </c>
      <c r="Y29" s="293">
        <f ca="1">IF(AND(Y$22=TRUE,INDEX(CDRANGE_CLS2,MATCH($A29,$A$24:$A$67,0),MATCH(Y$20,$B$20:$G$20,0))&lt;$D$6/OPDAYS_Cls2),86,payback(C29,T29,disc_rate/12,85))</f>
        <v>86</v>
      </c>
      <c r="Z29" s="294">
        <f ca="1">IF(AND(Z$22=TRUE,INDEX(CDRANGE_CLS2,MATCH($A29,$A$24:$A$67,0),MATCH(Z$20,$B$20:$G$20,0))&lt;$D$6/OPDAYS_Cls2),86,payback(D29,U29,disc_rate/12,85))</f>
        <v>86</v>
      </c>
      <c r="AA29" s="294">
        <f ca="1">IF(AND(AA$22=TRUE,INDEX(CDRANGE_CLS2,MATCH($A29,$A$24:$A$67,0),MATCH(AA$20,$B$20:$G$20,0))&lt;$D$6/OPDAYS_Cls2),86,payback(E29,V29,disc_rate/12,85))</f>
        <v>86</v>
      </c>
      <c r="AB29" s="294">
        <f>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ca="1" si="52"/>
        <v>0</v>
      </c>
      <c r="AV29" s="283">
        <f t="shared" si="53"/>
        <v>0</v>
      </c>
      <c r="AW29" s="284">
        <f t="shared" ca="1" si="54"/>
        <v>0</v>
      </c>
      <c r="AX29" s="296">
        <f t="shared" ca="1" si="55"/>
        <v>0</v>
      </c>
      <c r="AY29" s="297">
        <f t="shared" ca="1" si="56"/>
        <v>0</v>
      </c>
      <c r="AZ29" s="297">
        <f t="shared" ca="1" si="57"/>
        <v>0</v>
      </c>
      <c r="BA29" s="283">
        <f t="shared"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136900</v>
      </c>
      <c r="C30" s="821">
        <f t="shared" si="26"/>
        <v>1000000</v>
      </c>
      <c r="D30" s="821">
        <f t="shared" si="26"/>
        <v>1000000</v>
      </c>
      <c r="E30" s="821">
        <f t="shared" si="26"/>
        <v>1000000</v>
      </c>
      <c r="F30" s="821">
        <f t="shared" si="26"/>
        <v>1000000</v>
      </c>
      <c r="G30" s="822">
        <f t="shared" si="26"/>
        <v>1000000</v>
      </c>
      <c r="H30" s="984">
        <f t="shared" si="27"/>
        <v>1</v>
      </c>
      <c r="I30" s="985">
        <f t="shared" si="27"/>
        <v>1</v>
      </c>
      <c r="J30" s="985">
        <f t="shared" si="27"/>
        <v>1</v>
      </c>
      <c r="K30" s="985">
        <f t="shared" si="27"/>
        <v>1</v>
      </c>
      <c r="L30" s="985">
        <f t="shared" si="27"/>
        <v>1</v>
      </c>
      <c r="M30" s="986">
        <f t="shared" si="27"/>
        <v>1</v>
      </c>
      <c r="N30" s="289">
        <f t="shared" si="28"/>
        <v>11382.955567247591</v>
      </c>
      <c r="O30" s="290">
        <f t="shared" si="29"/>
        <v>65728.783480081052</v>
      </c>
      <c r="P30" s="290">
        <f t="shared" si="30"/>
        <v>65728.783480081052</v>
      </c>
      <c r="Q30" s="290">
        <f t="shared" si="31"/>
        <v>65728.783480081052</v>
      </c>
      <c r="R30" s="290">
        <f t="shared" si="32"/>
        <v>79095.326956759003</v>
      </c>
      <c r="S30" s="292">
        <f t="shared" si="33"/>
        <v>190086.28115665101</v>
      </c>
      <c r="T30" s="289">
        <f t="shared" si="34"/>
        <v>-54345.827912833462</v>
      </c>
      <c r="U30" s="290">
        <f t="shared" si="35"/>
        <v>-54345.827912833462</v>
      </c>
      <c r="V30" s="290">
        <f t="shared" si="36"/>
        <v>-54345.827912833462</v>
      </c>
      <c r="W30" s="290">
        <f t="shared" si="37"/>
        <v>-67712.37138951142</v>
      </c>
      <c r="X30" s="292">
        <f t="shared" si="38"/>
        <v>-178703.32558940342</v>
      </c>
      <c r="Y30" s="293">
        <f ca="1">IF(AND(Y$22=TRUE,INDEX(CDRANGE_CLS2,MATCH($A30,$A$24:$A$67,0),MATCH(Y$20,$B$20:$G$20,0))&lt;$D$6/OPDAYS_Cls2),86,payback(C30,T30,disc_rate/12,85))</f>
        <v>86</v>
      </c>
      <c r="Z30" s="294">
        <f ca="1">IF(AND(Z$22=TRUE,INDEX(CDRANGE_CLS2,MATCH($A30,$A$24:$A$67,0),MATCH(Z$20,$B$20:$G$20,0))&lt;$D$6/OPDAYS_Cls2),86,payback(D30,U30,disc_rate/12,85))</f>
        <v>86</v>
      </c>
      <c r="AA30" s="294">
        <f ca="1">IF(AND(AA$22=TRUE,INDEX(CDRANGE_CLS2,MATCH($A30,$A$24:$A$67,0),MATCH(AA$20,$B$20:$G$20,0))&lt;$D$6/OPDAYS_Cls2),86,payback(E30,V30,disc_rate/12,85))</f>
        <v>86</v>
      </c>
      <c r="AB30" s="294">
        <f>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ca="1" si="52"/>
        <v>0</v>
      </c>
      <c r="AV30" s="283">
        <f t="shared" si="53"/>
        <v>0</v>
      </c>
      <c r="AW30" s="284">
        <f t="shared" ca="1" si="54"/>
        <v>0</v>
      </c>
      <c r="AX30" s="296">
        <f t="shared" ca="1" si="55"/>
        <v>0</v>
      </c>
      <c r="AY30" s="297">
        <f t="shared" ca="1" si="56"/>
        <v>0</v>
      </c>
      <c r="AZ30" s="297">
        <f t="shared" ca="1" si="57"/>
        <v>0</v>
      </c>
      <c r="BA30" s="283">
        <f t="shared"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136900</v>
      </c>
      <c r="C31" s="821">
        <f t="shared" si="26"/>
        <v>1000000</v>
      </c>
      <c r="D31" s="821">
        <f t="shared" si="26"/>
        <v>1000000</v>
      </c>
      <c r="E31" s="821">
        <f t="shared" si="26"/>
        <v>1000000</v>
      </c>
      <c r="F31" s="821">
        <f t="shared" si="26"/>
        <v>1000000</v>
      </c>
      <c r="G31" s="822">
        <f t="shared" si="26"/>
        <v>1000000</v>
      </c>
      <c r="H31" s="984">
        <f t="shared" si="27"/>
        <v>1</v>
      </c>
      <c r="I31" s="985">
        <f t="shared" si="27"/>
        <v>1</v>
      </c>
      <c r="J31" s="985">
        <f t="shared" si="27"/>
        <v>1</v>
      </c>
      <c r="K31" s="985">
        <f t="shared" si="27"/>
        <v>1</v>
      </c>
      <c r="L31" s="985">
        <f t="shared" si="27"/>
        <v>1</v>
      </c>
      <c r="M31" s="986">
        <f t="shared" si="27"/>
        <v>1</v>
      </c>
      <c r="N31" s="289">
        <f t="shared" si="28"/>
        <v>11117.848665517491</v>
      </c>
      <c r="O31" s="290">
        <f t="shared" si="29"/>
        <v>65138.804843422527</v>
      </c>
      <c r="P31" s="290">
        <f t="shared" si="30"/>
        <v>65138.804843422527</v>
      </c>
      <c r="Q31" s="290">
        <f t="shared" si="31"/>
        <v>65138.804843422527</v>
      </c>
      <c r="R31" s="290">
        <f t="shared" si="32"/>
        <v>82092.715235967145</v>
      </c>
      <c r="S31" s="292">
        <f t="shared" si="33"/>
        <v>190086.28115665101</v>
      </c>
      <c r="T31" s="289">
        <f t="shared" si="34"/>
        <v>-54020.956177905035</v>
      </c>
      <c r="U31" s="290">
        <f t="shared" si="35"/>
        <v>-54020.956177905035</v>
      </c>
      <c r="V31" s="290">
        <f t="shared" si="36"/>
        <v>-54020.956177905035</v>
      </c>
      <c r="W31" s="290">
        <f t="shared" si="37"/>
        <v>-70974.866570449652</v>
      </c>
      <c r="X31" s="292">
        <f t="shared" si="38"/>
        <v>-178968.43249113351</v>
      </c>
      <c r="Y31" s="293">
        <f ca="1">IF(AND(Y$22=TRUE,INDEX(CDRANGE_CLS2,MATCH($A31,$A$24:$A$67,0),MATCH(Y$20,$B$20:$G$20,0))&lt;$D$6/OPDAYS_Cls2),86,payback(C31,T31,disc_rate/12,85))</f>
        <v>86</v>
      </c>
      <c r="Z31" s="294">
        <f ca="1">IF(AND(Z$22=TRUE,INDEX(CDRANGE_CLS2,MATCH($A31,$A$24:$A$67,0),MATCH(Z$20,$B$20:$G$20,0))&lt;$D$6/OPDAYS_Cls2),86,payback(D31,U31,disc_rate/12,85))</f>
        <v>86</v>
      </c>
      <c r="AA31" s="294">
        <f ca="1">IF(AND(AA$22=TRUE,INDEX(CDRANGE_CLS2,MATCH($A31,$A$24:$A$67,0),MATCH(AA$20,$B$20:$G$20,0))&lt;$D$6/OPDAYS_Cls2),86,payback(E31,V31,disc_rate/12,85))</f>
        <v>86</v>
      </c>
      <c r="AB31" s="294">
        <f>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ca="1" si="52"/>
        <v>0</v>
      </c>
      <c r="AV31" s="283">
        <f t="shared" si="53"/>
        <v>0</v>
      </c>
      <c r="AW31" s="284">
        <f t="shared" ca="1" si="54"/>
        <v>0</v>
      </c>
      <c r="AX31" s="296">
        <f t="shared" ca="1" si="55"/>
        <v>0</v>
      </c>
      <c r="AY31" s="297">
        <f t="shared" ca="1" si="56"/>
        <v>0</v>
      </c>
      <c r="AZ31" s="297">
        <f t="shared" ca="1" si="57"/>
        <v>0</v>
      </c>
      <c r="BA31" s="283">
        <f t="shared"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3.5" thickBot="1" x14ac:dyDescent="0.25">
      <c r="A32" s="302">
        <v>2015</v>
      </c>
      <c r="B32" s="823">
        <f t="shared" si="26"/>
        <v>136900</v>
      </c>
      <c r="C32" s="824">
        <f t="shared" si="26"/>
        <v>1000000</v>
      </c>
      <c r="D32" s="824">
        <f t="shared" si="26"/>
        <v>1000000</v>
      </c>
      <c r="E32" s="824">
        <f t="shared" si="26"/>
        <v>1000000</v>
      </c>
      <c r="F32" s="824">
        <f t="shared" si="26"/>
        <v>1000000</v>
      </c>
      <c r="G32" s="825">
        <f t="shared" si="26"/>
        <v>1000000</v>
      </c>
      <c r="H32" s="978">
        <f t="shared" si="27"/>
        <v>1</v>
      </c>
      <c r="I32" s="979">
        <f t="shared" si="27"/>
        <v>1</v>
      </c>
      <c r="J32" s="979">
        <f t="shared" si="27"/>
        <v>1</v>
      </c>
      <c r="K32" s="979">
        <f t="shared" si="27"/>
        <v>1</v>
      </c>
      <c r="L32" s="979">
        <f t="shared" si="27"/>
        <v>1</v>
      </c>
      <c r="M32" s="980">
        <f t="shared" si="27"/>
        <v>1</v>
      </c>
      <c r="N32" s="303">
        <f t="shared" si="28"/>
        <v>7684.4411381369355</v>
      </c>
      <c r="O32" s="304">
        <f t="shared" si="29"/>
        <v>46159.989605920513</v>
      </c>
      <c r="P32" s="304">
        <f t="shared" si="30"/>
        <v>46159.989605920513</v>
      </c>
      <c r="Q32" s="304">
        <f t="shared" si="31"/>
        <v>46159.989605920513</v>
      </c>
      <c r="R32" s="304">
        <f t="shared" si="32"/>
        <v>75216.235795203684</v>
      </c>
      <c r="S32" s="306">
        <f t="shared" si="33"/>
        <v>274186.44574510067</v>
      </c>
      <c r="T32" s="303">
        <f t="shared" si="34"/>
        <v>-38475.548467783578</v>
      </c>
      <c r="U32" s="304">
        <f t="shared" si="35"/>
        <v>-38475.548467783578</v>
      </c>
      <c r="V32" s="304">
        <f t="shared" si="36"/>
        <v>-38475.548467783578</v>
      </c>
      <c r="W32" s="304">
        <f t="shared" si="37"/>
        <v>-67531.794657066755</v>
      </c>
      <c r="X32" s="306">
        <f t="shared" si="38"/>
        <v>-266502.00460696372</v>
      </c>
      <c r="Y32" s="307">
        <f ca="1">IF(AND(Y$22=TRUE,INDEX(CDRANGE_CLS2,MATCH($A32,$A$24:$A$67,0),MATCH(Y$20,$B$20:$G$20,0))&lt;$D$6/OPDAYS_Cls2),86,payback(C32,T32,disc_rate/12,85))</f>
        <v>86</v>
      </c>
      <c r="Z32" s="308">
        <f ca="1">IF(AND(Z$22=TRUE,INDEX(CDRANGE_CLS2,MATCH($A32,$A$24:$A$67,0),MATCH(Z$20,$B$20:$G$20,0))&lt;$D$6/OPDAYS_Cls2),86,payback(D32,U32,disc_rate/12,85))</f>
        <v>86</v>
      </c>
      <c r="AA32" s="308">
        <f ca="1">IF(AND(AA$22=TRUE,INDEX(CDRANGE_CLS2,MATCH($A32,$A$24:$A$67,0),MATCH(AA$20,$B$20:$G$20,0))&lt;$D$6/OPDAYS_Cls2),86,payback(E32,V32,disc_rate/12,85))</f>
        <v>86</v>
      </c>
      <c r="AB32" s="308">
        <f>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ca="1" si="52"/>
        <v>0</v>
      </c>
      <c r="AV32" s="831">
        <f t="shared" si="53"/>
        <v>0</v>
      </c>
      <c r="AW32" s="832">
        <f t="shared" ca="1" si="54"/>
        <v>0</v>
      </c>
      <c r="AX32" s="310">
        <f t="shared" ca="1" si="55"/>
        <v>0</v>
      </c>
      <c r="AY32" s="311">
        <f t="shared" ca="1" si="56"/>
        <v>0</v>
      </c>
      <c r="AZ32" s="311">
        <f t="shared" ca="1" si="57"/>
        <v>0</v>
      </c>
      <c r="BA32" s="311">
        <f t="shared"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136900</v>
      </c>
      <c r="C33" s="827">
        <f t="shared" si="26"/>
        <v>1000000</v>
      </c>
      <c r="D33" s="827">
        <f t="shared" si="26"/>
        <v>1000000</v>
      </c>
      <c r="E33" s="827">
        <f t="shared" si="26"/>
        <v>1000000</v>
      </c>
      <c r="F33" s="827">
        <f t="shared" si="26"/>
        <v>1000000</v>
      </c>
      <c r="G33" s="828">
        <f t="shared" si="26"/>
        <v>1000000</v>
      </c>
      <c r="H33" s="981">
        <f t="shared" si="27"/>
        <v>1</v>
      </c>
      <c r="I33" s="982">
        <f t="shared" si="27"/>
        <v>1</v>
      </c>
      <c r="J33" s="982">
        <f t="shared" si="27"/>
        <v>1</v>
      </c>
      <c r="K33" s="982">
        <f t="shared" si="27"/>
        <v>1</v>
      </c>
      <c r="L33" s="982">
        <f t="shared" si="27"/>
        <v>1</v>
      </c>
      <c r="M33" s="983">
        <f t="shared" si="27"/>
        <v>1</v>
      </c>
      <c r="N33" s="275">
        <f t="shared" si="28"/>
        <v>6483.5034791606613</v>
      </c>
      <c r="O33" s="276">
        <f t="shared" si="29"/>
        <v>39783.19988851255</v>
      </c>
      <c r="P33" s="276">
        <f t="shared" si="30"/>
        <v>39783.19988851255</v>
      </c>
      <c r="Q33" s="276">
        <f t="shared" si="31"/>
        <v>39783.19988851255</v>
      </c>
      <c r="R33" s="276">
        <f t="shared" si="32"/>
        <v>73685.469737488325</v>
      </c>
      <c r="S33" s="278">
        <f t="shared" si="33"/>
        <v>274186.44574510067</v>
      </c>
      <c r="T33" s="275">
        <f t="shared" si="34"/>
        <v>-33299.696409351891</v>
      </c>
      <c r="U33" s="276">
        <f t="shared" si="35"/>
        <v>-33299.696409351891</v>
      </c>
      <c r="V33" s="276">
        <f t="shared" si="36"/>
        <v>-33299.696409351891</v>
      </c>
      <c r="W33" s="276">
        <f t="shared" si="37"/>
        <v>-67201.966258327666</v>
      </c>
      <c r="X33" s="278">
        <f t="shared" si="38"/>
        <v>-267702.94226594002</v>
      </c>
      <c r="Y33" s="279">
        <f ca="1">IF(AND(Y$22=TRUE,INDEX(CDRANGE_CLS2,MATCH($A33,$A$24:$A$67,0),MATCH(Y$20,$B$20:$G$20,0))&lt;$D$6/OPDAYS_Cls2),86,payback(C33,T33,disc_rate/12,85))</f>
        <v>86</v>
      </c>
      <c r="Z33" s="280">
        <f ca="1">IF(AND(Z$22=TRUE,INDEX(CDRANGE_CLS2,MATCH($A33,$A$24:$A$67,0),MATCH(Z$20,$B$20:$G$20,0))&lt;$D$6/OPDAYS_Cls2),86,payback(D33,U33,disc_rate/12,85))</f>
        <v>86</v>
      </c>
      <c r="AA33" s="280">
        <f ca="1">IF(AND(AA$22=TRUE,INDEX(CDRANGE_CLS2,MATCH($A33,$A$24:$A$67,0),MATCH(AA$20,$B$20:$G$20,0))&lt;$D$6/OPDAYS_Cls2),86,payback(E33,V33,disc_rate/12,85))</f>
        <v>86</v>
      </c>
      <c r="AB33" s="280">
        <f>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ca="1" si="52"/>
        <v>0</v>
      </c>
      <c r="AV33" s="638">
        <f t="shared" si="53"/>
        <v>0</v>
      </c>
      <c r="AW33" s="639">
        <f t="shared" ca="1" si="54"/>
        <v>0</v>
      </c>
      <c r="AX33" s="282">
        <f t="shared" ca="1" si="55"/>
        <v>0</v>
      </c>
      <c r="AY33" s="283">
        <f t="shared" ca="1" si="56"/>
        <v>0</v>
      </c>
      <c r="AZ33" s="283">
        <f t="shared" ca="1" si="57"/>
        <v>0</v>
      </c>
      <c r="BA33" s="283">
        <f t="shared"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136900</v>
      </c>
      <c r="C34" s="821">
        <f t="shared" si="69"/>
        <v>1000000</v>
      </c>
      <c r="D34" s="821">
        <f t="shared" si="69"/>
        <v>1000000</v>
      </c>
      <c r="E34" s="821">
        <f t="shared" si="69"/>
        <v>1000000</v>
      </c>
      <c r="F34" s="821">
        <f t="shared" si="69"/>
        <v>1000000</v>
      </c>
      <c r="G34" s="822">
        <f t="shared" si="69"/>
        <v>1000000</v>
      </c>
      <c r="H34" s="984">
        <f t="shared" ref="H34:M43" si="70">IF(H$21="Single-fuel",1,1-MIN(INDEX(CDRANGE_CLS2,$A34-($A$24-1),MATCH(H$20,TECHOPTS_Cls2,0))*OPDAYS_Cls2/$D$6,1))</f>
        <v>1</v>
      </c>
      <c r="I34" s="985">
        <f t="shared" si="70"/>
        <v>1</v>
      </c>
      <c r="J34" s="985">
        <f t="shared" si="70"/>
        <v>1</v>
      </c>
      <c r="K34" s="985">
        <f t="shared" si="70"/>
        <v>1</v>
      </c>
      <c r="L34" s="985">
        <f t="shared" si="70"/>
        <v>1</v>
      </c>
      <c r="M34" s="986">
        <f t="shared" si="70"/>
        <v>1</v>
      </c>
      <c r="N34" s="289">
        <f t="shared" si="28"/>
        <v>7404.0793510607273</v>
      </c>
      <c r="O34" s="290">
        <f t="shared" si="29"/>
        <v>46733.985229121143</v>
      </c>
      <c r="P34" s="290">
        <f t="shared" si="30"/>
        <v>46733.985229121143</v>
      </c>
      <c r="Q34" s="290">
        <f t="shared" si="31"/>
        <v>46733.985229121143</v>
      </c>
      <c r="R34" s="290">
        <f t="shared" si="32"/>
        <v>74236.578680718463</v>
      </c>
      <c r="S34" s="292">
        <f t="shared" si="33"/>
        <v>274186.44574510067</v>
      </c>
      <c r="T34" s="289">
        <f t="shared" si="34"/>
        <v>-39329.905878060417</v>
      </c>
      <c r="U34" s="290">
        <f t="shared" si="35"/>
        <v>-39329.905878060417</v>
      </c>
      <c r="V34" s="290">
        <f t="shared" si="36"/>
        <v>-39329.905878060417</v>
      </c>
      <c r="W34" s="290">
        <f t="shared" si="37"/>
        <v>-66832.49932965773</v>
      </c>
      <c r="X34" s="292">
        <f t="shared" si="38"/>
        <v>-266782.36639403994</v>
      </c>
      <c r="Y34" s="293">
        <f ca="1">IF(AND(Y$22=TRUE,INDEX(CDRANGE_CLS2,MATCH($A34,$A$24:$A$67,0),MATCH(Y$20,$B$20:$G$20,0))&lt;$D$6/OPDAYS_Cls2),86,payback(C34,T34,disc_rate/12,85))</f>
        <v>86</v>
      </c>
      <c r="Z34" s="294">
        <f ca="1">IF(AND(Z$22=TRUE,INDEX(CDRANGE_CLS2,MATCH($A34,$A$24:$A$67,0),MATCH(Z$20,$B$20:$G$20,0))&lt;$D$6/OPDAYS_Cls2),86,payback(D34,U34,disc_rate/12,85))</f>
        <v>86</v>
      </c>
      <c r="AA34" s="294">
        <f ca="1">IF(AND(AA$22=TRUE,INDEX(CDRANGE_CLS2,MATCH($A34,$A$24:$A$67,0),MATCH(AA$20,$B$20:$G$20,0))&lt;$D$6/OPDAYS_Cls2),86,payback(E34,V34,disc_rate/12,85))</f>
        <v>86</v>
      </c>
      <c r="AB34" s="294">
        <f>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ca="1" si="52"/>
        <v>0</v>
      </c>
      <c r="AV34" s="283">
        <f t="shared" si="53"/>
        <v>0</v>
      </c>
      <c r="AW34" s="284">
        <f t="shared" ca="1" si="54"/>
        <v>0</v>
      </c>
      <c r="AX34" s="296">
        <f t="shared" ca="1" si="55"/>
        <v>0</v>
      </c>
      <c r="AY34" s="297">
        <f t="shared" ca="1" si="56"/>
        <v>0</v>
      </c>
      <c r="AZ34" s="297">
        <f t="shared" ca="1" si="57"/>
        <v>0</v>
      </c>
      <c r="BA34" s="283">
        <f t="shared"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136900</v>
      </c>
      <c r="C35" s="821">
        <f t="shared" si="69"/>
        <v>1000000</v>
      </c>
      <c r="D35" s="821">
        <f t="shared" si="69"/>
        <v>1000000</v>
      </c>
      <c r="E35" s="821">
        <f t="shared" si="69"/>
        <v>1000000</v>
      </c>
      <c r="F35" s="821">
        <f t="shared" si="69"/>
        <v>1000000</v>
      </c>
      <c r="G35" s="822">
        <f t="shared" si="69"/>
        <v>1000000</v>
      </c>
      <c r="H35" s="984">
        <f t="shared" si="70"/>
        <v>1</v>
      </c>
      <c r="I35" s="985">
        <f t="shared" si="70"/>
        <v>1</v>
      </c>
      <c r="J35" s="985">
        <f t="shared" si="70"/>
        <v>1</v>
      </c>
      <c r="K35" s="985">
        <f t="shared" si="70"/>
        <v>1</v>
      </c>
      <c r="L35" s="985">
        <f t="shared" si="70"/>
        <v>1</v>
      </c>
      <c r="M35" s="986">
        <f t="shared" si="70"/>
        <v>1</v>
      </c>
      <c r="N35" s="289">
        <f t="shared" si="28"/>
        <v>8845.4191327210337</v>
      </c>
      <c r="O35" s="290">
        <f t="shared" si="29"/>
        <v>57411.609593215391</v>
      </c>
      <c r="P35" s="290">
        <f t="shared" si="30"/>
        <v>57411.609593215391</v>
      </c>
      <c r="Q35" s="290">
        <f t="shared" si="31"/>
        <v>57411.609593215391</v>
      </c>
      <c r="R35" s="290">
        <f t="shared" si="32"/>
        <v>84914.939440486094</v>
      </c>
      <c r="S35" s="292">
        <f t="shared" si="33"/>
        <v>274186.44574510067</v>
      </c>
      <c r="T35" s="289">
        <f t="shared" si="34"/>
        <v>-48566.190460494356</v>
      </c>
      <c r="U35" s="290">
        <f t="shared" si="35"/>
        <v>-48566.190460494356</v>
      </c>
      <c r="V35" s="290">
        <f t="shared" si="36"/>
        <v>-48566.190460494356</v>
      </c>
      <c r="W35" s="290">
        <f t="shared" si="37"/>
        <v>-76069.520307765066</v>
      </c>
      <c r="X35" s="292">
        <f t="shared" si="38"/>
        <v>-265341.02661237965</v>
      </c>
      <c r="Y35" s="293">
        <f ca="1">IF(AND(Y$22=TRUE,INDEX(CDRANGE_CLS2,MATCH($A35,$A$24:$A$67,0),MATCH(Y$20,$B$20:$G$20,0))&lt;$D$6/OPDAYS_Cls2),86,payback(C35,T35,disc_rate/12,85))</f>
        <v>86</v>
      </c>
      <c r="Z35" s="294">
        <f ca="1">IF(AND(Z$22=TRUE,INDEX(CDRANGE_CLS2,MATCH($A35,$A$24:$A$67,0),MATCH(Z$20,$B$20:$G$20,0))&lt;$D$6/OPDAYS_Cls2),86,payback(D35,U35,disc_rate/12,85))</f>
        <v>86</v>
      </c>
      <c r="AA35" s="294">
        <f ca="1">IF(AND(AA$22=TRUE,INDEX(CDRANGE_CLS2,MATCH($A35,$A$24:$A$67,0),MATCH(AA$20,$B$20:$G$20,0))&lt;$D$6/OPDAYS_Cls2),86,payback(E35,V35,disc_rate/12,85))</f>
        <v>86</v>
      </c>
      <c r="AB35" s="294">
        <f>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ca="1" si="52"/>
        <v>0</v>
      </c>
      <c r="AV35" s="283">
        <f t="shared" si="53"/>
        <v>0</v>
      </c>
      <c r="AW35" s="284">
        <f t="shared" ca="1" si="54"/>
        <v>0</v>
      </c>
      <c r="AX35" s="296">
        <f t="shared" ca="1" si="55"/>
        <v>0</v>
      </c>
      <c r="AY35" s="297">
        <f t="shared" ca="1" si="56"/>
        <v>0</v>
      </c>
      <c r="AZ35" s="297">
        <f t="shared" ca="1" si="57"/>
        <v>0</v>
      </c>
      <c r="BA35" s="283">
        <f t="shared"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136900</v>
      </c>
      <c r="C36" s="821">
        <f t="shared" si="69"/>
        <v>1000000</v>
      </c>
      <c r="D36" s="821">
        <f t="shared" si="69"/>
        <v>1000000</v>
      </c>
      <c r="E36" s="821">
        <f t="shared" si="69"/>
        <v>1000000</v>
      </c>
      <c r="F36" s="821">
        <f t="shared" si="69"/>
        <v>1000000</v>
      </c>
      <c r="G36" s="822">
        <f t="shared" si="69"/>
        <v>1000000</v>
      </c>
      <c r="H36" s="984">
        <f t="shared" si="70"/>
        <v>1</v>
      </c>
      <c r="I36" s="985">
        <f t="shared" si="70"/>
        <v>1</v>
      </c>
      <c r="J36" s="985">
        <f t="shared" si="70"/>
        <v>1</v>
      </c>
      <c r="K36" s="985">
        <f t="shared" si="70"/>
        <v>1</v>
      </c>
      <c r="L36" s="985">
        <f t="shared" si="70"/>
        <v>1</v>
      </c>
      <c r="M36" s="986">
        <f t="shared" si="70"/>
        <v>1</v>
      </c>
      <c r="N36" s="289">
        <f t="shared" si="28"/>
        <v>8632.9644198474525</v>
      </c>
      <c r="O36" s="290">
        <f t="shared" si="29"/>
        <v>56403.689171752871</v>
      </c>
      <c r="P36" s="290">
        <f t="shared" si="30"/>
        <v>56403.689171752871</v>
      </c>
      <c r="Q36" s="290">
        <f t="shared" si="31"/>
        <v>56403.689171752871</v>
      </c>
      <c r="R36" s="290">
        <f t="shared" si="32"/>
        <v>84825.977334921365</v>
      </c>
      <c r="S36" s="292">
        <f t="shared" si="33"/>
        <v>274186.44574510067</v>
      </c>
      <c r="T36" s="289">
        <f t="shared" si="34"/>
        <v>-47770.724751905422</v>
      </c>
      <c r="U36" s="290">
        <f t="shared" si="35"/>
        <v>-47770.724751905422</v>
      </c>
      <c r="V36" s="290">
        <f t="shared" si="36"/>
        <v>-47770.724751905422</v>
      </c>
      <c r="W36" s="290">
        <f t="shared" si="37"/>
        <v>-76193.012915073909</v>
      </c>
      <c r="X36" s="292">
        <f t="shared" si="38"/>
        <v>-265553.4813252532</v>
      </c>
      <c r="Y36" s="293">
        <f ca="1">IF(AND(Y$22=TRUE,INDEX(CDRANGE_CLS2,MATCH($A36,$A$24:$A$67,0),MATCH(Y$20,$B$20:$G$20,0))&lt;$D$6/OPDAYS_Cls2),86,payback(C36,T36,disc_rate/12,85))</f>
        <v>86</v>
      </c>
      <c r="Z36" s="294">
        <f ca="1">IF(AND(Z$22=TRUE,INDEX(CDRANGE_CLS2,MATCH($A36,$A$24:$A$67,0),MATCH(Z$20,$B$20:$G$20,0))&lt;$D$6/OPDAYS_Cls2),86,payback(D36,U36,disc_rate/12,85))</f>
        <v>86</v>
      </c>
      <c r="AA36" s="294">
        <f ca="1">IF(AND(AA$22=TRUE,INDEX(CDRANGE_CLS2,MATCH($A36,$A$24:$A$67,0),MATCH(AA$20,$B$20:$G$20,0))&lt;$D$6/OPDAYS_Cls2),86,payback(E36,V36,disc_rate/12,85))</f>
        <v>86</v>
      </c>
      <c r="AB36" s="294">
        <f>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ca="1" si="52"/>
        <v>0</v>
      </c>
      <c r="AV36" s="283">
        <f t="shared" si="53"/>
        <v>0</v>
      </c>
      <c r="AW36" s="284">
        <f t="shared" ca="1" si="54"/>
        <v>0</v>
      </c>
      <c r="AX36" s="296">
        <f t="shared" ca="1" si="55"/>
        <v>0</v>
      </c>
      <c r="AY36" s="297">
        <f t="shared" ca="1" si="56"/>
        <v>0</v>
      </c>
      <c r="AZ36" s="297">
        <f t="shared" ca="1" si="57"/>
        <v>0</v>
      </c>
      <c r="BA36" s="283">
        <f t="shared"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3.5" thickBot="1" x14ac:dyDescent="0.25">
      <c r="A37" s="302">
        <v>2020</v>
      </c>
      <c r="B37" s="814">
        <f t="shared" si="69"/>
        <v>136900</v>
      </c>
      <c r="C37" s="815">
        <f t="shared" si="69"/>
        <v>1000000</v>
      </c>
      <c r="D37" s="815">
        <f t="shared" si="69"/>
        <v>1000000</v>
      </c>
      <c r="E37" s="815">
        <f t="shared" si="69"/>
        <v>1000000</v>
      </c>
      <c r="F37" s="815">
        <f t="shared" si="69"/>
        <v>1000000</v>
      </c>
      <c r="G37" s="816">
        <f t="shared" si="69"/>
        <v>1000000</v>
      </c>
      <c r="H37" s="978">
        <f t="shared" si="70"/>
        <v>1</v>
      </c>
      <c r="I37" s="979">
        <f t="shared" si="70"/>
        <v>1</v>
      </c>
      <c r="J37" s="979">
        <f t="shared" si="70"/>
        <v>1</v>
      </c>
      <c r="K37" s="979">
        <f t="shared" si="70"/>
        <v>1</v>
      </c>
      <c r="L37" s="979">
        <f t="shared" si="70"/>
        <v>1</v>
      </c>
      <c r="M37" s="980">
        <f t="shared" si="70"/>
        <v>1</v>
      </c>
      <c r="N37" s="303">
        <f t="shared" si="28"/>
        <v>8257.4225146529334</v>
      </c>
      <c r="O37" s="304">
        <f t="shared" si="29"/>
        <v>54447.453948959454</v>
      </c>
      <c r="P37" s="304">
        <f t="shared" si="30"/>
        <v>54447.453948959454</v>
      </c>
      <c r="Q37" s="304">
        <f t="shared" si="31"/>
        <v>54447.453948959454</v>
      </c>
      <c r="R37" s="304">
        <f t="shared" si="32"/>
        <v>173020.17314701612</v>
      </c>
      <c r="S37" s="306">
        <f t="shared" si="33"/>
        <v>274186.44574510067</v>
      </c>
      <c r="T37" s="303">
        <f t="shared" si="34"/>
        <v>-46190.031434306518</v>
      </c>
      <c r="U37" s="304">
        <f t="shared" si="35"/>
        <v>-46190.031434306518</v>
      </c>
      <c r="V37" s="304">
        <f t="shared" si="36"/>
        <v>-46190.031434306518</v>
      </c>
      <c r="W37" s="304">
        <f t="shared" si="37"/>
        <v>-164762.7506323632</v>
      </c>
      <c r="X37" s="306">
        <f t="shared" si="38"/>
        <v>-265929.02323044772</v>
      </c>
      <c r="Y37" s="307">
        <f ca="1">IF(AND(Y$22=TRUE,INDEX(CDRANGE_CLS2,MATCH($A37,$A$24:$A$67,0),MATCH(Y$20,$B$20:$G$20,0))&lt;$D$6/OPDAYS_Cls2),86,payback(C37,T37,disc_rate/12,85))</f>
        <v>86</v>
      </c>
      <c r="Z37" s="308">
        <f ca="1">IF(AND(Z$22=TRUE,INDEX(CDRANGE_CLS2,MATCH($A37,$A$24:$A$67,0),MATCH(Z$20,$B$20:$G$20,0))&lt;$D$6/OPDAYS_Cls2),86,payback(D37,U37,disc_rate/12,85))</f>
        <v>86</v>
      </c>
      <c r="AA37" s="308">
        <f ca="1">IF(AND(AA$22=TRUE,INDEX(CDRANGE_CLS2,MATCH($A37,$A$24:$A$67,0),MATCH(AA$20,$B$20:$G$20,0))&lt;$D$6/OPDAYS_Cls2),86,payback(E37,V37,disc_rate/12,85))</f>
        <v>86</v>
      </c>
      <c r="AB37" s="308">
        <f>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ca="1" si="52"/>
        <v>0</v>
      </c>
      <c r="AV37" s="320">
        <f t="shared" si="53"/>
        <v>0</v>
      </c>
      <c r="AW37" s="321">
        <f t="shared" ca="1" si="54"/>
        <v>0</v>
      </c>
      <c r="AX37" s="310">
        <f t="shared" ca="1" si="55"/>
        <v>0</v>
      </c>
      <c r="AY37" s="311">
        <f t="shared" ca="1" si="56"/>
        <v>0</v>
      </c>
      <c r="AZ37" s="311">
        <f t="shared" ca="1" si="57"/>
        <v>0</v>
      </c>
      <c r="BA37" s="311">
        <f t="shared"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137205.79</v>
      </c>
      <c r="C38" s="818">
        <f t="shared" si="69"/>
        <v>1120.5899999999999</v>
      </c>
      <c r="D38" s="818">
        <f t="shared" si="69"/>
        <v>2646.16</v>
      </c>
      <c r="E38" s="818">
        <f t="shared" si="69"/>
        <v>197847.31</v>
      </c>
      <c r="F38" s="818">
        <f t="shared" si="69"/>
        <v>355973.77</v>
      </c>
      <c r="G38" s="819">
        <f t="shared" si="69"/>
        <v>167338.79999999999</v>
      </c>
      <c r="H38" s="981">
        <f t="shared" si="70"/>
        <v>1</v>
      </c>
      <c r="I38" s="982">
        <f t="shared" si="70"/>
        <v>1</v>
      </c>
      <c r="J38" s="982">
        <f t="shared" si="70"/>
        <v>1</v>
      </c>
      <c r="K38" s="982">
        <f t="shared" si="70"/>
        <v>0.84828067940018892</v>
      </c>
      <c r="L38" s="982">
        <f t="shared" si="70"/>
        <v>1</v>
      </c>
      <c r="M38" s="983">
        <f t="shared" si="70"/>
        <v>1</v>
      </c>
      <c r="N38" s="1344">
        <f t="shared" si="28"/>
        <v>8280.348588571791</v>
      </c>
      <c r="O38" s="1345">
        <f t="shared" si="29"/>
        <v>8114.6915537717559</v>
      </c>
      <c r="P38" s="1345">
        <f t="shared" si="30"/>
        <v>8109.0978662886137</v>
      </c>
      <c r="Q38" s="1345">
        <f t="shared" si="31"/>
        <v>10036.415984660865</v>
      </c>
      <c r="R38" s="1345">
        <f t="shared" si="32"/>
        <v>12378.605036150399</v>
      </c>
      <c r="S38" s="1346">
        <f t="shared" si="33"/>
        <v>39625.692959992324</v>
      </c>
      <c r="T38" s="1344">
        <f t="shared" si="34"/>
        <v>165.65703480003504</v>
      </c>
      <c r="U38" s="1345">
        <f t="shared" si="35"/>
        <v>171.25072228317731</v>
      </c>
      <c r="V38" s="1345">
        <f t="shared" si="36"/>
        <v>-1756.0673960890745</v>
      </c>
      <c r="W38" s="1345">
        <f t="shared" si="37"/>
        <v>-4098.2564475786075</v>
      </c>
      <c r="X38" s="278">
        <f t="shared" si="38"/>
        <v>-31345.344371420535</v>
      </c>
      <c r="Y38" s="279">
        <f ca="1">IF(AND(Y$22=TRUE,INDEX(CDRANGE_CLS2,MATCH($A38,$A$24:$A$67,0),MATCH(Y$20,$B$20:$G$20,0))&lt;$D$6/OPDAYS_Cls2),86,payback(C38,T38,disc_rate/12,85))</f>
        <v>7</v>
      </c>
      <c r="Z38" s="280">
        <f ca="1">IF(AND(Z$22=TRUE,INDEX(CDRANGE_CLS2,MATCH($A38,$A$24:$A$67,0),MATCH(Z$20,$B$20:$G$20,0))&lt;$D$6/OPDAYS_Cls2),86,payback(D38,U38,disc_rate/12,85))</f>
        <v>17</v>
      </c>
      <c r="AA38" s="280">
        <f ca="1">IF(AND(AA$22=TRUE,INDEX(CDRANGE_CLS2,MATCH($A38,$A$24:$A$67,0),MATCH(AA$20,$B$20:$G$20,0))&lt;$D$6/OPDAYS_Cls2),86,payback(E38,V38,disc_rate/12,85))</f>
        <v>86</v>
      </c>
      <c r="AB38" s="280">
        <f>IF(AND(AB$22=TRUE,INDEX(CDRANGE_CLS2,MATCH($A38,$A$24:$A$67,0),MATCH(AB$20,$B$20:$G$20,0))&lt;$D$6/OPDAYS_Cls2),86,payback(F38,W38,disc_rate/12,85))</f>
        <v>86</v>
      </c>
      <c r="AC38" s="281">
        <f ca="1">IF(AND(AC$22=TRUE,INDEX(CDRANGE_CLS2,MATCH($A38,$A$24:$A$67,0),MATCH(AC$20,$B$20:$G$20,0))&lt;$D$6/OPDAYS_Cls2),86,payback(G38,X38,disc_rate/12,85))</f>
        <v>86</v>
      </c>
      <c r="AD38" s="282">
        <f t="shared" si="39"/>
        <v>2.3711489310161437E-2</v>
      </c>
      <c r="AE38" s="283">
        <f t="shared" si="40"/>
        <v>2.2501954482207008E-2</v>
      </c>
      <c r="AF38" s="283">
        <f t="shared" si="41"/>
        <v>0</v>
      </c>
      <c r="AG38" s="283">
        <f t="shared" si="42"/>
        <v>0</v>
      </c>
      <c r="AH38" s="284">
        <f t="shared" si="43"/>
        <v>0</v>
      </c>
      <c r="AI38" s="285">
        <f t="shared" si="44"/>
        <v>2.3712936588783391E-2</v>
      </c>
      <c r="AJ38" s="286">
        <f t="shared" si="45"/>
        <v>2.3712936588783391E-2</v>
      </c>
      <c r="AK38" s="286">
        <f t="shared" si="46"/>
        <v>2.3712936588783391E-2</v>
      </c>
      <c r="AL38" s="286">
        <f t="shared" si="47"/>
        <v>1.4366941996126522E-3</v>
      </c>
      <c r="AM38" s="287">
        <f t="shared" si="48"/>
        <v>0</v>
      </c>
      <c r="AN38" s="643">
        <f t="shared" si="60"/>
        <v>0.99981472967093798</v>
      </c>
      <c r="AO38" s="641">
        <f t="shared" si="49"/>
        <v>0.99896733255778014</v>
      </c>
      <c r="AP38" s="641">
        <f t="shared" si="49"/>
        <v>3.1016833227346385E-3</v>
      </c>
      <c r="AQ38" s="641">
        <f t="shared" si="49"/>
        <v>7.5802584209583301E-9</v>
      </c>
      <c r="AR38" s="642">
        <f t="shared" si="49"/>
        <v>1.6052942907732071E-2</v>
      </c>
      <c r="AS38" s="282">
        <f t="shared" ca="1" si="50"/>
        <v>4.7270661830334203E-2</v>
      </c>
      <c r="AT38" s="283">
        <f t="shared" ca="1" si="51"/>
        <v>3.7100315361030492E-2</v>
      </c>
      <c r="AU38" s="283">
        <f t="shared" ca="1" si="52"/>
        <v>0</v>
      </c>
      <c r="AV38" s="283">
        <f t="shared" si="53"/>
        <v>0</v>
      </c>
      <c r="AW38" s="284">
        <f t="shared" ca="1" si="54"/>
        <v>0</v>
      </c>
      <c r="AX38" s="282">
        <f t="shared" ca="1" si="55"/>
        <v>4.7261903979261916E-2</v>
      </c>
      <c r="AY38" s="283">
        <f t="shared" ca="1" si="56"/>
        <v>3.7062003073261067E-2</v>
      </c>
      <c r="AZ38" s="283">
        <f t="shared" ca="1" si="57"/>
        <v>0</v>
      </c>
      <c r="BA38" s="283">
        <f t="shared" si="61"/>
        <v>0</v>
      </c>
      <c r="BB38" s="284">
        <f t="shared" ca="1" si="62"/>
        <v>0</v>
      </c>
      <c r="BC38" s="282">
        <f t="shared" ca="1" si="63"/>
        <v>0.95273809602073811</v>
      </c>
      <c r="BD38" s="283">
        <f t="shared" ca="1" si="64"/>
        <v>2.6489374672282111E-2</v>
      </c>
      <c r="BE38" s="283">
        <f t="shared" ca="1" si="65"/>
        <v>2.0772529306979801E-2</v>
      </c>
      <c r="BF38" s="283">
        <f t="shared" ca="1" si="66"/>
        <v>0</v>
      </c>
      <c r="BG38" s="283">
        <f t="shared" ca="1" si="67"/>
        <v>0</v>
      </c>
      <c r="BH38" s="284">
        <f t="shared" ca="1" si="68"/>
        <v>0</v>
      </c>
    </row>
    <row r="39" spans="1:60" x14ac:dyDescent="0.2">
      <c r="A39" s="317">
        <v>2022</v>
      </c>
      <c r="B39" s="820">
        <f t="shared" si="69"/>
        <v>137511.57999999999</v>
      </c>
      <c r="C39" s="821">
        <f t="shared" si="69"/>
        <v>2241.1799999999998</v>
      </c>
      <c r="D39" s="821">
        <f t="shared" si="69"/>
        <v>3521.06</v>
      </c>
      <c r="E39" s="821">
        <f t="shared" si="69"/>
        <v>166082.54999999999</v>
      </c>
      <c r="F39" s="821">
        <f t="shared" si="69"/>
        <v>298100.67</v>
      </c>
      <c r="G39" s="822">
        <f t="shared" si="69"/>
        <v>144302.41</v>
      </c>
      <c r="H39" s="984">
        <f t="shared" si="70"/>
        <v>1</v>
      </c>
      <c r="I39" s="985">
        <f t="shared" si="70"/>
        <v>1</v>
      </c>
      <c r="J39" s="985">
        <f t="shared" si="70"/>
        <v>1</v>
      </c>
      <c r="K39" s="985">
        <f t="shared" si="70"/>
        <v>0.84772039251442688</v>
      </c>
      <c r="L39" s="985">
        <f t="shared" si="70"/>
        <v>1</v>
      </c>
      <c r="M39" s="986">
        <f t="shared" si="70"/>
        <v>1</v>
      </c>
      <c r="N39" s="1347">
        <f t="shared" si="28"/>
        <v>8296.5961225612609</v>
      </c>
      <c r="O39" s="258">
        <f t="shared" si="29"/>
        <v>7976.8982181174488</v>
      </c>
      <c r="P39" s="258">
        <f t="shared" si="30"/>
        <v>7965.8177448841134</v>
      </c>
      <c r="Q39" s="258">
        <f t="shared" si="31"/>
        <v>9731.230413447036</v>
      </c>
      <c r="R39" s="258">
        <f t="shared" si="32"/>
        <v>12117.045725555026</v>
      </c>
      <c r="S39" s="1348">
        <f t="shared" si="33"/>
        <v>38285.56016618685</v>
      </c>
      <c r="T39" s="1347">
        <f t="shared" si="34"/>
        <v>319.69790444381215</v>
      </c>
      <c r="U39" s="258">
        <f t="shared" si="35"/>
        <v>330.77837767714755</v>
      </c>
      <c r="V39" s="258">
        <f t="shared" si="36"/>
        <v>-1434.634290885775</v>
      </c>
      <c r="W39" s="258">
        <f t="shared" si="37"/>
        <v>-3820.4496029937654</v>
      </c>
      <c r="X39" s="292">
        <f t="shared" si="38"/>
        <v>-29988.964043625587</v>
      </c>
      <c r="Y39" s="293">
        <f ca="1">IF(AND(Y$22=TRUE,INDEX(CDRANGE_CLS2,MATCH($A39,$A$24:$A$67,0),MATCH(Y$20,$B$20:$G$20,0))&lt;$D$6/OPDAYS_Cls2),86,payback(C39,T39,disc_rate/12,85))</f>
        <v>8</v>
      </c>
      <c r="Z39" s="294">
        <f ca="1">IF(AND(Z$22=TRUE,INDEX(CDRANGE_CLS2,MATCH($A39,$A$24:$A$67,0),MATCH(Z$20,$B$20:$G$20,0))&lt;$D$6/OPDAYS_Cls2),86,payback(D39,U39,disc_rate/12,85))</f>
        <v>12</v>
      </c>
      <c r="AA39" s="294">
        <f ca="1">IF(AND(AA$22=TRUE,INDEX(CDRANGE_CLS2,MATCH($A39,$A$24:$A$67,0),MATCH(AA$20,$B$20:$G$20,0))&lt;$D$6/OPDAYS_Cls2),86,payback(E39,V39,disc_rate/12,85))</f>
        <v>86</v>
      </c>
      <c r="AB39" s="294">
        <f>IF(AND(AB$22=TRUE,INDEX(CDRANGE_CLS2,MATCH($A39,$A$24:$A$67,0),MATCH(AB$20,$B$20:$G$20,0))&lt;$D$6/OPDAYS_Cls2),86,payback(F39,W39,disc_rate/12,85))</f>
        <v>86</v>
      </c>
      <c r="AC39" s="295">
        <f ca="1">IF(AND(AC$22=TRUE,INDEX(CDRANGE_CLS2,MATCH($A39,$A$24:$A$67,0),MATCH(AC$20,$B$20:$G$20,0))&lt;$D$6/OPDAYS_Cls2),86,payback(G39,X39,disc_rate/12,85))</f>
        <v>86</v>
      </c>
      <c r="AD39" s="296">
        <f t="shared" si="39"/>
        <v>5.8893908261703612E-2</v>
      </c>
      <c r="AE39" s="297">
        <f t="shared" si="40"/>
        <v>4.0244936052977236E-2</v>
      </c>
      <c r="AF39" s="297">
        <f t="shared" si="41"/>
        <v>0</v>
      </c>
      <c r="AG39" s="297">
        <f t="shared" si="42"/>
        <v>0</v>
      </c>
      <c r="AH39" s="298">
        <f t="shared" si="43"/>
        <v>0</v>
      </c>
      <c r="AI39" s="299">
        <f t="shared" si="44"/>
        <v>5.9601461011058773E-2</v>
      </c>
      <c r="AJ39" s="300">
        <f t="shared" si="45"/>
        <v>5.9601461011058773E-2</v>
      </c>
      <c r="AK39" s="300">
        <f t="shared" si="46"/>
        <v>5.9601461011058773E-2</v>
      </c>
      <c r="AL39" s="300">
        <f t="shared" si="47"/>
        <v>5.5824993187033227E-3</v>
      </c>
      <c r="AM39" s="301">
        <f t="shared" si="48"/>
        <v>0</v>
      </c>
      <c r="AN39" s="299">
        <f t="shared" si="60"/>
        <v>0.99926241475958566</v>
      </c>
      <c r="AO39" s="300">
        <f t="shared" si="49"/>
        <v>0.99818042320214884</v>
      </c>
      <c r="AP39" s="300">
        <f t="shared" si="49"/>
        <v>1.7387965919802295E-2</v>
      </c>
      <c r="AQ39" s="300">
        <f t="shared" si="49"/>
        <v>2.1414281323739459E-6</v>
      </c>
      <c r="AR39" s="598">
        <f t="shared" si="49"/>
        <v>4.6939020974193224E-2</v>
      </c>
      <c r="AS39" s="282">
        <f t="shared" ca="1" si="50"/>
        <v>0.11784996409069659</v>
      </c>
      <c r="AT39" s="283">
        <f t="shared" ca="1" si="51"/>
        <v>0.10976678991293028</v>
      </c>
      <c r="AU39" s="283">
        <f t="shared" ca="1" si="52"/>
        <v>0</v>
      </c>
      <c r="AV39" s="283">
        <f t="shared" si="53"/>
        <v>0</v>
      </c>
      <c r="AW39" s="284">
        <f t="shared" ca="1" si="54"/>
        <v>0</v>
      </c>
      <c r="AX39" s="296">
        <f t="shared" ca="1" si="55"/>
        <v>0.11776303969659993</v>
      </c>
      <c r="AY39" s="297">
        <f t="shared" ca="1" si="56"/>
        <v>0.10956706080883011</v>
      </c>
      <c r="AZ39" s="297">
        <f t="shared" ca="1" si="57"/>
        <v>0</v>
      </c>
      <c r="BA39" s="283">
        <f t="shared" si="61"/>
        <v>0</v>
      </c>
      <c r="BB39" s="284">
        <f t="shared" ca="1" si="62"/>
        <v>0</v>
      </c>
      <c r="BC39" s="282">
        <f t="shared" ca="1" si="63"/>
        <v>0.88223696030340004</v>
      </c>
      <c r="BD39" s="283">
        <f t="shared" ca="1" si="64"/>
        <v>6.1004387398543004E-2</v>
      </c>
      <c r="BE39" s="283">
        <f t="shared" ca="1" si="65"/>
        <v>5.6758652298056919E-2</v>
      </c>
      <c r="BF39" s="283">
        <f t="shared" ca="1" si="66"/>
        <v>0</v>
      </c>
      <c r="BG39" s="283">
        <f t="shared" ca="1" si="67"/>
        <v>0</v>
      </c>
      <c r="BH39" s="284">
        <f t="shared" ca="1" si="68"/>
        <v>0</v>
      </c>
    </row>
    <row r="40" spans="1:60" x14ac:dyDescent="0.2">
      <c r="A40" s="317">
        <v>2023</v>
      </c>
      <c r="B40" s="820">
        <f t="shared" si="69"/>
        <v>137817.37</v>
      </c>
      <c r="C40" s="821">
        <f t="shared" si="69"/>
        <v>3361.77</v>
      </c>
      <c r="D40" s="821">
        <f t="shared" si="69"/>
        <v>4395.95</v>
      </c>
      <c r="E40" s="821">
        <f t="shared" si="69"/>
        <v>134317.79999999999</v>
      </c>
      <c r="F40" s="821">
        <f t="shared" si="69"/>
        <v>240227.56</v>
      </c>
      <c r="G40" s="822">
        <f t="shared" si="69"/>
        <v>121266.01</v>
      </c>
      <c r="H40" s="984">
        <f t="shared" si="70"/>
        <v>1</v>
      </c>
      <c r="I40" s="985">
        <f t="shared" si="70"/>
        <v>1</v>
      </c>
      <c r="J40" s="985">
        <f t="shared" si="70"/>
        <v>1</v>
      </c>
      <c r="K40" s="985">
        <f t="shared" si="70"/>
        <v>0.84716010562866484</v>
      </c>
      <c r="L40" s="985">
        <f t="shared" si="70"/>
        <v>1</v>
      </c>
      <c r="M40" s="986">
        <f t="shared" si="70"/>
        <v>1</v>
      </c>
      <c r="N40" s="1347">
        <f t="shared" si="28"/>
        <v>8241.9967771600968</v>
      </c>
      <c r="O40" s="258">
        <f t="shared" si="29"/>
        <v>7782.5814417850152</v>
      </c>
      <c r="P40" s="258">
        <f t="shared" si="30"/>
        <v>7766.7200252378543</v>
      </c>
      <c r="Q40" s="258">
        <f t="shared" si="31"/>
        <v>9398.7399177526022</v>
      </c>
      <c r="R40" s="258">
        <f t="shared" si="32"/>
        <v>11937.273599743512</v>
      </c>
      <c r="S40" s="1348">
        <f t="shared" si="33"/>
        <v>33107.222823808588</v>
      </c>
      <c r="T40" s="1347">
        <f t="shared" si="34"/>
        <v>459.41533537508167</v>
      </c>
      <c r="U40" s="258">
        <f t="shared" si="35"/>
        <v>475.27675192224251</v>
      </c>
      <c r="V40" s="258">
        <f t="shared" si="36"/>
        <v>-1156.7431405925054</v>
      </c>
      <c r="W40" s="258">
        <f t="shared" si="37"/>
        <v>-3695.2768225834152</v>
      </c>
      <c r="X40" s="292">
        <f t="shared" si="38"/>
        <v>-24865.226046648491</v>
      </c>
      <c r="Y40" s="293">
        <f ca="1">IF(AND(Y$22=TRUE,INDEX(CDRANGE_CLS2,MATCH($A40,$A$24:$A$67,0),MATCH(Y$20,$B$20:$G$20,0))&lt;$D$6/OPDAYS_Cls2),86,payback(C40,T40,disc_rate/12,85))</f>
        <v>8</v>
      </c>
      <c r="Z40" s="294">
        <f ca="1">IF(AND(Z$22=TRUE,INDEX(CDRANGE_CLS2,MATCH($A40,$A$24:$A$67,0),MATCH(Z$20,$B$20:$G$20,0))&lt;$D$6/OPDAYS_Cls2),86,payback(D40,U40,disc_rate/12,85))</f>
        <v>10</v>
      </c>
      <c r="AA40" s="294">
        <f ca="1">IF(AND(AA$22=TRUE,INDEX(CDRANGE_CLS2,MATCH($A40,$A$24:$A$67,0),MATCH(AA$20,$B$20:$G$20,0))&lt;$D$6/OPDAYS_Cls2),86,payback(E40,V40,disc_rate/12,85))</f>
        <v>86</v>
      </c>
      <c r="AB40" s="294">
        <f>IF(AND(AB$22=TRUE,INDEX(CDRANGE_CLS2,MATCH($A40,$A$24:$A$67,0),MATCH(AB$20,$B$20:$G$20,0))&lt;$D$6/OPDAYS_Cls2),86,payback(F40,W40,disc_rate/12,85))</f>
        <v>86</v>
      </c>
      <c r="AC40" s="295">
        <f ca="1">IF(AND(AC$22=TRUE,INDEX(CDRANGE_CLS2,MATCH($A40,$A$24:$A$67,0),MATCH(AC$20,$B$20:$G$20,0))&lt;$D$6/OPDAYS_Cls2),86,payback(G40,X40,disc_rate/12,85))</f>
        <v>86</v>
      </c>
      <c r="AD40" s="296">
        <f t="shared" si="39"/>
        <v>0.10644090721024145</v>
      </c>
      <c r="AE40" s="297">
        <f t="shared" si="40"/>
        <v>2.0672957039593567E-2</v>
      </c>
      <c r="AF40" s="297">
        <f t="shared" si="41"/>
        <v>0</v>
      </c>
      <c r="AG40" s="297">
        <f t="shared" si="42"/>
        <v>0</v>
      </c>
      <c r="AH40" s="298">
        <f t="shared" si="43"/>
        <v>0</v>
      </c>
      <c r="AI40" s="299">
        <f t="shared" si="44"/>
        <v>0.13447071068499755</v>
      </c>
      <c r="AJ40" s="300">
        <f t="shared" si="45"/>
        <v>0.13447071068499755</v>
      </c>
      <c r="AK40" s="300">
        <f t="shared" si="46"/>
        <v>0.13447071068499755</v>
      </c>
      <c r="AL40" s="300">
        <f t="shared" si="47"/>
        <v>1.6345353345693502E-2</v>
      </c>
      <c r="AM40" s="301">
        <f t="shared" si="48"/>
        <v>0</v>
      </c>
      <c r="AN40" s="299">
        <f t="shared" si="60"/>
        <v>0.99834854508424764</v>
      </c>
      <c r="AO40" s="300">
        <f t="shared" si="60"/>
        <v>0.99717784069203363</v>
      </c>
      <c r="AP40" s="300">
        <f t="shared" si="60"/>
        <v>7.1468554786606964E-2</v>
      </c>
      <c r="AQ40" s="300">
        <f t="shared" si="60"/>
        <v>2.1608039479859009E-4</v>
      </c>
      <c r="AR40" s="598">
        <f t="shared" si="60"/>
        <v>0.11640960818605151</v>
      </c>
      <c r="AS40" s="282">
        <f t="shared" ca="1" si="50"/>
        <v>0.26588892548350462</v>
      </c>
      <c r="AT40" s="283">
        <f t="shared" ca="1" si="51"/>
        <v>0.25846090647897763</v>
      </c>
      <c r="AU40" s="283">
        <f t="shared" ca="1" si="52"/>
        <v>0</v>
      </c>
      <c r="AV40" s="283">
        <f t="shared" si="53"/>
        <v>0</v>
      </c>
      <c r="AW40" s="284">
        <f t="shared" ca="1" si="54"/>
        <v>0</v>
      </c>
      <c r="AX40" s="296">
        <f t="shared" ca="1" si="55"/>
        <v>0.26544982191047078</v>
      </c>
      <c r="AY40" s="297">
        <f t="shared" ca="1" si="56"/>
        <v>0.25773148862601253</v>
      </c>
      <c r="AZ40" s="297">
        <f t="shared" ca="1" si="57"/>
        <v>0</v>
      </c>
      <c r="BA40" s="283">
        <f t="shared" si="61"/>
        <v>0</v>
      </c>
      <c r="BB40" s="284">
        <f t="shared" ca="1" si="62"/>
        <v>0</v>
      </c>
      <c r="BC40" s="282">
        <f t="shared" ca="1" si="63"/>
        <v>0.73455017808952916</v>
      </c>
      <c r="BD40" s="283">
        <f t="shared" ca="1" si="64"/>
        <v>0.13468296082680303</v>
      </c>
      <c r="BE40" s="283">
        <f t="shared" ca="1" si="65"/>
        <v>0.13076686108366775</v>
      </c>
      <c r="BF40" s="283">
        <f t="shared" ca="1" si="66"/>
        <v>0</v>
      </c>
      <c r="BG40" s="283">
        <f t="shared" ca="1" si="67"/>
        <v>0</v>
      </c>
      <c r="BH40" s="284">
        <f t="shared" ca="1" si="68"/>
        <v>0</v>
      </c>
    </row>
    <row r="41" spans="1:60" x14ac:dyDescent="0.2">
      <c r="A41" s="317">
        <v>2024</v>
      </c>
      <c r="B41" s="820">
        <f t="shared" si="69"/>
        <v>138123.16</v>
      </c>
      <c r="C41" s="821">
        <f t="shared" si="69"/>
        <v>4482.3599999999997</v>
      </c>
      <c r="D41" s="821">
        <f t="shared" si="69"/>
        <v>5270.85</v>
      </c>
      <c r="E41" s="821">
        <f t="shared" si="69"/>
        <v>102553.04</v>
      </c>
      <c r="F41" s="821">
        <f t="shared" si="69"/>
        <v>182354.46</v>
      </c>
      <c r="G41" s="822">
        <f t="shared" si="69"/>
        <v>98229.62</v>
      </c>
      <c r="H41" s="984">
        <f t="shared" si="70"/>
        <v>1</v>
      </c>
      <c r="I41" s="985">
        <f t="shared" si="70"/>
        <v>1</v>
      </c>
      <c r="J41" s="985">
        <f t="shared" si="70"/>
        <v>1</v>
      </c>
      <c r="K41" s="985">
        <f t="shared" si="70"/>
        <v>0.8465998187429028</v>
      </c>
      <c r="L41" s="985">
        <f t="shared" si="70"/>
        <v>1</v>
      </c>
      <c r="M41" s="986">
        <f t="shared" si="70"/>
        <v>1</v>
      </c>
      <c r="N41" s="1347">
        <f t="shared" si="28"/>
        <v>8256.9105159683186</v>
      </c>
      <c r="O41" s="258">
        <f t="shared" si="29"/>
        <v>7664.3630898151041</v>
      </c>
      <c r="P41" s="258">
        <f t="shared" si="30"/>
        <v>7644.1165784140912</v>
      </c>
      <c r="Q41" s="258">
        <f t="shared" si="31"/>
        <v>9150.0573436319955</v>
      </c>
      <c r="R41" s="258">
        <f t="shared" si="32"/>
        <v>11708.618188121636</v>
      </c>
      <c r="S41" s="1348">
        <f t="shared" si="33"/>
        <v>23024.894056861878</v>
      </c>
      <c r="T41" s="1347">
        <f t="shared" si="34"/>
        <v>592.54742615321447</v>
      </c>
      <c r="U41" s="258">
        <f t="shared" si="35"/>
        <v>612.79393755422734</v>
      </c>
      <c r="V41" s="258">
        <f t="shared" si="36"/>
        <v>-893.14682766367696</v>
      </c>
      <c r="W41" s="258">
        <f t="shared" si="37"/>
        <v>-3451.7076721533176</v>
      </c>
      <c r="X41" s="292">
        <f t="shared" si="38"/>
        <v>-14767.98354089356</v>
      </c>
      <c r="Y41" s="293">
        <f ca="1">IF(AND(Y$22=TRUE,INDEX(CDRANGE_CLS2,MATCH($A41,$A$24:$A$67,0),MATCH(Y$20,$B$20:$G$20,0))&lt;$D$6/OPDAYS_Cls2),86,payback(C41,T41,disc_rate/12,85))</f>
        <v>8</v>
      </c>
      <c r="Z41" s="294">
        <f ca="1">IF(AND(Z$22=TRUE,INDEX(CDRANGE_CLS2,MATCH($A41,$A$24:$A$67,0),MATCH(Z$20,$B$20:$G$20,0))&lt;$D$6/OPDAYS_Cls2),86,payback(D41,U41,disc_rate/12,85))</f>
        <v>9</v>
      </c>
      <c r="AA41" s="294">
        <f ca="1">IF(AND(AA$22=TRUE,INDEX(CDRANGE_CLS2,MATCH($A41,$A$24:$A$67,0),MATCH(AA$20,$B$20:$G$20,0))&lt;$D$6/OPDAYS_Cls2),86,payback(E41,V41,disc_rate/12,85))</f>
        <v>86</v>
      </c>
      <c r="AB41" s="294">
        <f>IF(AND(AB$22=TRUE,INDEX(CDRANGE_CLS2,MATCH($A41,$A$24:$A$67,0),MATCH(AB$20,$B$20:$G$20,0))&lt;$D$6/OPDAYS_Cls2),86,payback(F41,W41,disc_rate/12,85))</f>
        <v>86</v>
      </c>
      <c r="AC41" s="295">
        <f ca="1">IF(AND(AC$22=TRUE,INDEX(CDRANGE_CLS2,MATCH($A41,$A$24:$A$67,0),MATCH(AC$20,$B$20:$G$20,0))&lt;$D$6/OPDAYS_Cls2),86,payback(G41,X41,disc_rate/12,85))</f>
        <v>86</v>
      </c>
      <c r="AD41" s="296">
        <f t="shared" si="39"/>
        <v>3.8433940250417631E-2</v>
      </c>
      <c r="AE41" s="297">
        <f t="shared" si="40"/>
        <v>0</v>
      </c>
      <c r="AF41" s="297">
        <f t="shared" si="41"/>
        <v>0</v>
      </c>
      <c r="AG41" s="297">
        <f t="shared" si="42"/>
        <v>0</v>
      </c>
      <c r="AH41" s="298">
        <f t="shared" si="43"/>
        <v>0</v>
      </c>
      <c r="AI41" s="299">
        <f t="shared" si="44"/>
        <v>0.25</v>
      </c>
      <c r="AJ41" s="300">
        <f t="shared" si="45"/>
        <v>0.25</v>
      </c>
      <c r="AK41" s="300">
        <f t="shared" si="46"/>
        <v>0.25</v>
      </c>
      <c r="AL41" s="300">
        <f t="shared" si="47"/>
        <v>3.861338448859282E-2</v>
      </c>
      <c r="AM41" s="301">
        <f t="shared" si="48"/>
        <v>0</v>
      </c>
      <c r="AN41" s="299">
        <f t="shared" si="60"/>
        <v>0.99707892385054442</v>
      </c>
      <c r="AO41" s="300">
        <f t="shared" si="60"/>
        <v>0.99596310249635522</v>
      </c>
      <c r="AP41" s="300">
        <f t="shared" si="60"/>
        <v>0.2162533755682291</v>
      </c>
      <c r="AQ41" s="300">
        <f t="shared" si="60"/>
        <v>7.8936770691019342E-3</v>
      </c>
      <c r="AR41" s="598">
        <f t="shared" si="60"/>
        <v>0.24538841639763576</v>
      </c>
      <c r="AS41" s="282">
        <f t="shared" ca="1" si="50"/>
        <v>0.49432498000690822</v>
      </c>
      <c r="AT41" s="283">
        <f t="shared" ca="1" si="51"/>
        <v>0.48829758585216049</v>
      </c>
      <c r="AU41" s="283">
        <f t="shared" ca="1" si="52"/>
        <v>0</v>
      </c>
      <c r="AV41" s="283">
        <f t="shared" si="53"/>
        <v>0</v>
      </c>
      <c r="AW41" s="284">
        <f t="shared" ca="1" si="54"/>
        <v>0</v>
      </c>
      <c r="AX41" s="296">
        <f t="shared" ca="1" si="55"/>
        <v>0.49288101909772991</v>
      </c>
      <c r="AY41" s="297">
        <f t="shared" ca="1" si="56"/>
        <v>0.48632637854679811</v>
      </c>
      <c r="AZ41" s="297">
        <f t="shared" ca="1" si="57"/>
        <v>0</v>
      </c>
      <c r="BA41" s="283">
        <f t="shared" si="61"/>
        <v>0</v>
      </c>
      <c r="BB41" s="284">
        <f t="shared" ca="1" si="62"/>
        <v>0</v>
      </c>
      <c r="BC41" s="282">
        <f t="shared" ca="1" si="63"/>
        <v>0.50711898090227003</v>
      </c>
      <c r="BD41" s="283">
        <f t="shared" ca="1" si="64"/>
        <v>0.24809013858676535</v>
      </c>
      <c r="BE41" s="283">
        <f t="shared" ca="1" si="65"/>
        <v>0.24479088051096456</v>
      </c>
      <c r="BF41" s="283">
        <f t="shared" ca="1" si="66"/>
        <v>0</v>
      </c>
      <c r="BG41" s="283">
        <f t="shared" ca="1" si="67"/>
        <v>0</v>
      </c>
      <c r="BH41" s="284">
        <f t="shared" ca="1" si="68"/>
        <v>0</v>
      </c>
    </row>
    <row r="42" spans="1:60" ht="13.5" thickBot="1" x14ac:dyDescent="0.25">
      <c r="A42" s="302">
        <v>2025</v>
      </c>
      <c r="B42" s="823">
        <f t="shared" si="69"/>
        <v>138428.95000000001</v>
      </c>
      <c r="C42" s="824">
        <f t="shared" si="69"/>
        <v>5602.95</v>
      </c>
      <c r="D42" s="824">
        <f t="shared" si="69"/>
        <v>6145.74</v>
      </c>
      <c r="E42" s="824">
        <f t="shared" si="69"/>
        <v>70788.28</v>
      </c>
      <c r="F42" s="824">
        <f t="shared" si="69"/>
        <v>124481.35</v>
      </c>
      <c r="G42" s="825">
        <f t="shared" si="69"/>
        <v>75193.23</v>
      </c>
      <c r="H42" s="978">
        <f t="shared" si="70"/>
        <v>1</v>
      </c>
      <c r="I42" s="979">
        <f t="shared" si="70"/>
        <v>1</v>
      </c>
      <c r="J42" s="979">
        <f t="shared" si="70"/>
        <v>1</v>
      </c>
      <c r="K42" s="979">
        <f t="shared" si="70"/>
        <v>0.84603953185714076</v>
      </c>
      <c r="L42" s="979">
        <f t="shared" si="70"/>
        <v>1</v>
      </c>
      <c r="M42" s="980">
        <f t="shared" si="70"/>
        <v>1</v>
      </c>
      <c r="N42" s="1349">
        <f t="shared" si="28"/>
        <v>8169.7959553785822</v>
      </c>
      <c r="O42" s="265">
        <f t="shared" si="29"/>
        <v>7461.3039093414027</v>
      </c>
      <c r="P42" s="265">
        <f t="shared" si="30"/>
        <v>7437.3948513908617</v>
      </c>
      <c r="Q42" s="265">
        <f t="shared" si="31"/>
        <v>8844.7070931600319</v>
      </c>
      <c r="R42" s="265">
        <f t="shared" si="32"/>
        <v>11571.141445315729</v>
      </c>
      <c r="S42" s="1350">
        <f t="shared" si="33"/>
        <v>17306.383953777051</v>
      </c>
      <c r="T42" s="1349">
        <f t="shared" si="34"/>
        <v>708.49204603717953</v>
      </c>
      <c r="U42" s="265">
        <f t="shared" si="35"/>
        <v>732.40110398772049</v>
      </c>
      <c r="V42" s="265">
        <f t="shared" si="36"/>
        <v>-674.91113778144972</v>
      </c>
      <c r="W42" s="265">
        <f t="shared" si="37"/>
        <v>-3401.3454899371463</v>
      </c>
      <c r="X42" s="306">
        <f t="shared" si="38"/>
        <v>-9136.5879983984687</v>
      </c>
      <c r="Y42" s="307">
        <f ca="1">IF(AND(Y$22=TRUE,INDEX(CDRANGE_CLS2,MATCH($A42,$A$24:$A$67,0),MATCH(Y$20,$B$20:$G$20,0))&lt;$D$6/OPDAYS_Cls2),86,payback(C42,T42,disc_rate/12,85))</f>
        <v>9</v>
      </c>
      <c r="Z42" s="308">
        <f ca="1">IF(AND(Z$22=TRUE,INDEX(CDRANGE_CLS2,MATCH($A42,$A$24:$A$67,0),MATCH(Z$20,$B$20:$G$20,0))&lt;$D$6/OPDAYS_Cls2),86,payback(D42,U42,disc_rate/12,85))</f>
        <v>9</v>
      </c>
      <c r="AA42" s="308">
        <f ca="1">IF(AND(AA$22=TRUE,INDEX(CDRANGE_CLS2,MATCH($A42,$A$24:$A$67,0),MATCH(AA$20,$B$20:$G$20,0))&lt;$D$6/OPDAYS_Cls2),86,payback(E42,V42,disc_rate/12,85))</f>
        <v>86</v>
      </c>
      <c r="AB42" s="308">
        <f>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0.36552928931500245</v>
      </c>
      <c r="AJ42" s="314">
        <f t="shared" si="45"/>
        <v>0.36552928931500245</v>
      </c>
      <c r="AK42" s="314">
        <f t="shared" si="46"/>
        <v>0.36552928931500245</v>
      </c>
      <c r="AL42" s="314">
        <f t="shared" si="47"/>
        <v>7.8022518418636222E-2</v>
      </c>
      <c r="AM42" s="315">
        <f t="shared" si="48"/>
        <v>5.848468161162576E-8</v>
      </c>
      <c r="AN42" s="313">
        <f t="shared" si="60"/>
        <v>0.99545964982910806</v>
      </c>
      <c r="AO42" s="314">
        <f t="shared" si="60"/>
        <v>0.99453986154045781</v>
      </c>
      <c r="AP42" s="314">
        <f t="shared" si="60"/>
        <v>0.48365464615396625</v>
      </c>
      <c r="AQ42" s="314">
        <f t="shared" si="60"/>
        <v>0.10579842087909286</v>
      </c>
      <c r="AR42" s="599">
        <f t="shared" si="60"/>
        <v>0.44060854292563045</v>
      </c>
      <c r="AS42" s="830">
        <f t="shared" ca="1" si="50"/>
        <v>0.71394827812308648</v>
      </c>
      <c r="AT42" s="831">
        <f t="shared" ca="1" si="51"/>
        <v>0.71394827812308648</v>
      </c>
      <c r="AU42" s="831">
        <f t="shared" ca="1" si="52"/>
        <v>0</v>
      </c>
      <c r="AV42" s="831">
        <f t="shared" si="53"/>
        <v>0</v>
      </c>
      <c r="AW42" s="832">
        <f t="shared" ca="1" si="54"/>
        <v>0</v>
      </c>
      <c r="AX42" s="310">
        <f t="shared" ca="1" si="55"/>
        <v>0.71070670293650229</v>
      </c>
      <c r="AY42" s="311">
        <f t="shared" ca="1" si="56"/>
        <v>0.71005002167158271</v>
      </c>
      <c r="AZ42" s="311">
        <f t="shared" ca="1" si="57"/>
        <v>0</v>
      </c>
      <c r="BA42" s="311">
        <f t="shared" si="61"/>
        <v>0</v>
      </c>
      <c r="BB42" s="312">
        <f t="shared" ca="1" si="62"/>
        <v>0</v>
      </c>
      <c r="BC42" s="310">
        <f t="shared" ca="1" si="63"/>
        <v>0.28929329706349782</v>
      </c>
      <c r="BD42" s="311">
        <f t="shared" ca="1" si="64"/>
        <v>0.35551759766486862</v>
      </c>
      <c r="BE42" s="311">
        <f t="shared" ca="1" si="65"/>
        <v>0.35518910527163361</v>
      </c>
      <c r="BF42" s="311">
        <f t="shared" ca="1" si="66"/>
        <v>0</v>
      </c>
      <c r="BG42" s="311">
        <f t="shared" ca="1" si="67"/>
        <v>0</v>
      </c>
      <c r="BH42" s="312">
        <f t="shared" ca="1" si="68"/>
        <v>0</v>
      </c>
    </row>
    <row r="43" spans="1:60" x14ac:dyDescent="0.2">
      <c r="A43" s="316">
        <v>2026</v>
      </c>
      <c r="B43" s="826">
        <f t="shared" si="69"/>
        <v>139088.32000000001</v>
      </c>
      <c r="C43" s="827">
        <f t="shared" si="69"/>
        <v>5829.52</v>
      </c>
      <c r="D43" s="827">
        <f t="shared" si="69"/>
        <v>6311.03</v>
      </c>
      <c r="E43" s="827">
        <f t="shared" si="69"/>
        <v>63439.25</v>
      </c>
      <c r="F43" s="827">
        <f t="shared" si="69"/>
        <v>111055.28</v>
      </c>
      <c r="G43" s="828">
        <f t="shared" si="69"/>
        <v>64934.81</v>
      </c>
      <c r="H43" s="981">
        <f t="shared" si="70"/>
        <v>1</v>
      </c>
      <c r="I43" s="982">
        <f t="shared" si="70"/>
        <v>1</v>
      </c>
      <c r="J43" s="982">
        <f t="shared" si="70"/>
        <v>1</v>
      </c>
      <c r="K43" s="982">
        <f t="shared" si="70"/>
        <v>0.84567612477810628</v>
      </c>
      <c r="L43" s="982">
        <f t="shared" si="70"/>
        <v>1</v>
      </c>
      <c r="M43" s="983">
        <f t="shared" si="70"/>
        <v>1</v>
      </c>
      <c r="N43" s="275">
        <f t="shared" si="28"/>
        <v>8152.8306306051591</v>
      </c>
      <c r="O43" s="276">
        <f t="shared" si="29"/>
        <v>7331.7185487555762</v>
      </c>
      <c r="P43" s="276">
        <f t="shared" si="30"/>
        <v>7304.3685727460406</v>
      </c>
      <c r="Q43" s="276">
        <f t="shared" si="31"/>
        <v>8610.4745046562257</v>
      </c>
      <c r="R43" s="276">
        <f t="shared" si="32"/>
        <v>11356.39292579231</v>
      </c>
      <c r="S43" s="278">
        <f t="shared" si="33"/>
        <v>15963.223229044512</v>
      </c>
      <c r="T43" s="275">
        <f t="shared" si="34"/>
        <v>821.11208184958286</v>
      </c>
      <c r="U43" s="276">
        <f t="shared" si="35"/>
        <v>848.46205785911843</v>
      </c>
      <c r="V43" s="276">
        <f t="shared" si="36"/>
        <v>-457.64387405106663</v>
      </c>
      <c r="W43" s="276">
        <f t="shared" si="37"/>
        <v>-3203.562295187151</v>
      </c>
      <c r="X43" s="278">
        <f t="shared" si="38"/>
        <v>-7810.3925984393527</v>
      </c>
      <c r="Y43" s="279">
        <f ca="1">IF(AND(Y$22=TRUE,INDEX(CDRANGE_CLS2,MATCH($A43,$A$24:$A$67,0),MATCH(Y$20,$B$20:$G$20,0))&lt;$D$6/OPDAYS_Cls2),86,payback(C43,T43,disc_rate/12,85))</f>
        <v>8</v>
      </c>
      <c r="Z43" s="280">
        <f ca="1">IF(AND(Z$22=TRUE,INDEX(CDRANGE_CLS2,MATCH($A43,$A$24:$A$67,0),MATCH(Z$20,$B$20:$G$20,0))&lt;$D$6/OPDAYS_Cls2),86,payback(D43,U43,disc_rate/12,85))</f>
        <v>8</v>
      </c>
      <c r="AA43" s="280">
        <f ca="1">IF(AND(AA$22=TRUE,INDEX(CDRANGE_CLS2,MATCH($A43,$A$24:$A$67,0),MATCH(AA$20,$B$20:$G$20,0))&lt;$D$6/OPDAYS_Cls2),86,payback(E43,V43,disc_rate/12,85))</f>
        <v>86</v>
      </c>
      <c r="AB43" s="280">
        <f>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0.44039853898894116</v>
      </c>
      <c r="AJ43" s="286">
        <f t="shared" si="45"/>
        <v>0.44039853898894116</v>
      </c>
      <c r="AK43" s="286">
        <f t="shared" si="46"/>
        <v>0.44039853898894116</v>
      </c>
      <c r="AL43" s="286">
        <f t="shared" si="47"/>
        <v>0.11409947749819586</v>
      </c>
      <c r="AM43" s="287">
        <f t="shared" si="48"/>
        <v>1.127418816714989E-6</v>
      </c>
      <c r="AN43" s="285">
        <f t="shared" si="60"/>
        <v>0.99513231333522112</v>
      </c>
      <c r="AO43" s="286">
        <f t="shared" si="60"/>
        <v>0.99429736727267792</v>
      </c>
      <c r="AP43" s="286">
        <f t="shared" si="60"/>
        <v>0.56109064766104122</v>
      </c>
      <c r="AQ43" s="286">
        <f t="shared" si="60"/>
        <v>0.17017936865305994</v>
      </c>
      <c r="AR43" s="611">
        <f t="shared" si="60"/>
        <v>0.54583404378001765</v>
      </c>
      <c r="AS43" s="637">
        <f t="shared" ca="1" si="50"/>
        <v>0.87079999592311974</v>
      </c>
      <c r="AT43" s="638">
        <f t="shared" ca="1" si="51"/>
        <v>0.87079999592311974</v>
      </c>
      <c r="AU43" s="638">
        <f t="shared" ca="1" si="52"/>
        <v>0</v>
      </c>
      <c r="AV43" s="638">
        <f t="shared" si="53"/>
        <v>0</v>
      </c>
      <c r="AW43" s="639">
        <f t="shared" ca="1" si="54"/>
        <v>0</v>
      </c>
      <c r="AX43" s="282">
        <f t="shared" ca="1" si="55"/>
        <v>0.86656121439527523</v>
      </c>
      <c r="AY43" s="283">
        <f t="shared" ca="1" si="56"/>
        <v>0.8658341433674166</v>
      </c>
      <c r="AZ43" s="283">
        <f t="shared" ca="1" si="57"/>
        <v>0</v>
      </c>
      <c r="BA43" s="283">
        <f t="shared" si="61"/>
        <v>0</v>
      </c>
      <c r="BB43" s="284">
        <f t="shared" ca="1" si="62"/>
        <v>0</v>
      </c>
      <c r="BC43" s="282">
        <f t="shared" ca="1" si="63"/>
        <v>0.13343878560472477</v>
      </c>
      <c r="BD43" s="283">
        <f t="shared" ca="1" si="64"/>
        <v>0.43346245124092414</v>
      </c>
      <c r="BE43" s="283">
        <f t="shared" ca="1" si="65"/>
        <v>0.43309876315435109</v>
      </c>
      <c r="BF43" s="283">
        <f t="shared" ca="1" si="66"/>
        <v>0</v>
      </c>
      <c r="BG43" s="283">
        <f t="shared" ca="1" si="67"/>
        <v>0</v>
      </c>
      <c r="BH43" s="284">
        <f t="shared" ca="1" si="68"/>
        <v>0</v>
      </c>
    </row>
    <row r="44" spans="1:60" x14ac:dyDescent="0.2">
      <c r="A44" s="317">
        <v>2027</v>
      </c>
      <c r="B44" s="820">
        <f t="shared" ref="B44:G53" si="71">ROUND(INDEX(COST_Cls2,$A44-($A$24-1),MATCH(B$20,TECHOPTS_Cls2,0)),2)</f>
        <v>139747.70000000001</v>
      </c>
      <c r="C44" s="821">
        <f t="shared" si="71"/>
        <v>6056.08</v>
      </c>
      <c r="D44" s="821">
        <f t="shared" si="71"/>
        <v>6476.32</v>
      </c>
      <c r="E44" s="821">
        <f t="shared" si="71"/>
        <v>56090.22</v>
      </c>
      <c r="F44" s="821">
        <f t="shared" si="71"/>
        <v>97629.2</v>
      </c>
      <c r="G44" s="822">
        <f t="shared" si="71"/>
        <v>54676.38</v>
      </c>
      <c r="H44" s="984">
        <f t="shared" ref="H44:M53" si="72">IF(H$21="Single-fuel",1,1-MIN(INDEX(CDRANGE_CLS2,$A44-($A$24-1),MATCH(H$20,TECHOPTS_Cls2,0))*OPDAYS_Cls2/$D$6,1))</f>
        <v>1</v>
      </c>
      <c r="I44" s="985">
        <f t="shared" si="72"/>
        <v>1</v>
      </c>
      <c r="J44" s="985">
        <f t="shared" si="72"/>
        <v>1</v>
      </c>
      <c r="K44" s="985">
        <f t="shared" si="72"/>
        <v>0.84531271769907179</v>
      </c>
      <c r="L44" s="985">
        <f t="shared" si="72"/>
        <v>1</v>
      </c>
      <c r="M44" s="986">
        <f t="shared" si="72"/>
        <v>1</v>
      </c>
      <c r="N44" s="289">
        <f t="shared" si="28"/>
        <v>8023.1554360919436</v>
      </c>
      <c r="O44" s="290">
        <f t="shared" si="29"/>
        <v>7109.8304457077184</v>
      </c>
      <c r="P44" s="290">
        <f t="shared" si="30"/>
        <v>7079.8055725574841</v>
      </c>
      <c r="Q44" s="290">
        <f t="shared" si="31"/>
        <v>8287.664415905796</v>
      </c>
      <c r="R44" s="290">
        <f t="shared" si="32"/>
        <v>11065.193583629398</v>
      </c>
      <c r="S44" s="292">
        <f t="shared" si="33"/>
        <v>14962.128623314866</v>
      </c>
      <c r="T44" s="289">
        <f t="shared" si="34"/>
        <v>913.3249903842252</v>
      </c>
      <c r="U44" s="290">
        <f t="shared" si="35"/>
        <v>943.34986353445947</v>
      </c>
      <c r="V44" s="290">
        <f t="shared" si="36"/>
        <v>-264.50897981385242</v>
      </c>
      <c r="W44" s="290">
        <f t="shared" si="37"/>
        <v>-3042.0381475374543</v>
      </c>
      <c r="X44" s="292">
        <f t="shared" si="38"/>
        <v>-6938.9731872229222</v>
      </c>
      <c r="Y44" s="293">
        <f ca="1">IF(AND(Y$22=TRUE,INDEX(CDRANGE_CLS2,MATCH($A44,$A$24:$A$67,0),MATCH(Y$20,$B$20:$G$20,0))&lt;$D$6/OPDAYS_Cls2),86,payback(C44,T44,disc_rate/12,85))</f>
        <v>7</v>
      </c>
      <c r="Z44" s="294">
        <f ca="1">IF(AND(Z$22=TRUE,INDEX(CDRANGE_CLS2,MATCH($A44,$A$24:$A$67,0),MATCH(Z$20,$B$20:$G$20,0))&lt;$D$6/OPDAYS_Cls2),86,payback(D44,U44,disc_rate/12,85))</f>
        <v>8</v>
      </c>
      <c r="AA44" s="294">
        <f ca="1">IF(AND(AA$22=TRUE,INDEX(CDRANGE_CLS2,MATCH($A44,$A$24:$A$67,0),MATCH(AA$20,$B$20:$G$20,0))&lt;$D$6/OPDAYS_Cls2),86,payback(E44,V44,disc_rate/12,85))</f>
        <v>86</v>
      </c>
      <c r="AB44" s="294">
        <f>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0.47628706341121668</v>
      </c>
      <c r="AJ44" s="300">
        <f t="shared" si="45"/>
        <v>0.47628706341121668</v>
      </c>
      <c r="AK44" s="300">
        <f t="shared" si="46"/>
        <v>0.47628706341121668</v>
      </c>
      <c r="AL44" s="300">
        <f t="shared" si="47"/>
        <v>0.1600725741397479</v>
      </c>
      <c r="AM44" s="301">
        <f t="shared" si="48"/>
        <v>1.2192933216365979E-6</v>
      </c>
      <c r="AN44" s="299">
        <f t="shared" si="60"/>
        <v>0.99479693704652883</v>
      </c>
      <c r="AO44" s="300">
        <f t="shared" si="60"/>
        <v>0.99405201370671159</v>
      </c>
      <c r="AP44" s="300">
        <f t="shared" si="60"/>
        <v>0.63923119232214531</v>
      </c>
      <c r="AQ44" s="300">
        <f t="shared" si="60"/>
        <v>0.25776355454788979</v>
      </c>
      <c r="AR44" s="598">
        <f t="shared" si="60"/>
        <v>0.65362982120613489</v>
      </c>
      <c r="AS44" s="282">
        <f t="shared" ca="1" si="50"/>
        <v>0.94945662357669569</v>
      </c>
      <c r="AT44" s="283">
        <f t="shared" ca="1" si="51"/>
        <v>0.94176237239319482</v>
      </c>
      <c r="AU44" s="283">
        <f t="shared" ca="1" si="52"/>
        <v>0</v>
      </c>
      <c r="AV44" s="283">
        <f t="shared" si="53"/>
        <v>0</v>
      </c>
      <c r="AW44" s="284">
        <f t="shared" ca="1" si="54"/>
        <v>0</v>
      </c>
      <c r="AX44" s="296">
        <f t="shared" ca="1" si="55"/>
        <v>0.94451654099263593</v>
      </c>
      <c r="AY44" s="297">
        <f t="shared" ca="1" si="56"/>
        <v>0.93616078271066527</v>
      </c>
      <c r="AZ44" s="297">
        <f t="shared" ca="1" si="57"/>
        <v>0</v>
      </c>
      <c r="BA44" s="283">
        <f t="shared" si="61"/>
        <v>0</v>
      </c>
      <c r="BB44" s="284">
        <f t="shared" ca="1" si="62"/>
        <v>0</v>
      </c>
      <c r="BC44" s="282">
        <f t="shared" ca="1" si="63"/>
        <v>5.5483459007364067E-2</v>
      </c>
      <c r="BD44" s="283">
        <f t="shared" ca="1" si="64"/>
        <v>0.4743564911241705</v>
      </c>
      <c r="BE44" s="283">
        <f t="shared" ca="1" si="65"/>
        <v>0.47016004986846544</v>
      </c>
      <c r="BF44" s="283">
        <f t="shared" ca="1" si="66"/>
        <v>0</v>
      </c>
      <c r="BG44" s="283">
        <f t="shared" ca="1" si="67"/>
        <v>0</v>
      </c>
      <c r="BH44" s="284">
        <f t="shared" ca="1" si="68"/>
        <v>0</v>
      </c>
    </row>
    <row r="45" spans="1:60" x14ac:dyDescent="0.2">
      <c r="A45" s="317">
        <v>2028</v>
      </c>
      <c r="B45" s="820">
        <f t="shared" si="71"/>
        <v>140407.07</v>
      </c>
      <c r="C45" s="821">
        <f t="shared" si="71"/>
        <v>6282.65</v>
      </c>
      <c r="D45" s="821">
        <f t="shared" si="71"/>
        <v>6641.61</v>
      </c>
      <c r="E45" s="821">
        <f t="shared" si="71"/>
        <v>48741.19</v>
      </c>
      <c r="F45" s="821">
        <f t="shared" si="71"/>
        <v>84203.12</v>
      </c>
      <c r="G45" s="822">
        <f t="shared" si="71"/>
        <v>44417.96</v>
      </c>
      <c r="H45" s="984">
        <f t="shared" si="72"/>
        <v>1</v>
      </c>
      <c r="I45" s="985">
        <f t="shared" si="72"/>
        <v>1</v>
      </c>
      <c r="J45" s="985">
        <f t="shared" si="72"/>
        <v>1</v>
      </c>
      <c r="K45" s="985">
        <f t="shared" si="72"/>
        <v>0.84494931062003731</v>
      </c>
      <c r="L45" s="985">
        <f t="shared" si="72"/>
        <v>1</v>
      </c>
      <c r="M45" s="986">
        <f t="shared" si="72"/>
        <v>1</v>
      </c>
      <c r="N45" s="289">
        <f t="shared" si="28"/>
        <v>8075.1690186996075</v>
      </c>
      <c r="O45" s="290">
        <f t="shared" si="29"/>
        <v>7056.3766632980605</v>
      </c>
      <c r="P45" s="290">
        <f t="shared" si="30"/>
        <v>7023.3146514653426</v>
      </c>
      <c r="Q45" s="290">
        <f t="shared" si="31"/>
        <v>8135.8382743387083</v>
      </c>
      <c r="R45" s="290">
        <f t="shared" si="32"/>
        <v>10801.58547120474</v>
      </c>
      <c r="S45" s="292">
        <f t="shared" si="33"/>
        <v>14046.757025044173</v>
      </c>
      <c r="T45" s="289">
        <f t="shared" si="34"/>
        <v>1018.792355401547</v>
      </c>
      <c r="U45" s="290">
        <f t="shared" si="35"/>
        <v>1051.8543672342648</v>
      </c>
      <c r="V45" s="290">
        <f t="shared" si="36"/>
        <v>-60.669255639100811</v>
      </c>
      <c r="W45" s="290">
        <f t="shared" si="37"/>
        <v>-2726.4164525051328</v>
      </c>
      <c r="X45" s="292">
        <f t="shared" si="38"/>
        <v>-5971.5880063445657</v>
      </c>
      <c r="Y45" s="293">
        <f ca="1">IF(AND(Y$22=TRUE,INDEX(CDRANGE_CLS2,MATCH($A45,$A$24:$A$67,0),MATCH(Y$20,$B$20:$G$20,0))&lt;$D$6/OPDAYS_Cls2),86,payback(C45,T45,disc_rate/12,85))</f>
        <v>7</v>
      </c>
      <c r="Z45" s="294">
        <f ca="1">IF(AND(Z$22=TRUE,INDEX(CDRANGE_CLS2,MATCH($A45,$A$24:$A$67,0),MATCH(Z$20,$B$20:$G$20,0))&lt;$D$6/OPDAYS_Cls2),86,payback(D45,U45,disc_rate/12,85))</f>
        <v>7</v>
      </c>
      <c r="AA45" s="294">
        <f ca="1">IF(AND(AA$22=TRUE,INDEX(CDRANGE_CLS2,MATCH($A45,$A$24:$A$67,0),MATCH(AA$20,$B$20:$G$20,0))&lt;$D$6/OPDAYS_Cls2),86,payback(E45,V45,disc_rate/12,85))</f>
        <v>86</v>
      </c>
      <c r="AB45" s="294">
        <f>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0.49100689501895423</v>
      </c>
      <c r="AJ45" s="300">
        <f t="shared" si="45"/>
        <v>0.49100689501895423</v>
      </c>
      <c r="AK45" s="300">
        <f t="shared" si="46"/>
        <v>0.49100689501895423</v>
      </c>
      <c r="AL45" s="300">
        <f t="shared" si="47"/>
        <v>0.19256155202933228</v>
      </c>
      <c r="AM45" s="301">
        <f t="shared" si="48"/>
        <v>2.0111230539163156E-5</v>
      </c>
      <c r="AN45" s="299">
        <f t="shared" si="60"/>
        <v>0.99445376666456653</v>
      </c>
      <c r="AO45" s="300">
        <f t="shared" si="60"/>
        <v>0.99380391543241542</v>
      </c>
      <c r="AP45" s="300">
        <f t="shared" si="60"/>
        <v>0.71552178738648076</v>
      </c>
      <c r="AQ45" s="300">
        <f t="shared" si="60"/>
        <v>0.36823867354165363</v>
      </c>
      <c r="AR45" s="598">
        <f t="shared" si="60"/>
        <v>0.75730071537523025</v>
      </c>
      <c r="AS45" s="282">
        <f t="shared" ca="1" si="50"/>
        <v>0.97879993917675334</v>
      </c>
      <c r="AT45" s="283">
        <f t="shared" ca="1" si="51"/>
        <v>0.97879993917675334</v>
      </c>
      <c r="AU45" s="283">
        <f t="shared" ca="1" si="52"/>
        <v>0</v>
      </c>
      <c r="AV45" s="283">
        <f t="shared" si="53"/>
        <v>0</v>
      </c>
      <c r="AW45" s="284">
        <f t="shared" ca="1" si="54"/>
        <v>0</v>
      </c>
      <c r="AX45" s="296">
        <f t="shared" ca="1" si="55"/>
        <v>0.97337128632537095</v>
      </c>
      <c r="AY45" s="297">
        <f t="shared" ca="1" si="56"/>
        <v>0.97273521197886759</v>
      </c>
      <c r="AZ45" s="297">
        <f t="shared" ca="1" si="57"/>
        <v>0</v>
      </c>
      <c r="BA45" s="283">
        <f t="shared" si="61"/>
        <v>0</v>
      </c>
      <c r="BB45" s="284">
        <f t="shared" ca="1" si="62"/>
        <v>0</v>
      </c>
      <c r="BC45" s="282">
        <f t="shared" ca="1" si="63"/>
        <v>2.6628713674629045E-2</v>
      </c>
      <c r="BD45" s="283">
        <f t="shared" ca="1" si="64"/>
        <v>0.48684471372367322</v>
      </c>
      <c r="BE45" s="283">
        <f t="shared" ca="1" si="65"/>
        <v>0.48652657260169768</v>
      </c>
      <c r="BF45" s="283">
        <f t="shared" ca="1" si="66"/>
        <v>0</v>
      </c>
      <c r="BG45" s="283">
        <f t="shared" ca="1" si="67"/>
        <v>0</v>
      </c>
      <c r="BH45" s="284">
        <f t="shared" ca="1" si="68"/>
        <v>0</v>
      </c>
    </row>
    <row r="46" spans="1:60" x14ac:dyDescent="0.2">
      <c r="A46" s="317">
        <v>2029</v>
      </c>
      <c r="B46" s="820">
        <f t="shared" si="71"/>
        <v>141066.45000000001</v>
      </c>
      <c r="C46" s="821">
        <f t="shared" si="71"/>
        <v>6509.21</v>
      </c>
      <c r="D46" s="821">
        <f t="shared" si="71"/>
        <v>6806.91</v>
      </c>
      <c r="E46" s="821">
        <f t="shared" si="71"/>
        <v>41392.160000000003</v>
      </c>
      <c r="F46" s="821">
        <f t="shared" si="71"/>
        <v>70777.039999999994</v>
      </c>
      <c r="G46" s="822">
        <f t="shared" si="71"/>
        <v>34159.54</v>
      </c>
      <c r="H46" s="984">
        <f t="shared" si="72"/>
        <v>1</v>
      </c>
      <c r="I46" s="985">
        <f t="shared" si="72"/>
        <v>1</v>
      </c>
      <c r="J46" s="985">
        <f t="shared" si="72"/>
        <v>1</v>
      </c>
      <c r="K46" s="985">
        <f t="shared" si="72"/>
        <v>0.84458590354100282</v>
      </c>
      <c r="L46" s="985">
        <f t="shared" si="72"/>
        <v>1</v>
      </c>
      <c r="M46" s="986">
        <f t="shared" si="72"/>
        <v>1</v>
      </c>
      <c r="N46" s="289">
        <f t="shared" si="28"/>
        <v>8066.3731676033985</v>
      </c>
      <c r="O46" s="290">
        <f t="shared" si="29"/>
        <v>6955.0910574300469</v>
      </c>
      <c r="P46" s="290">
        <f t="shared" si="30"/>
        <v>6919.479125808517</v>
      </c>
      <c r="Q46" s="290">
        <f t="shared" si="31"/>
        <v>7941.7314588444042</v>
      </c>
      <c r="R46" s="290">
        <f t="shared" si="32"/>
        <v>10511.022972198221</v>
      </c>
      <c r="S46" s="292">
        <f t="shared" si="33"/>
        <v>13263.944644483023</v>
      </c>
      <c r="T46" s="289">
        <f t="shared" si="34"/>
        <v>1111.2821101733516</v>
      </c>
      <c r="U46" s="290">
        <f t="shared" si="35"/>
        <v>1146.8940417948816</v>
      </c>
      <c r="V46" s="290">
        <f t="shared" si="36"/>
        <v>124.64170875899435</v>
      </c>
      <c r="W46" s="290">
        <f t="shared" si="37"/>
        <v>-2444.6498045948229</v>
      </c>
      <c r="X46" s="292">
        <f t="shared" si="38"/>
        <v>-5197.5714768796242</v>
      </c>
      <c r="Y46" s="293">
        <f ca="1">IF(AND(Y$22=TRUE,INDEX(CDRANGE_CLS2,MATCH($A46,$A$24:$A$67,0),MATCH(Y$20,$B$20:$G$20,0))&lt;$D$6/OPDAYS_Cls2),86,payback(C46,T46,disc_rate/12,85))</f>
        <v>6</v>
      </c>
      <c r="Z46" s="294">
        <f ca="1">IF(AND(Z$22=TRUE,INDEX(CDRANGE_CLS2,MATCH($A46,$A$24:$A$67,0),MATCH(Z$20,$B$20:$G$20,0))&lt;$D$6/OPDAYS_Cls2),86,payback(D46,U46,disc_rate/12,85))</f>
        <v>7</v>
      </c>
      <c r="AA46" s="294">
        <f ca="1">IF(AND(AA$22=TRUE,INDEX(CDRANGE_CLS2,MATCH($A46,$A$24:$A$67,0),MATCH(AA$20,$B$20:$G$20,0))&lt;$D$6/OPDAYS_Cls2),86,payback(E46,V46,disc_rate/12,85))</f>
        <v>86</v>
      </c>
      <c r="AB46" s="294">
        <f>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0.49665357453785763</v>
      </c>
      <c r="AJ46" s="300">
        <f t="shared" si="45"/>
        <v>0.49665357453785763</v>
      </c>
      <c r="AK46" s="300">
        <f t="shared" si="46"/>
        <v>0.49665357453785763</v>
      </c>
      <c r="AL46" s="300">
        <f t="shared" si="47"/>
        <v>0.2240012655749237</v>
      </c>
      <c r="AM46" s="301">
        <f t="shared" si="48"/>
        <v>4.9662874268686648E-5</v>
      </c>
      <c r="AN46" s="299">
        <f t="shared" si="60"/>
        <v>0.99410311117407502</v>
      </c>
      <c r="AO46" s="300">
        <f t="shared" si="60"/>
        <v>0.99355316797229531</v>
      </c>
      <c r="AP46" s="300">
        <f t="shared" si="60"/>
        <v>0.78728992048447477</v>
      </c>
      <c r="AQ46" s="300">
        <f t="shared" si="60"/>
        <v>0.49695600905255921</v>
      </c>
      <c r="AR46" s="598">
        <f t="shared" si="60"/>
        <v>0.84969114051637828</v>
      </c>
      <c r="AS46" s="282">
        <f t="shared" ca="1" si="50"/>
        <v>0.99330714907571527</v>
      </c>
      <c r="AT46" s="283">
        <f t="shared" ca="1" si="51"/>
        <v>0.99005633827363348</v>
      </c>
      <c r="AU46" s="283">
        <f t="shared" ca="1" si="52"/>
        <v>0</v>
      </c>
      <c r="AV46" s="283">
        <f t="shared" si="53"/>
        <v>0</v>
      </c>
      <c r="AW46" s="284">
        <f t="shared" ca="1" si="54"/>
        <v>0</v>
      </c>
      <c r="AX46" s="296">
        <f t="shared" ca="1" si="55"/>
        <v>0.98744972724761926</v>
      </c>
      <c r="AY46" s="297">
        <f t="shared" ca="1" si="56"/>
        <v>0.98367361136281906</v>
      </c>
      <c r="AZ46" s="297">
        <f t="shared" ca="1" si="57"/>
        <v>0</v>
      </c>
      <c r="BA46" s="283">
        <f t="shared" si="61"/>
        <v>0</v>
      </c>
      <c r="BB46" s="284">
        <f t="shared" ca="1" si="62"/>
        <v>0</v>
      </c>
      <c r="BC46" s="282">
        <f t="shared" ca="1" si="63"/>
        <v>1.2550272752380742E-2</v>
      </c>
      <c r="BD46" s="283">
        <f t="shared" ca="1" si="64"/>
        <v>0.49467070108802685</v>
      </c>
      <c r="BE46" s="283">
        <f t="shared" ca="1" si="65"/>
        <v>0.4927790261595924</v>
      </c>
      <c r="BF46" s="283">
        <f t="shared" ca="1" si="66"/>
        <v>0</v>
      </c>
      <c r="BG46" s="283">
        <f t="shared" ca="1" si="67"/>
        <v>0</v>
      </c>
      <c r="BH46" s="284">
        <f t="shared" ca="1" si="68"/>
        <v>0</v>
      </c>
    </row>
    <row r="47" spans="1:60" ht="13.5" thickBot="1" x14ac:dyDescent="0.25">
      <c r="A47" s="302">
        <v>2030</v>
      </c>
      <c r="B47" s="814">
        <f t="shared" si="71"/>
        <v>141725.82999999999</v>
      </c>
      <c r="C47" s="815">
        <f t="shared" si="71"/>
        <v>6735.78</v>
      </c>
      <c r="D47" s="815">
        <f t="shared" si="71"/>
        <v>6972.2</v>
      </c>
      <c r="E47" s="815">
        <f t="shared" si="71"/>
        <v>34043.129999999997</v>
      </c>
      <c r="F47" s="815">
        <f t="shared" si="71"/>
        <v>57350.96</v>
      </c>
      <c r="G47" s="816">
        <f t="shared" si="71"/>
        <v>23901.119999999999</v>
      </c>
      <c r="H47" s="978">
        <f t="shared" si="72"/>
        <v>1</v>
      </c>
      <c r="I47" s="979">
        <f t="shared" si="72"/>
        <v>1</v>
      </c>
      <c r="J47" s="979">
        <f t="shared" si="72"/>
        <v>1</v>
      </c>
      <c r="K47" s="979">
        <f t="shared" si="72"/>
        <v>0.84422249646196834</v>
      </c>
      <c r="L47" s="979">
        <f t="shared" si="72"/>
        <v>1</v>
      </c>
      <c r="M47" s="980">
        <f t="shared" si="72"/>
        <v>1</v>
      </c>
      <c r="N47" s="303">
        <f t="shared" si="28"/>
        <v>8229.955413761536</v>
      </c>
      <c r="O47" s="304">
        <f t="shared" si="29"/>
        <v>7006.0865751100882</v>
      </c>
      <c r="P47" s="304">
        <f t="shared" si="30"/>
        <v>6967.3430914937617</v>
      </c>
      <c r="Q47" s="304">
        <f t="shared" si="31"/>
        <v>7908.6677624249269</v>
      </c>
      <c r="R47" s="304">
        <f t="shared" si="32"/>
        <v>10329.464482153919</v>
      </c>
      <c r="S47" s="306">
        <f t="shared" si="33"/>
        <v>12794.060169705564</v>
      </c>
      <c r="T47" s="303">
        <f t="shared" si="34"/>
        <v>1223.8688386514477</v>
      </c>
      <c r="U47" s="304">
        <f t="shared" si="35"/>
        <v>1262.6123222677743</v>
      </c>
      <c r="V47" s="304">
        <f t="shared" si="36"/>
        <v>321.28765133660909</v>
      </c>
      <c r="W47" s="304">
        <f t="shared" si="37"/>
        <v>-2099.5090683923827</v>
      </c>
      <c r="X47" s="306">
        <f t="shared" si="38"/>
        <v>-4564.1047559440285</v>
      </c>
      <c r="Y47" s="307">
        <f ca="1">IF(AND(Y$22=TRUE,INDEX(CDRANGE_CLS2,MATCH($A47,$A$24:$A$67,0),MATCH(Y$20,$B$20:$G$20,0))&lt;$D$6/OPDAYS_Cls2),86,payback(C47,T47,disc_rate/12,85))</f>
        <v>6</v>
      </c>
      <c r="Z47" s="308">
        <f ca="1">IF(AND(Z$22=TRUE,INDEX(CDRANGE_CLS2,MATCH($A47,$A$24:$A$67,0),MATCH(Z$20,$B$20:$G$20,0))&lt;$D$6/OPDAYS_Cls2),86,payback(D47,U47,disc_rate/12,85))</f>
        <v>6</v>
      </c>
      <c r="AA47" s="308">
        <f ca="1">IF(AND(AA$22=TRUE,INDEX(CDRANGE_CLS2,MATCH($A47,$A$24:$A$67,0),MATCH(AA$20,$B$20:$G$20,0))&lt;$D$6/OPDAYS_Cls2),86,payback(E47,V47,disc_rate/12,85))</f>
        <v>86</v>
      </c>
      <c r="AB47" s="308">
        <f>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0.49876368842168267</v>
      </c>
      <c r="AJ47" s="314">
        <f t="shared" si="45"/>
        <v>0.49876368842168267</v>
      </c>
      <c r="AK47" s="314">
        <f t="shared" si="46"/>
        <v>0.49876368842168267</v>
      </c>
      <c r="AL47" s="314">
        <f t="shared" si="47"/>
        <v>0.27029859074170631</v>
      </c>
      <c r="AM47" s="315">
        <f t="shared" si="48"/>
        <v>1.9156825975678672E-4</v>
      </c>
      <c r="AN47" s="630">
        <f t="shared" si="60"/>
        <v>0.99374519890748736</v>
      </c>
      <c r="AO47" s="628">
        <f t="shared" si="60"/>
        <v>0.99329991717245192</v>
      </c>
      <c r="AP47" s="628">
        <f t="shared" si="60"/>
        <v>0.85191178864680217</v>
      </c>
      <c r="AQ47" s="628">
        <f t="shared" si="60"/>
        <v>0.63453472468632444</v>
      </c>
      <c r="AR47" s="629">
        <f t="shared" si="60"/>
        <v>0.92403842938167757</v>
      </c>
      <c r="AS47" s="319">
        <f t="shared" ca="1" si="50"/>
        <v>0.99752737684336534</v>
      </c>
      <c r="AT47" s="320">
        <f t="shared" ca="1" si="51"/>
        <v>0.99752737684336534</v>
      </c>
      <c r="AU47" s="320">
        <f t="shared" ca="1" si="52"/>
        <v>0</v>
      </c>
      <c r="AV47" s="320">
        <f t="shared" si="53"/>
        <v>0</v>
      </c>
      <c r="AW47" s="321">
        <f t="shared" ca="1" si="54"/>
        <v>0</v>
      </c>
      <c r="AX47" s="310">
        <f t="shared" ca="1" si="55"/>
        <v>0.99128804151687422</v>
      </c>
      <c r="AY47" s="311">
        <f t="shared" ca="1" si="56"/>
        <v>0.99084386079576803</v>
      </c>
      <c r="AZ47" s="311">
        <f t="shared" ca="1" si="57"/>
        <v>0</v>
      </c>
      <c r="BA47" s="311">
        <f t="shared" si="61"/>
        <v>0</v>
      </c>
      <c r="BB47" s="312">
        <f t="shared" ca="1" si="62"/>
        <v>0</v>
      </c>
      <c r="BC47" s="310">
        <f t="shared" ca="1" si="63"/>
        <v>8.7119584831258923E-3</v>
      </c>
      <c r="BD47" s="311">
        <f t="shared" ca="1" si="64"/>
        <v>0.49575509082309605</v>
      </c>
      <c r="BE47" s="311">
        <f t="shared" ca="1" si="65"/>
        <v>0.49553295069377812</v>
      </c>
      <c r="BF47" s="311">
        <f t="shared" ca="1" si="66"/>
        <v>0</v>
      </c>
      <c r="BG47" s="311">
        <f t="shared" ca="1" si="67"/>
        <v>0</v>
      </c>
      <c r="BH47" s="312">
        <f t="shared" ca="1" si="68"/>
        <v>0</v>
      </c>
    </row>
    <row r="48" spans="1:60" x14ac:dyDescent="0.2">
      <c r="A48" s="316">
        <v>2031</v>
      </c>
      <c r="B48" s="817">
        <f t="shared" si="71"/>
        <v>141725.82999999999</v>
      </c>
      <c r="C48" s="818">
        <f t="shared" si="71"/>
        <v>6735.78</v>
      </c>
      <c r="D48" s="818">
        <f t="shared" si="71"/>
        <v>6972.2</v>
      </c>
      <c r="E48" s="818">
        <f t="shared" si="71"/>
        <v>31513.34</v>
      </c>
      <c r="F48" s="818">
        <f t="shared" si="71"/>
        <v>52004.51</v>
      </c>
      <c r="G48" s="819">
        <f t="shared" si="71"/>
        <v>21656.23</v>
      </c>
      <c r="H48" s="981">
        <f t="shared" si="72"/>
        <v>1</v>
      </c>
      <c r="I48" s="982">
        <f t="shared" si="72"/>
        <v>1</v>
      </c>
      <c r="J48" s="982">
        <f t="shared" si="72"/>
        <v>1</v>
      </c>
      <c r="K48" s="982">
        <f t="shared" si="72"/>
        <v>0.84396704763393293</v>
      </c>
      <c r="L48" s="982">
        <f t="shared" si="72"/>
        <v>1</v>
      </c>
      <c r="M48" s="983">
        <f t="shared" si="72"/>
        <v>1</v>
      </c>
      <c r="N48" s="275">
        <f t="shared" si="28"/>
        <v>8317.5219447875952</v>
      </c>
      <c r="O48" s="276">
        <f t="shared" si="29"/>
        <v>7080.6311706281595</v>
      </c>
      <c r="P48" s="276">
        <f t="shared" si="30"/>
        <v>7041.4754572621487</v>
      </c>
      <c r="Q48" s="276">
        <f t="shared" si="31"/>
        <v>7819.2274907559167</v>
      </c>
      <c r="R48" s="276">
        <f t="shared" si="32"/>
        <v>10175.513207459113</v>
      </c>
      <c r="S48" s="278">
        <f t="shared" si="33"/>
        <v>12174.236078975131</v>
      </c>
      <c r="T48" s="275">
        <f t="shared" si="34"/>
        <v>1236.8907741594358</v>
      </c>
      <c r="U48" s="276">
        <f t="shared" si="35"/>
        <v>1276.0464875254465</v>
      </c>
      <c r="V48" s="276">
        <f t="shared" si="36"/>
        <v>498.29445403167847</v>
      </c>
      <c r="W48" s="276">
        <f t="shared" si="37"/>
        <v>-1857.9912626715177</v>
      </c>
      <c r="X48" s="278">
        <f t="shared" si="38"/>
        <v>-3856.7141341875358</v>
      </c>
      <c r="Y48" s="279">
        <f ca="1">IF(AND(Y$22=TRUE,INDEX(CDRANGE_CLS2,MATCH($A48,$A$24:$A$67,0),MATCH(Y$20,$B$20:$G$20,0))&lt;$D$6/OPDAYS_Cls2),86,payback(C48,T48,disc_rate/12,85))</f>
        <v>6</v>
      </c>
      <c r="Z48" s="280">
        <f ca="1">IF(AND(Z$22=TRUE,INDEX(CDRANGE_CLS2,MATCH($A48,$A$24:$A$67,0),MATCH(Z$20,$B$20:$G$20,0))&lt;$D$6/OPDAYS_Cls2),86,payback(D48,U48,disc_rate/12,85))</f>
        <v>6</v>
      </c>
      <c r="AA48" s="280">
        <f ca="1">IF(AND(AA$22=TRUE,INDEX(CDRANGE_CLS2,MATCH($A48,$A$24:$A$67,0),MATCH(AA$20,$B$20:$G$20,0))&lt;$D$6/OPDAYS_Cls2),86,payback(E48,V48,disc_rate/12,85))</f>
        <v>81</v>
      </c>
      <c r="AB48" s="280">
        <f>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0.4995444744027997</v>
      </c>
      <c r="AJ48" s="286">
        <f t="shared" si="45"/>
        <v>0.4995444744027997</v>
      </c>
      <c r="AK48" s="286">
        <f t="shared" si="46"/>
        <v>0.4995444744027997</v>
      </c>
      <c r="AL48" s="286">
        <f t="shared" si="47"/>
        <v>0.30093738021312855</v>
      </c>
      <c r="AM48" s="287">
        <f t="shared" si="48"/>
        <v>3.2727421381663498E-4</v>
      </c>
      <c r="AN48" s="643">
        <f t="shared" si="60"/>
        <v>0.99374519890748736</v>
      </c>
      <c r="AO48" s="641">
        <f t="shared" si="60"/>
        <v>0.99329991717245192</v>
      </c>
      <c r="AP48" s="641">
        <f t="shared" si="60"/>
        <v>0.87167620254576139</v>
      </c>
      <c r="AQ48" s="641">
        <f t="shared" si="60"/>
        <v>0.68797104859774594</v>
      </c>
      <c r="AR48" s="642">
        <f t="shared" si="60"/>
        <v>0.93720030698511869</v>
      </c>
      <c r="AS48" s="282">
        <f t="shared" ca="1" si="50"/>
        <v>0.9990889488055994</v>
      </c>
      <c r="AT48" s="283">
        <f t="shared" ca="1" si="51"/>
        <v>0.9990889488055994</v>
      </c>
      <c r="AU48" s="283">
        <f t="shared" ca="1" si="52"/>
        <v>4.1950205166635179E-4</v>
      </c>
      <c r="AV48" s="283">
        <f t="shared" si="53"/>
        <v>0</v>
      </c>
      <c r="AW48" s="284">
        <f t="shared" ca="1" si="54"/>
        <v>0</v>
      </c>
      <c r="AX48" s="282">
        <f t="shared" ca="1" si="55"/>
        <v>0.99283984615709286</v>
      </c>
      <c r="AY48" s="283">
        <f t="shared" ca="1" si="56"/>
        <v>0.9923949700965139</v>
      </c>
      <c r="AZ48" s="283">
        <f t="shared" ca="1" si="57"/>
        <v>3.656699553566813E-4</v>
      </c>
      <c r="BA48" s="283">
        <f t="shared" si="61"/>
        <v>0</v>
      </c>
      <c r="BB48" s="284">
        <f t="shared" ca="1" si="62"/>
        <v>0</v>
      </c>
      <c r="BC48" s="282">
        <f t="shared" ca="1" si="63"/>
        <v>7.1601538429070244E-3</v>
      </c>
      <c r="BD48" s="283">
        <f t="shared" ca="1" si="64"/>
        <v>0.49643972539473996</v>
      </c>
      <c r="BE48" s="283">
        <f t="shared" ca="1" si="65"/>
        <v>0.49621727849134123</v>
      </c>
      <c r="BF48" s="283">
        <f t="shared" ca="1" si="66"/>
        <v>1.8284227101180876E-4</v>
      </c>
      <c r="BG48" s="283">
        <f t="shared" ca="1" si="67"/>
        <v>0</v>
      </c>
      <c r="BH48" s="284">
        <f t="shared" ca="1" si="68"/>
        <v>0</v>
      </c>
    </row>
    <row r="49" spans="1:60" x14ac:dyDescent="0.2">
      <c r="A49" s="317">
        <v>2032</v>
      </c>
      <c r="B49" s="820">
        <f t="shared" si="71"/>
        <v>141725.82999999999</v>
      </c>
      <c r="C49" s="821">
        <f t="shared" si="71"/>
        <v>6735.78</v>
      </c>
      <c r="D49" s="821">
        <f t="shared" si="71"/>
        <v>6972.2</v>
      </c>
      <c r="E49" s="821">
        <f t="shared" si="71"/>
        <v>28983.55</v>
      </c>
      <c r="F49" s="821">
        <f t="shared" si="71"/>
        <v>46658.06</v>
      </c>
      <c r="G49" s="822">
        <f t="shared" si="71"/>
        <v>19411.330000000002</v>
      </c>
      <c r="H49" s="984">
        <f t="shared" si="72"/>
        <v>1</v>
      </c>
      <c r="I49" s="985">
        <f t="shared" si="72"/>
        <v>1</v>
      </c>
      <c r="J49" s="985">
        <f t="shared" si="72"/>
        <v>1</v>
      </c>
      <c r="K49" s="985">
        <f t="shared" si="72"/>
        <v>0.84371159880589763</v>
      </c>
      <c r="L49" s="985">
        <f t="shared" si="72"/>
        <v>1</v>
      </c>
      <c r="M49" s="986">
        <f t="shared" si="72"/>
        <v>1</v>
      </c>
      <c r="N49" s="289">
        <f t="shared" si="28"/>
        <v>8373.1369669480846</v>
      </c>
      <c r="O49" s="290">
        <f t="shared" si="29"/>
        <v>7127.97573576171</v>
      </c>
      <c r="P49" s="290">
        <f t="shared" si="30"/>
        <v>7088.558208134069</v>
      </c>
      <c r="Q49" s="290">
        <f t="shared" si="31"/>
        <v>7710.6722574499236</v>
      </c>
      <c r="R49" s="290">
        <f t="shared" si="32"/>
        <v>10035.34956964519</v>
      </c>
      <c r="S49" s="292">
        <f t="shared" si="33"/>
        <v>11516.58758470734</v>
      </c>
      <c r="T49" s="289">
        <f t="shared" si="34"/>
        <v>1245.1612311863746</v>
      </c>
      <c r="U49" s="290">
        <f t="shared" si="35"/>
        <v>1284.5787588140156</v>
      </c>
      <c r="V49" s="290">
        <f t="shared" si="36"/>
        <v>662.46470949816103</v>
      </c>
      <c r="W49" s="290">
        <f t="shared" si="37"/>
        <v>-1662.2126026971055</v>
      </c>
      <c r="X49" s="292">
        <f t="shared" si="38"/>
        <v>-3143.4506177592557</v>
      </c>
      <c r="Y49" s="293">
        <f ca="1">IF(AND(Y$22=TRUE,INDEX(CDRANGE_CLS2,MATCH($A49,$A$24:$A$67,0),MATCH(Y$20,$B$20:$G$20,0))&lt;$D$6/OPDAYS_Cls2),86,payback(C49,T49,disc_rate/12,85))</f>
        <v>6</v>
      </c>
      <c r="Z49" s="294">
        <f ca="1">IF(AND(Z$22=TRUE,INDEX(CDRANGE_CLS2,MATCH($A49,$A$24:$A$67,0),MATCH(Z$20,$B$20:$G$20,0))&lt;$D$6/OPDAYS_Cls2),86,payback(D49,U49,disc_rate/12,85))</f>
        <v>6</v>
      </c>
      <c r="AA49" s="294">
        <f ca="1">IF(AND(AA$22=TRUE,INDEX(CDRANGE_CLS2,MATCH($A49,$A$24:$A$67,0),MATCH(AA$20,$B$20:$G$20,0))&lt;$D$6/OPDAYS_Cls2),86,payback(E49,V49,disc_rate/12,85))</f>
        <v>52</v>
      </c>
      <c r="AB49" s="294">
        <f>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0.49983232493476681</v>
      </c>
      <c r="AJ49" s="300">
        <f t="shared" si="45"/>
        <v>0.49983232493476681</v>
      </c>
      <c r="AK49" s="300">
        <f t="shared" si="46"/>
        <v>0.49983232493476681</v>
      </c>
      <c r="AL49" s="300">
        <f t="shared" si="47"/>
        <v>0.34467895175791513</v>
      </c>
      <c r="AM49" s="301">
        <f t="shared" si="48"/>
        <v>7.9909227560213318E-4</v>
      </c>
      <c r="AN49" s="299">
        <f t="shared" si="60"/>
        <v>0.99374519890748736</v>
      </c>
      <c r="AO49" s="300">
        <f t="shared" si="60"/>
        <v>0.99329991717245192</v>
      </c>
      <c r="AP49" s="300">
        <f t="shared" si="60"/>
        <v>0.89032179576672776</v>
      </c>
      <c r="AQ49" s="300">
        <f t="shared" si="60"/>
        <v>0.74003348312836037</v>
      </c>
      <c r="AR49" s="598">
        <f t="shared" si="60"/>
        <v>0.94922569997339845</v>
      </c>
      <c r="AS49" s="282">
        <f t="shared" ca="1" si="50"/>
        <v>0.99966464986953363</v>
      </c>
      <c r="AT49" s="283">
        <f t="shared" ca="1" si="51"/>
        <v>0.99966464986953363</v>
      </c>
      <c r="AU49" s="283">
        <f t="shared" ca="1" si="52"/>
        <v>3.9726472959716666E-2</v>
      </c>
      <c r="AV49" s="283">
        <f t="shared" si="53"/>
        <v>0</v>
      </c>
      <c r="AW49" s="284">
        <f t="shared" ca="1" si="54"/>
        <v>0</v>
      </c>
      <c r="AX49" s="296">
        <f t="shared" ca="1" si="55"/>
        <v>0.99341194632538343</v>
      </c>
      <c r="AY49" s="297">
        <f t="shared" ca="1" si="56"/>
        <v>0.9929668139156359</v>
      </c>
      <c r="AZ49" s="297">
        <f t="shared" ca="1" si="57"/>
        <v>3.5369344744973295E-2</v>
      </c>
      <c r="BA49" s="283">
        <f t="shared" si="61"/>
        <v>0</v>
      </c>
      <c r="BB49" s="284">
        <f t="shared" ca="1" si="62"/>
        <v>0</v>
      </c>
      <c r="BC49" s="282">
        <f t="shared" ca="1" si="63"/>
        <v>6.5880536746165674E-3</v>
      </c>
      <c r="BD49" s="283">
        <f t="shared" ca="1" si="64"/>
        <v>0.4881257426027481</v>
      </c>
      <c r="BE49" s="283">
        <f t="shared" ca="1" si="65"/>
        <v>0.48790702106545608</v>
      </c>
      <c r="BF49" s="283">
        <f t="shared" ca="1" si="66"/>
        <v>1.7379182657179162E-2</v>
      </c>
      <c r="BG49" s="283">
        <f t="shared" ca="1" si="67"/>
        <v>0</v>
      </c>
      <c r="BH49" s="284">
        <f t="shared" ca="1" si="68"/>
        <v>0</v>
      </c>
    </row>
    <row r="50" spans="1:60" x14ac:dyDescent="0.2">
      <c r="A50" s="317">
        <v>2033</v>
      </c>
      <c r="B50" s="820">
        <f t="shared" si="71"/>
        <v>141725.82999999999</v>
      </c>
      <c r="C50" s="821">
        <f t="shared" si="71"/>
        <v>6735.78</v>
      </c>
      <c r="D50" s="821">
        <f t="shared" si="71"/>
        <v>6972.2</v>
      </c>
      <c r="E50" s="821">
        <f t="shared" si="71"/>
        <v>26453.759999999998</v>
      </c>
      <c r="F50" s="821">
        <f t="shared" si="71"/>
        <v>41311.620000000003</v>
      </c>
      <c r="G50" s="822">
        <f t="shared" si="71"/>
        <v>17166.43</v>
      </c>
      <c r="H50" s="984">
        <f t="shared" si="72"/>
        <v>1</v>
      </c>
      <c r="I50" s="985">
        <f t="shared" si="72"/>
        <v>1</v>
      </c>
      <c r="J50" s="985">
        <f t="shared" si="72"/>
        <v>1</v>
      </c>
      <c r="K50" s="985">
        <f t="shared" si="72"/>
        <v>0.84345614997786222</v>
      </c>
      <c r="L50" s="985">
        <f t="shared" si="72"/>
        <v>1</v>
      </c>
      <c r="M50" s="986">
        <f t="shared" si="72"/>
        <v>1</v>
      </c>
      <c r="N50" s="289">
        <f t="shared" si="28"/>
        <v>8503.0649539035694</v>
      </c>
      <c r="O50" s="290">
        <f t="shared" si="29"/>
        <v>7238.5822554055212</v>
      </c>
      <c r="P50" s="290">
        <f t="shared" si="30"/>
        <v>7198.5530764892846</v>
      </c>
      <c r="Q50" s="290">
        <f t="shared" si="31"/>
        <v>7669.1444477724226</v>
      </c>
      <c r="R50" s="290">
        <f t="shared" si="32"/>
        <v>9957.8893997883133</v>
      </c>
      <c r="S50" s="292">
        <f t="shared" si="33"/>
        <v>10904.752962429449</v>
      </c>
      <c r="T50" s="289">
        <f t="shared" si="34"/>
        <v>1264.4826984980482</v>
      </c>
      <c r="U50" s="290">
        <f t="shared" si="35"/>
        <v>1304.5118774142848</v>
      </c>
      <c r="V50" s="290">
        <f t="shared" si="36"/>
        <v>833.92050613114679</v>
      </c>
      <c r="W50" s="290">
        <f t="shared" si="37"/>
        <v>-1454.8244458847439</v>
      </c>
      <c r="X50" s="292">
        <f t="shared" si="38"/>
        <v>-2401.6880085258799</v>
      </c>
      <c r="Y50" s="293">
        <f ca="1">IF(AND(Y$22=TRUE,INDEX(CDRANGE_CLS2,MATCH($A50,$A$24:$A$67,0),MATCH(Y$20,$B$20:$G$20,0))&lt;$D$6/OPDAYS_Cls2),86,payback(C50,T50,disc_rate/12,85))</f>
        <v>6</v>
      </c>
      <c r="Z50" s="294">
        <f ca="1">IF(AND(Z$22=TRUE,INDEX(CDRANGE_CLS2,MATCH($A50,$A$24:$A$67,0),MATCH(Z$20,$B$20:$G$20,0))&lt;$D$6/OPDAYS_Cls2),86,payback(D50,U50,disc_rate/12,85))</f>
        <v>6</v>
      </c>
      <c r="AA50" s="294">
        <f ca="1">IF(AND(AA$22=TRUE,INDEX(CDRANGE_CLS2,MATCH($A50,$A$24:$A$67,0),MATCH(AA$20,$B$20:$G$20,0))&lt;$D$6/OPDAYS_Cls2),86,payback(E50,V50,disc_rate/12,85))</f>
        <v>36</v>
      </c>
      <c r="AB50" s="294">
        <f>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0.49993830271200684</v>
      </c>
      <c r="AJ50" s="300">
        <f t="shared" si="45"/>
        <v>0.49993830271200684</v>
      </c>
      <c r="AK50" s="300">
        <f t="shared" si="46"/>
        <v>0.49993830271200684</v>
      </c>
      <c r="AL50" s="300">
        <f t="shared" si="47"/>
        <v>0.37168647485669287</v>
      </c>
      <c r="AM50" s="301">
        <f t="shared" si="48"/>
        <v>1.1697648133383034E-3</v>
      </c>
      <c r="AN50" s="299">
        <f t="shared" si="60"/>
        <v>0.99374519890748736</v>
      </c>
      <c r="AO50" s="300">
        <f t="shared" si="60"/>
        <v>0.99329991717245192</v>
      </c>
      <c r="AP50" s="300">
        <f t="shared" si="60"/>
        <v>0.90775797997488383</v>
      </c>
      <c r="AQ50" s="300">
        <f t="shared" si="60"/>
        <v>0.78976697011126062</v>
      </c>
      <c r="AR50" s="598">
        <f t="shared" si="60"/>
        <v>0.96006624869588109</v>
      </c>
      <c r="AS50" s="282">
        <f t="shared" ca="1" si="50"/>
        <v>0.99987660542401369</v>
      </c>
      <c r="AT50" s="283">
        <f t="shared" ca="1" si="51"/>
        <v>0.99987660542401369</v>
      </c>
      <c r="AU50" s="283">
        <f t="shared" ca="1" si="52"/>
        <v>0.22437776804796766</v>
      </c>
      <c r="AV50" s="283">
        <f t="shared" si="53"/>
        <v>0</v>
      </c>
      <c r="AW50" s="284">
        <f t="shared" ca="1" si="54"/>
        <v>0</v>
      </c>
      <c r="AX50" s="296">
        <f t="shared" ca="1" si="55"/>
        <v>0.99362257614002969</v>
      </c>
      <c r="AY50" s="297">
        <f t="shared" ca="1" si="56"/>
        <v>0.99317734935034518</v>
      </c>
      <c r="AZ50" s="297">
        <f t="shared" ca="1" si="57"/>
        <v>0.20368070947449615</v>
      </c>
      <c r="BA50" s="283">
        <f t="shared" si="61"/>
        <v>0</v>
      </c>
      <c r="BB50" s="284">
        <f t="shared" ca="1" si="62"/>
        <v>0</v>
      </c>
      <c r="BC50" s="282">
        <f t="shared" ca="1" si="63"/>
        <v>6.3774238599704214E-3</v>
      </c>
      <c r="BD50" s="283">
        <f t="shared" ca="1" si="64"/>
        <v>0.450716526800513</v>
      </c>
      <c r="BE50" s="283">
        <f t="shared" ca="1" si="65"/>
        <v>0.45051456774975884</v>
      </c>
      <c r="BF50" s="283">
        <f t="shared" ca="1" si="66"/>
        <v>9.2391481589757782E-2</v>
      </c>
      <c r="BG50" s="283">
        <f t="shared" ca="1" si="67"/>
        <v>0</v>
      </c>
      <c r="BH50" s="284">
        <f t="shared" ca="1" si="68"/>
        <v>0</v>
      </c>
    </row>
    <row r="51" spans="1:60" x14ac:dyDescent="0.2">
      <c r="A51" s="317">
        <v>2034</v>
      </c>
      <c r="B51" s="820">
        <f t="shared" si="71"/>
        <v>141725.82999999999</v>
      </c>
      <c r="C51" s="821">
        <f t="shared" si="71"/>
        <v>6735.78</v>
      </c>
      <c r="D51" s="821">
        <f t="shared" si="71"/>
        <v>6972.2</v>
      </c>
      <c r="E51" s="821">
        <f t="shared" si="71"/>
        <v>23923.97</v>
      </c>
      <c r="F51" s="821">
        <f t="shared" si="71"/>
        <v>35965.17</v>
      </c>
      <c r="G51" s="822">
        <f t="shared" si="71"/>
        <v>14921.53</v>
      </c>
      <c r="H51" s="984">
        <f t="shared" si="72"/>
        <v>1</v>
      </c>
      <c r="I51" s="985">
        <f t="shared" si="72"/>
        <v>1</v>
      </c>
      <c r="J51" s="985">
        <f t="shared" si="72"/>
        <v>1</v>
      </c>
      <c r="K51" s="985">
        <f t="shared" si="72"/>
        <v>0.84320070114982693</v>
      </c>
      <c r="L51" s="985">
        <f t="shared" si="72"/>
        <v>1</v>
      </c>
      <c r="M51" s="986">
        <f t="shared" si="72"/>
        <v>1</v>
      </c>
      <c r="N51" s="289">
        <f t="shared" si="28"/>
        <v>8566.8591256864074</v>
      </c>
      <c r="O51" s="290">
        <f t="shared" si="29"/>
        <v>7292.8896566036683</v>
      </c>
      <c r="P51" s="290">
        <f t="shared" si="30"/>
        <v>7252.5601591164286</v>
      </c>
      <c r="Q51" s="290">
        <f t="shared" si="31"/>
        <v>7577.0517575113754</v>
      </c>
      <c r="R51" s="290">
        <f t="shared" si="32"/>
        <v>9850.6416561050646</v>
      </c>
      <c r="S51" s="292">
        <f t="shared" si="33"/>
        <v>10316.179827990971</v>
      </c>
      <c r="T51" s="289">
        <f t="shared" si="34"/>
        <v>1273.9694690827391</v>
      </c>
      <c r="U51" s="290">
        <f t="shared" si="35"/>
        <v>1314.2989665699788</v>
      </c>
      <c r="V51" s="290">
        <f t="shared" si="36"/>
        <v>989.80736817503202</v>
      </c>
      <c r="W51" s="290">
        <f t="shared" si="37"/>
        <v>-1283.7825304186572</v>
      </c>
      <c r="X51" s="292">
        <f t="shared" si="38"/>
        <v>-1749.3207023045634</v>
      </c>
      <c r="Y51" s="293">
        <f ca="1">IF(AND(Y$22=TRUE,INDEX(CDRANGE_CLS2,MATCH($A51,$A$24:$A$67,0),MATCH(Y$20,$B$20:$G$20,0))&lt;$D$6/OPDAYS_Cls2),86,payback(C51,T51,disc_rate/12,85))</f>
        <v>6</v>
      </c>
      <c r="Z51" s="294">
        <f ca="1">IF(AND(Z$22=TRUE,INDEX(CDRANGE_CLS2,MATCH($A51,$A$24:$A$67,0),MATCH(Z$20,$B$20:$G$20,0))&lt;$D$6/OPDAYS_Cls2),86,payback(D51,U51,disc_rate/12,85))</f>
        <v>6</v>
      </c>
      <c r="AA51" s="294">
        <f ca="1">IF(AND(AA$22=TRUE,INDEX(CDRANGE_CLS2,MATCH($A51,$A$24:$A$67,0),MATCH(AA$20,$B$20:$G$20,0))&lt;$D$6/OPDAYS_Cls2),86,payback(E51,V51,disc_rate/12,85))</f>
        <v>27</v>
      </c>
      <c r="AB51" s="294">
        <f>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0.4999773010656488</v>
      </c>
      <c r="AJ51" s="300">
        <f t="shared" si="45"/>
        <v>0.4999773010656488</v>
      </c>
      <c r="AK51" s="300">
        <f t="shared" si="46"/>
        <v>0.4999773010656488</v>
      </c>
      <c r="AL51" s="300">
        <f t="shared" si="47"/>
        <v>0.39632486519556798</v>
      </c>
      <c r="AM51" s="301">
        <f t="shared" si="48"/>
        <v>2.2795637746865363E-3</v>
      </c>
      <c r="AN51" s="299">
        <f t="shared" si="60"/>
        <v>0.99374519890748736</v>
      </c>
      <c r="AO51" s="300">
        <f t="shared" si="60"/>
        <v>0.99329991717245192</v>
      </c>
      <c r="AP51" s="300">
        <f t="shared" si="60"/>
        <v>0.92389879296407074</v>
      </c>
      <c r="AQ51" s="300">
        <f t="shared" si="60"/>
        <v>0.83620557344943125</v>
      </c>
      <c r="AR51" s="598">
        <f t="shared" si="60"/>
        <v>0.96967804963336635</v>
      </c>
      <c r="AS51" s="282">
        <f t="shared" ca="1" si="50"/>
        <v>0.99995460213129761</v>
      </c>
      <c r="AT51" s="283">
        <f t="shared" ca="1" si="51"/>
        <v>0.99995460213129761</v>
      </c>
      <c r="AU51" s="283">
        <f t="shared" ca="1" si="52"/>
        <v>0.45548482775499993</v>
      </c>
      <c r="AV51" s="283">
        <f t="shared" si="53"/>
        <v>0</v>
      </c>
      <c r="AW51" s="284">
        <f t="shared" ca="1" si="54"/>
        <v>0</v>
      </c>
      <c r="AX51" s="296">
        <f t="shared" ca="1" si="55"/>
        <v>0.99370008499342377</v>
      </c>
      <c r="AY51" s="297">
        <f t="shared" ca="1" si="56"/>
        <v>0.99325482347323002</v>
      </c>
      <c r="AZ51" s="297">
        <f t="shared" ca="1" si="57"/>
        <v>0.42082188257629211</v>
      </c>
      <c r="BA51" s="283">
        <f t="shared" si="61"/>
        <v>0</v>
      </c>
      <c r="BB51" s="284">
        <f t="shared" ca="1" si="62"/>
        <v>0</v>
      </c>
      <c r="BC51" s="282">
        <f t="shared" ca="1" si="63"/>
        <v>6.2999150065762288E-3</v>
      </c>
      <c r="BD51" s="283">
        <f t="shared" ca="1" si="64"/>
        <v>0.4101044011177718</v>
      </c>
      <c r="BE51" s="283">
        <f t="shared" ca="1" si="65"/>
        <v>0.40992063972755205</v>
      </c>
      <c r="BF51" s="283">
        <f t="shared" ca="1" si="66"/>
        <v>0.17367504414809998</v>
      </c>
      <c r="BG51" s="283">
        <f t="shared" ca="1" si="67"/>
        <v>0</v>
      </c>
      <c r="BH51" s="284">
        <f t="shared" ca="1" si="68"/>
        <v>0</v>
      </c>
    </row>
    <row r="52" spans="1:60" ht="13.5" thickBot="1" x14ac:dyDescent="0.25">
      <c r="A52" s="302">
        <v>2035</v>
      </c>
      <c r="B52" s="823">
        <f t="shared" si="71"/>
        <v>141725.82999999999</v>
      </c>
      <c r="C52" s="824">
        <f t="shared" si="71"/>
        <v>6735.78</v>
      </c>
      <c r="D52" s="824">
        <f t="shared" si="71"/>
        <v>6972.2</v>
      </c>
      <c r="E52" s="824">
        <f t="shared" si="71"/>
        <v>21394.18</v>
      </c>
      <c r="F52" s="824">
        <f t="shared" si="71"/>
        <v>30618.720000000001</v>
      </c>
      <c r="G52" s="825">
        <f t="shared" si="71"/>
        <v>12676.64</v>
      </c>
      <c r="H52" s="978">
        <f t="shared" si="72"/>
        <v>1</v>
      </c>
      <c r="I52" s="979">
        <f t="shared" si="72"/>
        <v>1</v>
      </c>
      <c r="J52" s="979">
        <f t="shared" si="72"/>
        <v>1</v>
      </c>
      <c r="K52" s="979">
        <f t="shared" si="72"/>
        <v>0.84294525232179152</v>
      </c>
      <c r="L52" s="979">
        <f t="shared" si="72"/>
        <v>1</v>
      </c>
      <c r="M52" s="980">
        <f t="shared" si="72"/>
        <v>1</v>
      </c>
      <c r="N52" s="303">
        <f t="shared" si="28"/>
        <v>8638.7599851703344</v>
      </c>
      <c r="O52" s="304">
        <f t="shared" si="29"/>
        <v>7354.0982076885139</v>
      </c>
      <c r="P52" s="304">
        <f t="shared" si="30"/>
        <v>7313.4302284439182</v>
      </c>
      <c r="Q52" s="304">
        <f t="shared" si="31"/>
        <v>7477.798242329528</v>
      </c>
      <c r="R52" s="304">
        <f t="shared" si="32"/>
        <v>9634.9766134416604</v>
      </c>
      <c r="S52" s="306">
        <f t="shared" si="33"/>
        <v>9788.7444374252154</v>
      </c>
      <c r="T52" s="303">
        <f t="shared" si="34"/>
        <v>1284.6617774818205</v>
      </c>
      <c r="U52" s="304">
        <f t="shared" si="35"/>
        <v>1325.3297567264162</v>
      </c>
      <c r="V52" s="304">
        <f t="shared" si="36"/>
        <v>1160.9617428408064</v>
      </c>
      <c r="W52" s="304">
        <f t="shared" si="37"/>
        <v>-996.21662827132604</v>
      </c>
      <c r="X52" s="306">
        <f t="shared" si="38"/>
        <v>-1149.984452254881</v>
      </c>
      <c r="Y52" s="307">
        <f ca="1">IF(AND(Y$22=TRUE,INDEX(CDRANGE_CLS2,MATCH($A52,$A$24:$A$67,0),MATCH(Y$20,$B$20:$G$20,0))&lt;$D$6/OPDAYS_Cls2),86,payback(C52,T52,disc_rate/12,85))</f>
        <v>6</v>
      </c>
      <c r="Z52" s="308">
        <f ca="1">IF(AND(Z$22=TRUE,INDEX(CDRANGE_CLS2,MATCH($A52,$A$24:$A$67,0),MATCH(Z$20,$B$20:$G$20,0))&lt;$D$6/OPDAYS_Cls2),86,payback(D52,U52,disc_rate/12,85))</f>
        <v>6</v>
      </c>
      <c r="AA52" s="308">
        <f ca="1">IF(AND(AA$22=TRUE,INDEX(CDRANGE_CLS2,MATCH($A52,$A$24:$A$67,0),MATCH(AA$20,$B$20:$G$20,0))&lt;$D$6/OPDAYS_Cls2),86,payback(E52,V52,disc_rate/12,85))</f>
        <v>20</v>
      </c>
      <c r="AB52" s="308">
        <f>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0.49999164928907602</v>
      </c>
      <c r="AJ52" s="314">
        <f t="shared" si="45"/>
        <v>0.49999164928907602</v>
      </c>
      <c r="AK52" s="314">
        <f t="shared" si="46"/>
        <v>0.49999164928907602</v>
      </c>
      <c r="AL52" s="314">
        <f t="shared" si="47"/>
        <v>0.42805300184955236</v>
      </c>
      <c r="AM52" s="315">
        <f t="shared" si="48"/>
        <v>3.063803101141209E-3</v>
      </c>
      <c r="AN52" s="313">
        <f t="shared" si="60"/>
        <v>0.99374519890748736</v>
      </c>
      <c r="AO52" s="314">
        <f t="shared" si="60"/>
        <v>0.99329991717245192</v>
      </c>
      <c r="AP52" s="314">
        <f t="shared" si="60"/>
        <v>0.93866360297126727</v>
      </c>
      <c r="AQ52" s="314">
        <f t="shared" si="60"/>
        <v>0.8784025499636815</v>
      </c>
      <c r="AR52" s="599">
        <f t="shared" si="60"/>
        <v>0.97802185611245773</v>
      </c>
      <c r="AS52" s="830">
        <f t="shared" ca="1" si="50"/>
        <v>0.99998329857815205</v>
      </c>
      <c r="AT52" s="831">
        <f t="shared" ca="1" si="51"/>
        <v>0.99998329857815205</v>
      </c>
      <c r="AU52" s="831">
        <f t="shared" ca="1" si="52"/>
        <v>0.68452759710620825</v>
      </c>
      <c r="AV52" s="831">
        <f t="shared" si="53"/>
        <v>0</v>
      </c>
      <c r="AW52" s="832">
        <f t="shared" ca="1" si="54"/>
        <v>0</v>
      </c>
      <c r="AX52" s="310">
        <f t="shared" ca="1" si="55"/>
        <v>0.99372860194971102</v>
      </c>
      <c r="AY52" s="311">
        <f t="shared" ca="1" si="56"/>
        <v>0.99328332765151373</v>
      </c>
      <c r="AZ52" s="311">
        <f t="shared" ca="1" si="57"/>
        <v>0.64254114063297751</v>
      </c>
      <c r="BA52" s="311">
        <f t="shared" si="61"/>
        <v>0</v>
      </c>
      <c r="BB52" s="312">
        <f t="shared" ca="1" si="62"/>
        <v>0</v>
      </c>
      <c r="BC52" s="310">
        <f t="shared" ca="1" si="63"/>
        <v>6.2713980502888678E-3</v>
      </c>
      <c r="BD52" s="311">
        <f t="shared" ca="1" si="64"/>
        <v>0.37553778454259357</v>
      </c>
      <c r="BE52" s="311">
        <f t="shared" ca="1" si="65"/>
        <v>0.37536951191450313</v>
      </c>
      <c r="BF52" s="311">
        <f t="shared" ca="1" si="66"/>
        <v>0.24282130549261444</v>
      </c>
      <c r="BG52" s="311">
        <f t="shared" ca="1" si="67"/>
        <v>0</v>
      </c>
      <c r="BH52" s="312">
        <f t="shared" ca="1" si="68"/>
        <v>0</v>
      </c>
    </row>
    <row r="53" spans="1:60" x14ac:dyDescent="0.2">
      <c r="A53" s="316">
        <v>2036</v>
      </c>
      <c r="B53" s="826">
        <f t="shared" si="71"/>
        <v>141725.82999999999</v>
      </c>
      <c r="C53" s="827">
        <f t="shared" si="71"/>
        <v>6735.78</v>
      </c>
      <c r="D53" s="827">
        <f t="shared" si="71"/>
        <v>6972.2</v>
      </c>
      <c r="E53" s="827">
        <f t="shared" si="71"/>
        <v>21247.83</v>
      </c>
      <c r="F53" s="827">
        <f t="shared" si="71"/>
        <v>30039.75</v>
      </c>
      <c r="G53" s="828">
        <f t="shared" si="71"/>
        <v>12143.89</v>
      </c>
      <c r="H53" s="981">
        <f t="shared" si="72"/>
        <v>1</v>
      </c>
      <c r="I53" s="982">
        <f t="shared" si="72"/>
        <v>1</v>
      </c>
      <c r="J53" s="982">
        <f t="shared" si="72"/>
        <v>1</v>
      </c>
      <c r="K53" s="982">
        <f t="shared" si="72"/>
        <v>0.84284272171022323</v>
      </c>
      <c r="L53" s="982">
        <f t="shared" si="72"/>
        <v>1</v>
      </c>
      <c r="M53" s="983">
        <f t="shared" si="72"/>
        <v>1</v>
      </c>
      <c r="N53" s="275">
        <f t="shared" si="28"/>
        <v>8722.3544525773323</v>
      </c>
      <c r="O53" s="276">
        <f t="shared" si="29"/>
        <v>7425.2614213888355</v>
      </c>
      <c r="P53" s="276">
        <f t="shared" si="30"/>
        <v>7384.1999113514757</v>
      </c>
      <c r="Q53" s="276">
        <f t="shared" si="31"/>
        <v>7477.947033930669</v>
      </c>
      <c r="R53" s="276">
        <f t="shared" si="32"/>
        <v>9519.0123178959439</v>
      </c>
      <c r="S53" s="278">
        <f t="shared" si="33"/>
        <v>9393.6814278702459</v>
      </c>
      <c r="T53" s="275">
        <f t="shared" si="34"/>
        <v>1297.0930311884968</v>
      </c>
      <c r="U53" s="276">
        <f t="shared" si="35"/>
        <v>1338.1545412258565</v>
      </c>
      <c r="V53" s="276">
        <f t="shared" si="36"/>
        <v>1244.4074186466632</v>
      </c>
      <c r="W53" s="276">
        <f t="shared" si="37"/>
        <v>-796.65786531861158</v>
      </c>
      <c r="X53" s="278">
        <f t="shared" si="38"/>
        <v>-671.32697529291363</v>
      </c>
      <c r="Y53" s="279">
        <f ca="1">IF(AND(Y$22=TRUE,INDEX(CDRANGE_CLS2,MATCH($A53,$A$24:$A$67,0),MATCH(Y$20,$B$20:$G$20,0))&lt;$D$6/OPDAYS_Cls2),86,payback(C53,T53,disc_rate/12,85))</f>
        <v>6</v>
      </c>
      <c r="Z53" s="280">
        <f ca="1">IF(AND(Z$22=TRUE,INDEX(CDRANGE_CLS2,MATCH($A53,$A$24:$A$67,0),MATCH(Z$20,$B$20:$G$20,0))&lt;$D$6/OPDAYS_Cls2),86,payback(D53,U53,disc_rate/12,85))</f>
        <v>6</v>
      </c>
      <c r="AA53" s="280">
        <f ca="1">IF(AND(AA$22=TRUE,INDEX(CDRANGE_CLS2,MATCH($A53,$A$24:$A$67,0),MATCH(AA$20,$B$20:$G$20,0))&lt;$D$6/OPDAYS_Cls2),86,payback(E53,V53,disc_rate/12,85))</f>
        <v>19</v>
      </c>
      <c r="AB53" s="280">
        <f>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0.4999969279126989</v>
      </c>
      <c r="AJ53" s="286">
        <f t="shared" si="45"/>
        <v>0.4999969279126989</v>
      </c>
      <c r="AK53" s="286">
        <f t="shared" si="46"/>
        <v>0.4999969279126989</v>
      </c>
      <c r="AL53" s="286">
        <f t="shared" si="47"/>
        <v>0.4454387621512283</v>
      </c>
      <c r="AM53" s="287">
        <f t="shared" si="48"/>
        <v>5.21545598989625E-3</v>
      </c>
      <c r="AN53" s="285">
        <f t="shared" si="60"/>
        <v>0.99374519890748736</v>
      </c>
      <c r="AO53" s="286">
        <f t="shared" si="60"/>
        <v>0.99329991717245192</v>
      </c>
      <c r="AP53" s="286">
        <f t="shared" si="60"/>
        <v>0.9394740549251035</v>
      </c>
      <c r="AQ53" s="286">
        <f t="shared" si="60"/>
        <v>0.88267912051781494</v>
      </c>
      <c r="AR53" s="611">
        <f t="shared" si="60"/>
        <v>0.97981196603758702</v>
      </c>
      <c r="AS53" s="637">
        <f t="shared" ca="1" si="50"/>
        <v>0.99999385582539779</v>
      </c>
      <c r="AT53" s="638">
        <f t="shared" ca="1" si="51"/>
        <v>0.99999385582539779</v>
      </c>
      <c r="AU53" s="638">
        <f t="shared" ca="1" si="52"/>
        <v>0.71771336010632658</v>
      </c>
      <c r="AV53" s="638">
        <f t="shared" si="53"/>
        <v>0</v>
      </c>
      <c r="AW53" s="639">
        <f t="shared" ca="1" si="54"/>
        <v>0</v>
      </c>
      <c r="AX53" s="282">
        <f t="shared" ca="1" si="55"/>
        <v>0.9937390931634752</v>
      </c>
      <c r="AY53" s="283">
        <f t="shared" ca="1" si="56"/>
        <v>0.99329381416432849</v>
      </c>
      <c r="AZ53" s="283">
        <f t="shared" ca="1" si="57"/>
        <v>0.67427308069301162</v>
      </c>
      <c r="BA53" s="283">
        <f t="shared" si="61"/>
        <v>0</v>
      </c>
      <c r="BB53" s="284">
        <f t="shared" ca="1" si="62"/>
        <v>0</v>
      </c>
      <c r="BC53" s="282">
        <f t="shared" ca="1" si="63"/>
        <v>6.2609068365246934E-3</v>
      </c>
      <c r="BD53" s="283">
        <f t="shared" ca="1" si="64"/>
        <v>0.37106495447213578</v>
      </c>
      <c r="BE53" s="283">
        <f t="shared" ca="1" si="65"/>
        <v>0.37089868604948589</v>
      </c>
      <c r="BF53" s="283">
        <f t="shared" ca="1" si="66"/>
        <v>0.25177545264185358</v>
      </c>
      <c r="BG53" s="283">
        <f t="shared" ca="1" si="67"/>
        <v>0</v>
      </c>
      <c r="BH53" s="284">
        <f t="shared" ca="1" si="68"/>
        <v>0</v>
      </c>
    </row>
    <row r="54" spans="1:60" x14ac:dyDescent="0.2">
      <c r="A54" s="317">
        <v>2037</v>
      </c>
      <c r="B54" s="820">
        <f t="shared" ref="B54:G67" si="73">ROUND(INDEX(COST_Cls2,$A54-($A$24-1),MATCH(B$20,TECHOPTS_Cls2,0)),2)</f>
        <v>141725.82999999999</v>
      </c>
      <c r="C54" s="821">
        <f t="shared" si="73"/>
        <v>6735.78</v>
      </c>
      <c r="D54" s="821">
        <f t="shared" si="73"/>
        <v>6972.2</v>
      </c>
      <c r="E54" s="821">
        <f t="shared" si="73"/>
        <v>21101.47</v>
      </c>
      <c r="F54" s="821">
        <f t="shared" si="73"/>
        <v>29460.78</v>
      </c>
      <c r="G54" s="822">
        <f t="shared" si="73"/>
        <v>11611.15</v>
      </c>
      <c r="H54" s="984">
        <f t="shared" ref="H54:M67" si="74">IF(H$21="Single-fuel",1,1-MIN(INDEX(CDRANGE_CLS2,$A54-($A$24-1),MATCH(H$20,TECHOPTS_Cls2,0))*OPDAYS_Cls2/$D$6,1))</f>
        <v>1</v>
      </c>
      <c r="I54" s="985">
        <f t="shared" si="74"/>
        <v>1</v>
      </c>
      <c r="J54" s="985">
        <f t="shared" si="74"/>
        <v>1</v>
      </c>
      <c r="K54" s="985">
        <f t="shared" si="74"/>
        <v>0.84274019109865506</v>
      </c>
      <c r="L54" s="985">
        <f t="shared" si="74"/>
        <v>1</v>
      </c>
      <c r="M54" s="986">
        <f t="shared" si="74"/>
        <v>1</v>
      </c>
      <c r="N54" s="289">
        <f t="shared" si="28"/>
        <v>8781.6036001024077</v>
      </c>
      <c r="O54" s="290">
        <f t="shared" si="29"/>
        <v>7475.6996845619324</v>
      </c>
      <c r="P54" s="290">
        <f t="shared" si="30"/>
        <v>7434.3592521901237</v>
      </c>
      <c r="Q54" s="290">
        <f t="shared" si="31"/>
        <v>7464.4991030623614</v>
      </c>
      <c r="R54" s="290">
        <f t="shared" si="32"/>
        <v>9427.2127934837499</v>
      </c>
      <c r="S54" s="292">
        <f t="shared" si="33"/>
        <v>9068.6287600477172</v>
      </c>
      <c r="T54" s="289">
        <f t="shared" si="34"/>
        <v>1305.9039155404753</v>
      </c>
      <c r="U54" s="290">
        <f t="shared" si="35"/>
        <v>1347.244347912284</v>
      </c>
      <c r="V54" s="290">
        <f t="shared" si="36"/>
        <v>1317.1044970400462</v>
      </c>
      <c r="W54" s="290">
        <f t="shared" si="37"/>
        <v>-645.60919338134227</v>
      </c>
      <c r="X54" s="292">
        <f t="shared" si="38"/>
        <v>-287.0251599453095</v>
      </c>
      <c r="Y54" s="293">
        <f ca="1">IF(AND(Y$22=TRUE,INDEX(CDRANGE_CLS2,MATCH($A54,$A$24:$A$67,0),MATCH(Y$20,$B$20:$G$20,0))&lt;$D$6/OPDAYS_Cls2),86,payback(C54,T54,disc_rate/12,85))</f>
        <v>6</v>
      </c>
      <c r="Z54" s="294">
        <f ca="1">IF(AND(Z$22=TRUE,INDEX(CDRANGE_CLS2,MATCH($A54,$A$24:$A$67,0),MATCH(Z$20,$B$20:$G$20,0))&lt;$D$6/OPDAYS_Cls2),86,payback(D54,U54,disc_rate/12,85))</f>
        <v>6</v>
      </c>
      <c r="AA54" s="294">
        <f ca="1">IF(AND(AA$22=TRUE,INDEX(CDRANGE_CLS2,MATCH($A54,$A$24:$A$67,0),MATCH(AA$20,$B$20:$G$20,0))&lt;$D$6/OPDAYS_Cls2),86,payback(E54,V54,disc_rate/12,85))</f>
        <v>17</v>
      </c>
      <c r="AB54" s="294">
        <f>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0.49999886983785102</v>
      </c>
      <c r="AJ54" s="300">
        <f t="shared" si="45"/>
        <v>0.49999886983785102</v>
      </c>
      <c r="AK54" s="300">
        <f t="shared" si="46"/>
        <v>0.49999886983785102</v>
      </c>
      <c r="AL54" s="300">
        <f t="shared" si="47"/>
        <v>0.46586632654011367</v>
      </c>
      <c r="AM54" s="301">
        <f t="shared" si="48"/>
        <v>8.3279266410674832E-3</v>
      </c>
      <c r="AN54" s="299">
        <f t="shared" si="60"/>
        <v>0.99374519890748736</v>
      </c>
      <c r="AO54" s="300">
        <f t="shared" si="60"/>
        <v>0.99329991717245192</v>
      </c>
      <c r="AP54" s="300">
        <f t="shared" si="60"/>
        <v>0.94027969127821909</v>
      </c>
      <c r="AQ54" s="300">
        <f t="shared" si="60"/>
        <v>0.88689428126154379</v>
      </c>
      <c r="AR54" s="598">
        <f t="shared" si="60"/>
        <v>0.98152826675521443</v>
      </c>
      <c r="AS54" s="282">
        <f t="shared" ca="1" si="50"/>
        <v>0.99999773967570205</v>
      </c>
      <c r="AT54" s="283">
        <f t="shared" ca="1" si="51"/>
        <v>0.99999773967570205</v>
      </c>
      <c r="AU54" s="283">
        <f t="shared" ca="1" si="52"/>
        <v>0.78227830120026642</v>
      </c>
      <c r="AV54" s="283">
        <f t="shared" si="53"/>
        <v>0</v>
      </c>
      <c r="AW54" s="284">
        <f t="shared" ca="1" si="54"/>
        <v>0</v>
      </c>
      <c r="AX54" s="296">
        <f t="shared" ca="1" si="55"/>
        <v>0.99374295272106827</v>
      </c>
      <c r="AY54" s="297">
        <f t="shared" ca="1" si="56"/>
        <v>0.99329767199251395</v>
      </c>
      <c r="AZ54" s="297">
        <f t="shared" ca="1" si="57"/>
        <v>0.7355603995462362</v>
      </c>
      <c r="BA54" s="283">
        <f t="shared" si="61"/>
        <v>0</v>
      </c>
      <c r="BB54" s="284">
        <f t="shared" ca="1" si="62"/>
        <v>0</v>
      </c>
      <c r="BC54" s="282">
        <f t="shared" ca="1" si="63"/>
        <v>6.2570472789316156E-3</v>
      </c>
      <c r="BD54" s="283">
        <f t="shared" ca="1" si="64"/>
        <v>0.36271383404450952</v>
      </c>
      <c r="BE54" s="283">
        <f t="shared" ca="1" si="65"/>
        <v>0.36255130762876203</v>
      </c>
      <c r="BF54" s="283">
        <f t="shared" ca="1" si="66"/>
        <v>0.26847781104779678</v>
      </c>
      <c r="BG54" s="283">
        <f t="shared" ca="1" si="67"/>
        <v>0</v>
      </c>
      <c r="BH54" s="284">
        <f t="shared" ca="1" si="68"/>
        <v>0</v>
      </c>
    </row>
    <row r="55" spans="1:60" x14ac:dyDescent="0.2">
      <c r="A55" s="317">
        <v>2038</v>
      </c>
      <c r="B55" s="820">
        <f t="shared" si="73"/>
        <v>141725.82999999999</v>
      </c>
      <c r="C55" s="821">
        <f t="shared" si="73"/>
        <v>6735.78</v>
      </c>
      <c r="D55" s="821">
        <f t="shared" si="73"/>
        <v>6972.2</v>
      </c>
      <c r="E55" s="821">
        <f t="shared" si="73"/>
        <v>20955.12</v>
      </c>
      <c r="F55" s="821">
        <f t="shared" si="73"/>
        <v>28881.82</v>
      </c>
      <c r="G55" s="822">
        <f t="shared" si="73"/>
        <v>11078.4</v>
      </c>
      <c r="H55" s="984">
        <f t="shared" si="74"/>
        <v>1</v>
      </c>
      <c r="I55" s="985">
        <f t="shared" si="74"/>
        <v>1</v>
      </c>
      <c r="J55" s="985">
        <f t="shared" si="74"/>
        <v>1</v>
      </c>
      <c r="K55" s="985">
        <f t="shared" si="74"/>
        <v>0.84263766048708677</v>
      </c>
      <c r="L55" s="985">
        <f t="shared" si="74"/>
        <v>1</v>
      </c>
      <c r="M55" s="986">
        <f t="shared" si="74"/>
        <v>1</v>
      </c>
      <c r="N55" s="289">
        <f t="shared" si="28"/>
        <v>8855.7978948772979</v>
      </c>
      <c r="O55" s="290">
        <f t="shared" si="29"/>
        <v>7538.8606163578597</v>
      </c>
      <c r="P55" s="290">
        <f t="shared" si="30"/>
        <v>7497.1709056121699</v>
      </c>
      <c r="Q55" s="290">
        <f t="shared" si="31"/>
        <v>7458.0867571054023</v>
      </c>
      <c r="R55" s="290">
        <f t="shared" si="32"/>
        <v>9313.2100243559853</v>
      </c>
      <c r="S55" s="292">
        <f t="shared" si="33"/>
        <v>8769.0639313486517</v>
      </c>
      <c r="T55" s="289">
        <f t="shared" si="34"/>
        <v>1316.9372785194382</v>
      </c>
      <c r="U55" s="290">
        <f t="shared" si="35"/>
        <v>1358.626989265128</v>
      </c>
      <c r="V55" s="290">
        <f t="shared" si="36"/>
        <v>1397.7111377718957</v>
      </c>
      <c r="W55" s="290">
        <f t="shared" si="37"/>
        <v>-457.41212947868735</v>
      </c>
      <c r="X55" s="292">
        <f t="shared" si="38"/>
        <v>86.7339635286462</v>
      </c>
      <c r="Y55" s="293">
        <f ca="1">IF(AND(Y$22=TRUE,INDEX(CDRANGE_CLS2,MATCH($A55,$A$24:$A$67,0),MATCH(Y$20,$B$20:$G$20,0))&lt;$D$6/OPDAYS_Cls2),86,payback(C55,T55,disc_rate/12,85))</f>
        <v>6</v>
      </c>
      <c r="Z55" s="294">
        <f ca="1">IF(AND(Z$22=TRUE,INDEX(CDRANGE_CLS2,MATCH($A55,$A$24:$A$67,0),MATCH(Z$20,$B$20:$G$20,0))&lt;$D$6/OPDAYS_Cls2),86,payback(D55,U55,disc_rate/12,85))</f>
        <v>6</v>
      </c>
      <c r="AA55" s="294">
        <f ca="1">IF(AND(AA$22=TRUE,INDEX(CDRANGE_CLS2,MATCH($A55,$A$24:$A$67,0),MATCH(AA$20,$B$20:$G$20,0))&lt;$D$6/OPDAYS_Cls2),86,payback(E55,V55,disc_rate/12,85))</f>
        <v>16</v>
      </c>
      <c r="AB55" s="294">
        <f>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0.49999958423598612</v>
      </c>
      <c r="AJ55" s="300">
        <f t="shared" si="45"/>
        <v>0.49999958423598612</v>
      </c>
      <c r="AK55" s="300">
        <f t="shared" si="46"/>
        <v>0.49999958423598612</v>
      </c>
      <c r="AL55" s="300">
        <f t="shared" si="47"/>
        <v>0.47598528374007315</v>
      </c>
      <c r="AM55" s="301">
        <f t="shared" si="48"/>
        <v>1.0317728173388992E-2</v>
      </c>
      <c r="AN55" s="299">
        <f t="shared" si="60"/>
        <v>0.99374519890748736</v>
      </c>
      <c r="AO55" s="300">
        <f t="shared" si="60"/>
        <v>0.99329991717245192</v>
      </c>
      <c r="AP55" s="300">
        <f t="shared" si="60"/>
        <v>0.94108038821520967</v>
      </c>
      <c r="AQ55" s="300">
        <f t="shared" si="60"/>
        <v>0.89104688432593881</v>
      </c>
      <c r="AR55" s="598">
        <f t="shared" si="60"/>
        <v>0.98317042377456954</v>
      </c>
      <c r="AS55" s="282">
        <f t="shared" ca="1" si="50"/>
        <v>0.99999916847197223</v>
      </c>
      <c r="AT55" s="283">
        <f t="shared" ca="1" si="51"/>
        <v>0.99999916847197223</v>
      </c>
      <c r="AU55" s="283">
        <f t="shared" ca="1" si="52"/>
        <v>0.81315478511521033</v>
      </c>
      <c r="AV55" s="283">
        <f t="shared" si="53"/>
        <v>0</v>
      </c>
      <c r="AW55" s="284">
        <f t="shared" ca="1" si="54"/>
        <v>0</v>
      </c>
      <c r="AX55" s="296">
        <f t="shared" ca="1" si="55"/>
        <v>0.99374437258050197</v>
      </c>
      <c r="AY55" s="297">
        <f t="shared" ca="1" si="56"/>
        <v>0.99329909121573079</v>
      </c>
      <c r="AZ55" s="297">
        <f t="shared" ca="1" si="57"/>
        <v>0.76524402085527754</v>
      </c>
      <c r="BA55" s="283">
        <f t="shared" si="61"/>
        <v>0</v>
      </c>
      <c r="BB55" s="284">
        <f t="shared" ca="1" si="62"/>
        <v>0</v>
      </c>
      <c r="BC55" s="282">
        <f t="shared" ca="1" si="63"/>
        <v>6.2556274194982553E-3</v>
      </c>
      <c r="BD55" s="283">
        <f t="shared" ca="1" si="64"/>
        <v>0.35880259004282555</v>
      </c>
      <c r="BE55" s="283">
        <f t="shared" ca="1" si="65"/>
        <v>0.35864181619455426</v>
      </c>
      <c r="BF55" s="283">
        <f t="shared" ca="1" si="66"/>
        <v>0.27629996634312198</v>
      </c>
      <c r="BG55" s="283">
        <f t="shared" ca="1" si="67"/>
        <v>0</v>
      </c>
      <c r="BH55" s="284">
        <f t="shared" ca="1" si="68"/>
        <v>0</v>
      </c>
    </row>
    <row r="56" spans="1:60" x14ac:dyDescent="0.2">
      <c r="A56" s="317">
        <v>2039</v>
      </c>
      <c r="B56" s="820">
        <f t="shared" si="73"/>
        <v>141725.82999999999</v>
      </c>
      <c r="C56" s="821">
        <f t="shared" si="73"/>
        <v>6735.78</v>
      </c>
      <c r="D56" s="821">
        <f t="shared" si="73"/>
        <v>6972.2</v>
      </c>
      <c r="E56" s="821">
        <f t="shared" si="73"/>
        <v>20808.759999999998</v>
      </c>
      <c r="F56" s="821">
        <f t="shared" si="73"/>
        <v>28302.85</v>
      </c>
      <c r="G56" s="822">
        <f t="shared" si="73"/>
        <v>10545.66</v>
      </c>
      <c r="H56" s="984">
        <f t="shared" si="74"/>
        <v>1</v>
      </c>
      <c r="I56" s="985">
        <f t="shared" si="74"/>
        <v>1</v>
      </c>
      <c r="J56" s="985">
        <f t="shared" si="74"/>
        <v>1</v>
      </c>
      <c r="K56" s="985">
        <f t="shared" si="74"/>
        <v>0.84253512987551848</v>
      </c>
      <c r="L56" s="985">
        <f t="shared" si="74"/>
        <v>1</v>
      </c>
      <c r="M56" s="986">
        <f t="shared" si="74"/>
        <v>1</v>
      </c>
      <c r="N56" s="289">
        <f t="shared" si="28"/>
        <v>8931.8604600391445</v>
      </c>
      <c r="O56" s="290">
        <f t="shared" si="29"/>
        <v>7603.6119898291854</v>
      </c>
      <c r="P56" s="290">
        <f t="shared" si="30"/>
        <v>7561.5642056069082</v>
      </c>
      <c r="Q56" s="290">
        <f t="shared" si="31"/>
        <v>7438.9175830977429</v>
      </c>
      <c r="R56" s="290">
        <f t="shared" si="32"/>
        <v>9104.2315004902612</v>
      </c>
      <c r="S56" s="292">
        <f t="shared" si="33"/>
        <v>8456.6440773613758</v>
      </c>
      <c r="T56" s="289">
        <f t="shared" si="34"/>
        <v>1328.2484702099591</v>
      </c>
      <c r="U56" s="290">
        <f t="shared" si="35"/>
        <v>1370.2962544322363</v>
      </c>
      <c r="V56" s="290">
        <f t="shared" si="36"/>
        <v>1492.9428769414017</v>
      </c>
      <c r="W56" s="290">
        <f t="shared" si="37"/>
        <v>-172.37104045111664</v>
      </c>
      <c r="X56" s="292">
        <f t="shared" si="38"/>
        <v>475.21638267776871</v>
      </c>
      <c r="Y56" s="293">
        <f ca="1">IF(AND(Y$22=TRUE,INDEX(CDRANGE_CLS2,MATCH($A56,$A$24:$A$67,0),MATCH(Y$20,$B$20:$G$20,0))&lt;$D$6/OPDAYS_Cls2),86,payback(C56,T56,disc_rate/12,85))</f>
        <v>6</v>
      </c>
      <c r="Z56" s="294">
        <f ca="1">IF(AND(Z$22=TRUE,INDEX(CDRANGE_CLS2,MATCH($A56,$A$24:$A$67,0),MATCH(Z$20,$B$20:$G$20,0))&lt;$D$6/OPDAYS_Cls2),86,payback(D56,U56,disc_rate/12,85))</f>
        <v>6</v>
      </c>
      <c r="AA56" s="294">
        <f ca="1">IF(AND(AA$22=TRUE,INDEX(CDRANGE_CLS2,MATCH($A56,$A$24:$A$67,0),MATCH(AA$20,$B$20:$G$20,0))&lt;$D$6/OPDAYS_Cls2),86,payback(E56,V56,disc_rate/12,85))</f>
        <v>15</v>
      </c>
      <c r="AB56" s="294">
        <f>IF(AND(AB$22=TRUE,INDEX(CDRANGE_CLS2,MATCH($A56,$A$24:$A$67,0),MATCH(AB$20,$B$20:$G$20,0))&lt;$D$6/OPDAYS_Cls2),86,payback(F56,W56,disc_rate/12,85))</f>
        <v>86</v>
      </c>
      <c r="AC56" s="295">
        <f ca="1">IF(AND(AC$22=TRUE,INDEX(CDRANGE_CLS2,MATCH($A56,$A$24:$A$67,0),MATCH(AC$20,$B$20:$G$20,0))&lt;$D$6/OPDAYS_Cls2),86,payback(G56,X56,disc_rate/12,85))</f>
        <v>24</v>
      </c>
      <c r="AD56" s="296">
        <f t="shared" si="39"/>
        <v>0</v>
      </c>
      <c r="AE56" s="297">
        <f t="shared" si="40"/>
        <v>0</v>
      </c>
      <c r="AF56" s="297">
        <f t="shared" si="41"/>
        <v>0</v>
      </c>
      <c r="AG56" s="297">
        <f t="shared" si="42"/>
        <v>0</v>
      </c>
      <c r="AH56" s="298">
        <f t="shared" si="43"/>
        <v>0</v>
      </c>
      <c r="AI56" s="299">
        <f t="shared" si="44"/>
        <v>0.4999998470488865</v>
      </c>
      <c r="AJ56" s="300">
        <f t="shared" si="45"/>
        <v>0.4999998470488865</v>
      </c>
      <c r="AK56" s="300">
        <f t="shared" si="46"/>
        <v>0.4999998470488865</v>
      </c>
      <c r="AL56" s="300">
        <f t="shared" si="47"/>
        <v>0.48366031202821175</v>
      </c>
      <c r="AM56" s="301">
        <f t="shared" si="48"/>
        <v>1.5318900392023009E-2</v>
      </c>
      <c r="AN56" s="299">
        <f t="shared" si="60"/>
        <v>0.99374519890748736</v>
      </c>
      <c r="AO56" s="300">
        <f t="shared" si="60"/>
        <v>0.99329991717245192</v>
      </c>
      <c r="AP56" s="300">
        <f t="shared" si="60"/>
        <v>0.94187624150643323</v>
      </c>
      <c r="AQ56" s="300">
        <f t="shared" si="60"/>
        <v>0.89513600881586164</v>
      </c>
      <c r="AR56" s="598">
        <f t="shared" si="60"/>
        <v>0.98473799333265943</v>
      </c>
      <c r="AS56" s="282">
        <f t="shared" ca="1" si="50"/>
        <v>0.99999969409777301</v>
      </c>
      <c r="AT56" s="283">
        <f t="shared" ca="1" si="51"/>
        <v>0.99999969409777301</v>
      </c>
      <c r="AU56" s="283">
        <f t="shared" ca="1" si="52"/>
        <v>0.84273495519967667</v>
      </c>
      <c r="AV56" s="283">
        <f t="shared" si="53"/>
        <v>0</v>
      </c>
      <c r="AW56" s="284">
        <f t="shared" ca="1" si="54"/>
        <v>1.6884924049604969E-2</v>
      </c>
      <c r="AX56" s="296">
        <f t="shared" ca="1" si="55"/>
        <v>0.99374489491861795</v>
      </c>
      <c r="AY56" s="297">
        <f t="shared" ca="1" si="56"/>
        <v>0.99329961331979522</v>
      </c>
      <c r="AZ56" s="297">
        <f t="shared" ca="1" si="57"/>
        <v>0.79375203218956381</v>
      </c>
      <c r="BA56" s="283">
        <f t="shared" si="61"/>
        <v>0</v>
      </c>
      <c r="BB56" s="284">
        <f t="shared" ca="1" si="62"/>
        <v>1.6627226226182359E-2</v>
      </c>
      <c r="BC56" s="282">
        <f t="shared" ca="1" si="63"/>
        <v>6.2551050813820508E-3</v>
      </c>
      <c r="BD56" s="283">
        <f t="shared" ca="1" si="64"/>
        <v>0.35505943236304655</v>
      </c>
      <c r="BE56" s="283">
        <f t="shared" ca="1" si="65"/>
        <v>0.35490033576539043</v>
      </c>
      <c r="BF56" s="283">
        <f t="shared" ca="1" si="66"/>
        <v>0.28360311326109638</v>
      </c>
      <c r="BG56" s="283">
        <f t="shared" ca="1" si="67"/>
        <v>0</v>
      </c>
      <c r="BH56" s="284">
        <f t="shared" ca="1" si="68"/>
        <v>1.8201352908456863E-4</v>
      </c>
    </row>
    <row r="57" spans="1:60" ht="13.5" thickBot="1" x14ac:dyDescent="0.25">
      <c r="A57" s="302">
        <v>2040</v>
      </c>
      <c r="B57" s="814">
        <f t="shared" si="73"/>
        <v>141725.82999999999</v>
      </c>
      <c r="C57" s="815">
        <f t="shared" si="73"/>
        <v>6735.78</v>
      </c>
      <c r="D57" s="815">
        <f t="shared" si="73"/>
        <v>6972.2</v>
      </c>
      <c r="E57" s="815">
        <f t="shared" si="73"/>
        <v>20662.41</v>
      </c>
      <c r="F57" s="815">
        <f t="shared" si="73"/>
        <v>27723.88</v>
      </c>
      <c r="G57" s="816">
        <f t="shared" si="73"/>
        <v>10012.92</v>
      </c>
      <c r="H57" s="978">
        <f t="shared" si="74"/>
        <v>1</v>
      </c>
      <c r="I57" s="979">
        <f t="shared" si="74"/>
        <v>1</v>
      </c>
      <c r="J57" s="979">
        <f t="shared" si="74"/>
        <v>1</v>
      </c>
      <c r="K57" s="979">
        <f t="shared" si="74"/>
        <v>0.84243259926395031</v>
      </c>
      <c r="L57" s="979">
        <f t="shared" si="74"/>
        <v>1</v>
      </c>
      <c r="M57" s="980">
        <f t="shared" si="74"/>
        <v>1</v>
      </c>
      <c r="N57" s="303">
        <f t="shared" si="28"/>
        <v>8932.2375465703208</v>
      </c>
      <c r="O57" s="304">
        <f t="shared" si="29"/>
        <v>7603.9330001811131</v>
      </c>
      <c r="P57" s="304">
        <f t="shared" si="30"/>
        <v>7561.8834407796157</v>
      </c>
      <c r="Q57" s="304">
        <f t="shared" si="31"/>
        <v>7349.9248281809287</v>
      </c>
      <c r="R57" s="304">
        <f t="shared" si="32"/>
        <v>8770.5626884415506</v>
      </c>
      <c r="S57" s="306">
        <f t="shared" si="33"/>
        <v>8187.5720576661324</v>
      </c>
      <c r="T57" s="303">
        <f t="shared" si="34"/>
        <v>1328.3045463892076</v>
      </c>
      <c r="U57" s="304">
        <f t="shared" si="35"/>
        <v>1370.354105790705</v>
      </c>
      <c r="V57" s="304">
        <f t="shared" si="36"/>
        <v>1582.3127183893921</v>
      </c>
      <c r="W57" s="304">
        <f t="shared" si="37"/>
        <v>161.67485812877021</v>
      </c>
      <c r="X57" s="306">
        <f t="shared" si="38"/>
        <v>744.66548890418835</v>
      </c>
      <c r="Y57" s="307">
        <f ca="1">IF(AND(Y$22=TRUE,INDEX(CDRANGE_CLS2,MATCH($A57,$A$24:$A$67,0),MATCH(Y$20,$B$20:$G$20,0))&lt;$D$6/OPDAYS_Cls2),86,payback(C57,T57,disc_rate/12,85))</f>
        <v>6</v>
      </c>
      <c r="Z57" s="308">
        <f ca="1">IF(AND(Z$22=TRUE,INDEX(CDRANGE_CLS2,MATCH($A57,$A$24:$A$67,0),MATCH(Z$20,$B$20:$G$20,0))&lt;$D$6/OPDAYS_Cls2),86,payback(D57,U57,disc_rate/12,85))</f>
        <v>6</v>
      </c>
      <c r="AA57" s="308">
        <f ca="1">IF(AND(AA$22=TRUE,INDEX(CDRANGE_CLS2,MATCH($A57,$A$24:$A$67,0),MATCH(AA$20,$B$20:$G$20,0))&lt;$D$6/OPDAYS_Cls2),86,payback(E57,V57,disc_rate/12,85))</f>
        <v>14</v>
      </c>
      <c r="AB57" s="308">
        <f>IF(AND(AB$22=TRUE,INDEX(CDRANGE_CLS2,MATCH($A57,$A$24:$A$67,0),MATCH(AB$20,$B$20:$G$20,0))&lt;$D$6/OPDAYS_Cls2),86,payback(F57,W57,disc_rate/12,85))</f>
        <v>86</v>
      </c>
      <c r="AC57" s="309">
        <f ca="1">IF(AND(AC$22=TRUE,INDEX(CDRANGE_CLS2,MATCH($A57,$A$24:$A$67,0),MATCH(AC$20,$B$20:$G$20,0))&lt;$D$6/OPDAYS_Cls2),86,payback(G57,X57,disc_rate/12,85))</f>
        <v>15</v>
      </c>
      <c r="AD57" s="310">
        <f t="shared" si="39"/>
        <v>0</v>
      </c>
      <c r="AE57" s="311">
        <f t="shared" si="40"/>
        <v>0</v>
      </c>
      <c r="AF57" s="311">
        <f t="shared" si="41"/>
        <v>0</v>
      </c>
      <c r="AG57" s="311">
        <f t="shared" si="42"/>
        <v>0</v>
      </c>
      <c r="AH57" s="312">
        <f t="shared" si="43"/>
        <v>0</v>
      </c>
      <c r="AI57" s="313">
        <f t="shared" si="44"/>
        <v>0.49999994373241896</v>
      </c>
      <c r="AJ57" s="314">
        <f t="shared" si="45"/>
        <v>0.49999994373241896</v>
      </c>
      <c r="AK57" s="314">
        <f t="shared" si="46"/>
        <v>0.49999994373241896</v>
      </c>
      <c r="AL57" s="314">
        <f t="shared" si="47"/>
        <v>0.49142590379710988</v>
      </c>
      <c r="AM57" s="315">
        <f t="shared" si="48"/>
        <v>2.1893484435886634E-2</v>
      </c>
      <c r="AN57" s="630">
        <f t="shared" si="60"/>
        <v>0.99374519890748736</v>
      </c>
      <c r="AO57" s="628">
        <f t="shared" si="60"/>
        <v>0.99329991717245192</v>
      </c>
      <c r="AP57" s="628">
        <f t="shared" si="60"/>
        <v>0.94266712882395709</v>
      </c>
      <c r="AQ57" s="628">
        <f t="shared" si="60"/>
        <v>0.8991605308844326</v>
      </c>
      <c r="AR57" s="629">
        <f t="shared" si="60"/>
        <v>0.98623064178930175</v>
      </c>
      <c r="AS57" s="319">
        <f t="shared" ca="1" si="50"/>
        <v>0.99999988746483792</v>
      </c>
      <c r="AT57" s="320">
        <f t="shared" ca="1" si="51"/>
        <v>0.99999988746483792</v>
      </c>
      <c r="AU57" s="320">
        <f t="shared" ca="1" si="52"/>
        <v>0.8707375556387712</v>
      </c>
      <c r="AV57" s="320">
        <f t="shared" si="53"/>
        <v>0</v>
      </c>
      <c r="AW57" s="321">
        <f t="shared" ca="1" si="54"/>
        <v>3.6900820538526662E-2</v>
      </c>
      <c r="AX57" s="310">
        <f t="shared" ca="1" si="55"/>
        <v>0.99374508707621034</v>
      </c>
      <c r="AY57" s="311">
        <f t="shared" ca="1" si="56"/>
        <v>0.99329980539128471</v>
      </c>
      <c r="AZ57" s="311">
        <f t="shared" ca="1" si="57"/>
        <v>0.82081567153319102</v>
      </c>
      <c r="BA57" s="311">
        <f t="shared" si="61"/>
        <v>0</v>
      </c>
      <c r="BB57" s="312">
        <f t="shared" ca="1" si="62"/>
        <v>3.6392719922262999E-2</v>
      </c>
      <c r="BC57" s="310">
        <f t="shared" ca="1" si="63"/>
        <v>6.2549129237897683E-3</v>
      </c>
      <c r="BD57" s="311">
        <f t="shared" ca="1" si="64"/>
        <v>0.35150220152216388</v>
      </c>
      <c r="BE57" s="311">
        <f t="shared" ca="1" si="65"/>
        <v>0.35134469886420422</v>
      </c>
      <c r="BF57" s="311">
        <f t="shared" ca="1" si="66"/>
        <v>0.29033453280930133</v>
      </c>
      <c r="BG57" s="311">
        <f t="shared" ca="1" si="67"/>
        <v>0</v>
      </c>
      <c r="BH57" s="312">
        <f t="shared" ca="1" si="68"/>
        <v>5.6365388054078699E-4</v>
      </c>
    </row>
    <row r="58" spans="1:60" x14ac:dyDescent="0.2">
      <c r="A58" s="316">
        <v>2041</v>
      </c>
      <c r="B58" s="817">
        <f t="shared" si="73"/>
        <v>141725.82999999999</v>
      </c>
      <c r="C58" s="818">
        <f t="shared" si="73"/>
        <v>6735.78</v>
      </c>
      <c r="D58" s="818">
        <f t="shared" si="73"/>
        <v>6972.2</v>
      </c>
      <c r="E58" s="818">
        <f t="shared" si="73"/>
        <v>20516.060000000001</v>
      </c>
      <c r="F58" s="818">
        <f t="shared" si="73"/>
        <v>27144.91</v>
      </c>
      <c r="G58" s="819">
        <f t="shared" si="73"/>
        <v>9480.17</v>
      </c>
      <c r="H58" s="981">
        <f t="shared" si="74"/>
        <v>1</v>
      </c>
      <c r="I58" s="982">
        <f t="shared" si="74"/>
        <v>1</v>
      </c>
      <c r="J58" s="982">
        <f t="shared" si="74"/>
        <v>1</v>
      </c>
      <c r="K58" s="982">
        <f t="shared" si="74"/>
        <v>0.84233006865238202</v>
      </c>
      <c r="L58" s="982">
        <f t="shared" si="74"/>
        <v>1</v>
      </c>
      <c r="M58" s="983">
        <f t="shared" si="74"/>
        <v>1</v>
      </c>
      <c r="N58" s="275">
        <f t="shared" si="28"/>
        <v>8989.3286608131184</v>
      </c>
      <c r="O58" s="276">
        <f t="shared" si="29"/>
        <v>7652.5341491479367</v>
      </c>
      <c r="P58" s="276">
        <f t="shared" si="30"/>
        <v>7610.2158266076258</v>
      </c>
      <c r="Q58" s="276">
        <f t="shared" si="31"/>
        <v>7277.6595055531698</v>
      </c>
      <c r="R58" s="276">
        <f t="shared" si="32"/>
        <v>8286.2757987849254</v>
      </c>
      <c r="S58" s="278">
        <f t="shared" si="33"/>
        <v>7923.7295477735433</v>
      </c>
      <c r="T58" s="275">
        <f t="shared" si="34"/>
        <v>1336.7945116651817</v>
      </c>
      <c r="U58" s="276">
        <f t="shared" si="35"/>
        <v>1379.1128342054926</v>
      </c>
      <c r="V58" s="276">
        <f t="shared" si="36"/>
        <v>1711.6691552599486</v>
      </c>
      <c r="W58" s="276">
        <f t="shared" si="37"/>
        <v>703.05286202819298</v>
      </c>
      <c r="X58" s="278">
        <f t="shared" si="38"/>
        <v>1065.5991130395751</v>
      </c>
      <c r="Y58" s="279">
        <f ca="1">IF(AND(Y$22=TRUE,INDEX(CDRANGE_CLS2,MATCH($A58,$A$24:$A$67,0),MATCH(Y$20,$B$20:$G$20,0))&lt;$D$6/OPDAYS_Cls2),86,payback(C58,T58,disc_rate/12,85))</f>
        <v>6</v>
      </c>
      <c r="Z58" s="280">
        <f ca="1">IF(AND(Z$22=TRUE,INDEX(CDRANGE_CLS2,MATCH($A58,$A$24:$A$67,0),MATCH(Z$20,$B$20:$G$20,0))&lt;$D$6/OPDAYS_Cls2),86,payback(D58,U58,disc_rate/12,85))</f>
        <v>6</v>
      </c>
      <c r="AA58" s="280">
        <f ca="1">IF(AND(AA$22=TRUE,INDEX(CDRANGE_CLS2,MATCH($A58,$A$24:$A$67,0),MATCH(AA$20,$B$20:$G$20,0))&lt;$D$6/OPDAYS_Cls2),86,payback(E58,V58,disc_rate/12,85))</f>
        <v>13</v>
      </c>
      <c r="AB58" s="280">
        <f>IF(AND(AB$22=TRUE,INDEX(CDRANGE_CLS2,MATCH($A58,$A$24:$A$67,0),MATCH(AB$20,$B$20:$G$20,0))&lt;$D$6/OPDAYS_Cls2),86,payback(F58,W58,disc_rate/12,85))</f>
        <v>86</v>
      </c>
      <c r="AC58" s="281">
        <f ca="1">IF(AND(AC$22=TRUE,INDEX(CDRANGE_CLS2,MATCH($A58,$A$24:$A$67,0),MATCH(AC$20,$B$20:$G$20,0))&lt;$D$6/OPDAYS_Cls2),86,payback(G58,X58,disc_rate/12,85))</f>
        <v>10</v>
      </c>
      <c r="AD58" s="282">
        <f t="shared" si="39"/>
        <v>0</v>
      </c>
      <c r="AE58" s="283">
        <f t="shared" si="40"/>
        <v>0</v>
      </c>
      <c r="AF58" s="283">
        <f t="shared" si="41"/>
        <v>0</v>
      </c>
      <c r="AG58" s="283">
        <f t="shared" si="42"/>
        <v>0</v>
      </c>
      <c r="AH58" s="284">
        <f t="shared" si="43"/>
        <v>0</v>
      </c>
      <c r="AI58" s="285">
        <f t="shared" si="44"/>
        <v>0.4999999793003122</v>
      </c>
      <c r="AJ58" s="286">
        <f t="shared" si="45"/>
        <v>0.4999999793003122</v>
      </c>
      <c r="AK58" s="286">
        <f t="shared" si="46"/>
        <v>0.4999999793003122</v>
      </c>
      <c r="AL58" s="286">
        <f t="shared" si="47"/>
        <v>0.49468308424356083</v>
      </c>
      <c r="AM58" s="287">
        <f t="shared" si="48"/>
        <v>3.0293467339131446E-2</v>
      </c>
      <c r="AN58" s="643">
        <f t="shared" si="60"/>
        <v>0.99374519890748736</v>
      </c>
      <c r="AO58" s="641">
        <f t="shared" si="60"/>
        <v>0.99329991717245192</v>
      </c>
      <c r="AP58" s="641">
        <f t="shared" si="60"/>
        <v>0.94345309121325815</v>
      </c>
      <c r="AQ58" s="641">
        <f t="shared" si="60"/>
        <v>0.90311941218425806</v>
      </c>
      <c r="AR58" s="642">
        <f t="shared" si="60"/>
        <v>0.9876480469682839</v>
      </c>
      <c r="AS58" s="282">
        <f t="shared" ca="1" si="50"/>
        <v>0.99999995860062441</v>
      </c>
      <c r="AT58" s="283">
        <f t="shared" ca="1" si="51"/>
        <v>0.99999995860062441</v>
      </c>
      <c r="AU58" s="283">
        <f t="shared" ca="1" si="52"/>
        <v>0.89687213711961367</v>
      </c>
      <c r="AV58" s="283">
        <f t="shared" si="53"/>
        <v>0</v>
      </c>
      <c r="AW58" s="284">
        <f t="shared" ca="1" si="54"/>
        <v>5.8225891638250614E-2</v>
      </c>
      <c r="AX58" s="282">
        <f t="shared" ca="1" si="55"/>
        <v>0.99374515776705663</v>
      </c>
      <c r="AY58" s="283">
        <f t="shared" ca="1" si="56"/>
        <v>0.99329987605045555</v>
      </c>
      <c r="AZ58" s="283">
        <f t="shared" ca="1" si="57"/>
        <v>0.84615679018854062</v>
      </c>
      <c r="BA58" s="283">
        <f t="shared" si="61"/>
        <v>0</v>
      </c>
      <c r="BB58" s="284">
        <f t="shared" ca="1" si="62"/>
        <v>5.7506688159505152E-2</v>
      </c>
      <c r="BC58" s="282">
        <f t="shared" ca="1" si="63"/>
        <v>6.2548422329433695E-3</v>
      </c>
      <c r="BD58" s="283">
        <f t="shared" ca="1" si="64"/>
        <v>0.34812786688629194</v>
      </c>
      <c r="BE58" s="283">
        <f t="shared" ca="1" si="65"/>
        <v>0.3479718762150899</v>
      </c>
      <c r="BF58" s="283">
        <f t="shared" ca="1" si="66"/>
        <v>0.29642484908463679</v>
      </c>
      <c r="BG58" s="283">
        <f t="shared" ca="1" si="67"/>
        <v>0</v>
      </c>
      <c r="BH58" s="284">
        <f t="shared" ca="1" si="68"/>
        <v>1.220565581037999E-3</v>
      </c>
    </row>
    <row r="59" spans="1:60" x14ac:dyDescent="0.2">
      <c r="A59" s="317">
        <v>2042</v>
      </c>
      <c r="B59" s="820">
        <f t="shared" si="73"/>
        <v>141725.82999999999</v>
      </c>
      <c r="C59" s="821">
        <f t="shared" si="73"/>
        <v>6735.78</v>
      </c>
      <c r="D59" s="821">
        <f t="shared" si="73"/>
        <v>6972.2</v>
      </c>
      <c r="E59" s="821">
        <f t="shared" si="73"/>
        <v>20369.7</v>
      </c>
      <c r="F59" s="821">
        <f t="shared" si="73"/>
        <v>26565.95</v>
      </c>
      <c r="G59" s="822">
        <f t="shared" si="73"/>
        <v>8947.43</v>
      </c>
      <c r="H59" s="984">
        <f t="shared" si="74"/>
        <v>1</v>
      </c>
      <c r="I59" s="985">
        <f t="shared" si="74"/>
        <v>1</v>
      </c>
      <c r="J59" s="985">
        <f t="shared" si="74"/>
        <v>1</v>
      </c>
      <c r="K59" s="985">
        <f t="shared" si="74"/>
        <v>0.84222753804081374</v>
      </c>
      <c r="L59" s="985">
        <f t="shared" si="74"/>
        <v>1</v>
      </c>
      <c r="M59" s="986">
        <f t="shared" si="74"/>
        <v>1</v>
      </c>
      <c r="N59" s="289">
        <f t="shared" si="28"/>
        <v>9120.8143474413391</v>
      </c>
      <c r="O59" s="290">
        <f t="shared" si="29"/>
        <v>7764.4667244283264</v>
      </c>
      <c r="P59" s="290">
        <f t="shared" si="30"/>
        <v>7721.5294175448989</v>
      </c>
      <c r="Q59" s="290">
        <f t="shared" si="31"/>
        <v>7231.4610618722609</v>
      </c>
      <c r="R59" s="290">
        <f t="shared" si="32"/>
        <v>7639.687651490156</v>
      </c>
      <c r="S59" s="292">
        <f t="shared" si="33"/>
        <v>7701.4654183889252</v>
      </c>
      <c r="T59" s="289">
        <f t="shared" si="34"/>
        <v>1356.3476230130127</v>
      </c>
      <c r="U59" s="290">
        <f t="shared" si="35"/>
        <v>1399.2849298964402</v>
      </c>
      <c r="V59" s="290">
        <f t="shared" si="36"/>
        <v>1889.3532855690783</v>
      </c>
      <c r="W59" s="290">
        <f t="shared" si="37"/>
        <v>1481.1266959511831</v>
      </c>
      <c r="X59" s="292">
        <f t="shared" si="38"/>
        <v>1419.348929052414</v>
      </c>
      <c r="Y59" s="293">
        <f ca="1">IF(AND(Y$22=TRUE,INDEX(CDRANGE_CLS2,MATCH($A59,$A$24:$A$67,0),MATCH(Y$20,$B$20:$G$20,0))&lt;$D$6/OPDAYS_Cls2),86,payback(C59,T59,disc_rate/12,85))</f>
        <v>6</v>
      </c>
      <c r="Z59" s="294">
        <f ca="1">IF(AND(Z$22=TRUE,INDEX(CDRANGE_CLS2,MATCH($A59,$A$24:$A$67,0),MATCH(Z$20,$B$20:$G$20,0))&lt;$D$6/OPDAYS_Cls2),86,payback(D59,U59,disc_rate/12,85))</f>
        <v>6</v>
      </c>
      <c r="AA59" s="294">
        <f ca="1">IF(AND(AA$22=TRUE,INDEX(CDRANGE_CLS2,MATCH($A59,$A$24:$A$67,0),MATCH(AA$20,$B$20:$G$20,0))&lt;$D$6/OPDAYS_Cls2),86,payback(E59,V59,disc_rate/12,85))</f>
        <v>12</v>
      </c>
      <c r="AB59" s="294">
        <f>IF(AND(AB$22=TRUE,INDEX(CDRANGE_CLS2,MATCH($A59,$A$24:$A$67,0),MATCH(AB$20,$B$20:$G$20,0))&lt;$D$6/OPDAYS_Cls2),86,payback(F59,W59,disc_rate/12,85))</f>
        <v>86</v>
      </c>
      <c r="AC59" s="295">
        <f ca="1">IF(AND(AC$22=TRUE,INDEX(CDRANGE_CLS2,MATCH($A59,$A$24:$A$67,0),MATCH(AC$20,$B$20:$G$20,0))&lt;$D$6/OPDAYS_Cls2),86,payback(G59,X59,disc_rate/12,85))</f>
        <v>7</v>
      </c>
      <c r="AD59" s="296">
        <f t="shared" si="39"/>
        <v>0</v>
      </c>
      <c r="AE59" s="297">
        <f t="shared" si="40"/>
        <v>0</v>
      </c>
      <c r="AF59" s="297">
        <f t="shared" si="41"/>
        <v>0</v>
      </c>
      <c r="AG59" s="297">
        <f t="shared" si="42"/>
        <v>0</v>
      </c>
      <c r="AH59" s="298">
        <f t="shared" si="43"/>
        <v>0</v>
      </c>
      <c r="AI59" s="299">
        <f t="shared" si="44"/>
        <v>0.49999999238501025</v>
      </c>
      <c r="AJ59" s="300">
        <f t="shared" si="45"/>
        <v>0.49999999238501025</v>
      </c>
      <c r="AK59" s="300">
        <f t="shared" si="46"/>
        <v>0.49999999238501025</v>
      </c>
      <c r="AL59" s="300">
        <f t="shared" si="47"/>
        <v>0.4975971318356136</v>
      </c>
      <c r="AM59" s="301">
        <f t="shared" si="48"/>
        <v>4.0757891831784555E-2</v>
      </c>
      <c r="AN59" s="299">
        <f t="shared" si="60"/>
        <v>0.99374519890748736</v>
      </c>
      <c r="AO59" s="300">
        <f t="shared" si="60"/>
        <v>0.99329991717245192</v>
      </c>
      <c r="AP59" s="300">
        <f t="shared" si="60"/>
        <v>0.94423416845000174</v>
      </c>
      <c r="AQ59" s="300">
        <f t="shared" si="60"/>
        <v>0.90701156139989514</v>
      </c>
      <c r="AR59" s="598">
        <f t="shared" si="60"/>
        <v>0.98898982480443098</v>
      </c>
      <c r="AS59" s="282">
        <f t="shared" ca="1" si="50"/>
        <v>0.9999999847700205</v>
      </c>
      <c r="AT59" s="283">
        <f t="shared" ca="1" si="51"/>
        <v>0.9999999847700205</v>
      </c>
      <c r="AU59" s="283">
        <f t="shared" ca="1" si="52"/>
        <v>0.92083974435473648</v>
      </c>
      <c r="AV59" s="283">
        <f t="shared" si="53"/>
        <v>0</v>
      </c>
      <c r="AW59" s="284">
        <f t="shared" ca="1" si="54"/>
        <v>8.1249005768815941E-2</v>
      </c>
      <c r="AX59" s="296">
        <f t="shared" ca="1" si="55"/>
        <v>0.99374518377276833</v>
      </c>
      <c r="AY59" s="297">
        <f t="shared" ca="1" si="56"/>
        <v>0.99329990204451457</v>
      </c>
      <c r="AZ59" s="297">
        <f t="shared" ca="1" si="57"/>
        <v>0.86948835028650684</v>
      </c>
      <c r="BA59" s="283">
        <f t="shared" si="61"/>
        <v>0</v>
      </c>
      <c r="BB59" s="284">
        <f t="shared" ca="1" si="62"/>
        <v>8.0354439980835482E-2</v>
      </c>
      <c r="BC59" s="282">
        <f t="shared" ca="1" si="63"/>
        <v>6.2548162272315633E-3</v>
      </c>
      <c r="BD59" s="283">
        <f t="shared" ca="1" si="64"/>
        <v>0.34491814813067651</v>
      </c>
      <c r="BE59" s="283">
        <f t="shared" ca="1" si="65"/>
        <v>0.344763595684422</v>
      </c>
      <c r="BF59" s="283">
        <f t="shared" ca="1" si="66"/>
        <v>0.30178995229283562</v>
      </c>
      <c r="BG59" s="283">
        <f t="shared" ca="1" si="67"/>
        <v>0</v>
      </c>
      <c r="BH59" s="284">
        <f t="shared" ca="1" si="68"/>
        <v>2.2734876648342998E-3</v>
      </c>
    </row>
    <row r="60" spans="1:60" x14ac:dyDescent="0.2">
      <c r="A60" s="317">
        <v>2043</v>
      </c>
      <c r="B60" s="820">
        <f t="shared" si="73"/>
        <v>141725.82999999999</v>
      </c>
      <c r="C60" s="821">
        <f t="shared" si="73"/>
        <v>6735.78</v>
      </c>
      <c r="D60" s="821">
        <f t="shared" si="73"/>
        <v>6972.2</v>
      </c>
      <c r="E60" s="821">
        <f t="shared" si="73"/>
        <v>20223.349999999999</v>
      </c>
      <c r="F60" s="821">
        <f t="shared" si="73"/>
        <v>25986.98</v>
      </c>
      <c r="G60" s="822">
        <f t="shared" si="73"/>
        <v>8414.69</v>
      </c>
      <c r="H60" s="984">
        <f t="shared" si="74"/>
        <v>1</v>
      </c>
      <c r="I60" s="985">
        <f t="shared" si="74"/>
        <v>1</v>
      </c>
      <c r="J60" s="985">
        <f t="shared" si="74"/>
        <v>1</v>
      </c>
      <c r="K60" s="985">
        <f t="shared" si="74"/>
        <v>0.84212500742924545</v>
      </c>
      <c r="L60" s="985">
        <f t="shared" si="74"/>
        <v>1</v>
      </c>
      <c r="M60" s="986">
        <f t="shared" si="74"/>
        <v>1</v>
      </c>
      <c r="N60" s="289">
        <f t="shared" si="28"/>
        <v>9176.1114833074062</v>
      </c>
      <c r="O60" s="290">
        <f t="shared" si="29"/>
        <v>7811.540675835824</v>
      </c>
      <c r="P60" s="290">
        <f t="shared" si="30"/>
        <v>7768.343051177907</v>
      </c>
      <c r="Q60" s="290">
        <f t="shared" si="31"/>
        <v>7112.2589115934534</v>
      </c>
      <c r="R60" s="290">
        <f t="shared" si="32"/>
        <v>6845.9131618439533</v>
      </c>
      <c r="S60" s="292">
        <f t="shared" si="33"/>
        <v>7501.514645692896</v>
      </c>
      <c r="T60" s="289">
        <f t="shared" si="34"/>
        <v>1364.5708074715822</v>
      </c>
      <c r="U60" s="290">
        <f t="shared" si="35"/>
        <v>1407.7684321294992</v>
      </c>
      <c r="V60" s="290">
        <f t="shared" si="36"/>
        <v>2063.8525717139528</v>
      </c>
      <c r="W60" s="290">
        <f t="shared" si="37"/>
        <v>2330.1983214634529</v>
      </c>
      <c r="X60" s="292">
        <f t="shared" si="38"/>
        <v>1674.5968376145102</v>
      </c>
      <c r="Y60" s="293">
        <f ca="1">IF(AND(Y$22=TRUE,INDEX(CDRANGE_CLS2,MATCH($A60,$A$24:$A$67,0),MATCH(Y$20,$B$20:$G$20,0))&lt;$D$6/OPDAYS_Cls2),86,payback(C60,T60,disc_rate/12,85))</f>
        <v>6</v>
      </c>
      <c r="Z60" s="294">
        <f ca="1">IF(AND(Z$22=TRUE,INDEX(CDRANGE_CLS2,MATCH($A60,$A$24:$A$67,0),MATCH(Z$20,$B$20:$G$20,0))&lt;$D$6/OPDAYS_Cls2),86,payback(D60,U60,disc_rate/12,85))</f>
        <v>6</v>
      </c>
      <c r="AA60" s="294">
        <f ca="1">IF(AND(AA$22=TRUE,INDEX(CDRANGE_CLS2,MATCH($A60,$A$24:$A$67,0),MATCH(AA$20,$B$20:$G$20,0))&lt;$D$6/OPDAYS_Cls2),86,payback(E60,V60,disc_rate/12,85))</f>
        <v>11</v>
      </c>
      <c r="AB60" s="294">
        <f>IF(AND(AB$22=TRUE,INDEX(CDRANGE_CLS2,MATCH($A60,$A$24:$A$67,0),MATCH(AB$20,$B$20:$G$20,0))&lt;$D$6/OPDAYS_Cls2),86,payback(F60,W60,disc_rate/12,85))</f>
        <v>86</v>
      </c>
      <c r="AC60" s="295">
        <f ca="1">IF(AND(AC$22=TRUE,INDEX(CDRANGE_CLS2,MATCH($A60,$A$24:$A$67,0),MATCH(AC$20,$B$20:$G$20,0))&lt;$D$6/OPDAYS_Cls2),86,payback(G60,X60,disc_rate/12,85))</f>
        <v>6</v>
      </c>
      <c r="AD60" s="296">
        <f t="shared" si="39"/>
        <v>0</v>
      </c>
      <c r="AE60" s="297">
        <f t="shared" si="40"/>
        <v>0</v>
      </c>
      <c r="AF60" s="297">
        <f t="shared" si="41"/>
        <v>0</v>
      </c>
      <c r="AG60" s="297">
        <f t="shared" si="42"/>
        <v>0</v>
      </c>
      <c r="AH60" s="298">
        <f t="shared" si="43"/>
        <v>0</v>
      </c>
      <c r="AI60" s="299">
        <f t="shared" si="44"/>
        <v>0.49999999719860178</v>
      </c>
      <c r="AJ60" s="300">
        <f t="shared" si="45"/>
        <v>0.49999999719860178</v>
      </c>
      <c r="AK60" s="300">
        <f t="shared" si="46"/>
        <v>0.49999999719860178</v>
      </c>
      <c r="AL60" s="300">
        <f t="shared" si="47"/>
        <v>0.49866062749505108</v>
      </c>
      <c r="AM60" s="301">
        <f t="shared" si="48"/>
        <v>5.3498330632972865E-2</v>
      </c>
      <c r="AN60" s="299">
        <f t="shared" si="60"/>
        <v>0.99374519890748736</v>
      </c>
      <c r="AO60" s="300">
        <f t="shared" si="60"/>
        <v>0.99329991717245192</v>
      </c>
      <c r="AP60" s="300">
        <f t="shared" si="60"/>
        <v>0.94501024045421267</v>
      </c>
      <c r="AQ60" s="300">
        <f t="shared" si="60"/>
        <v>0.91083610244643431</v>
      </c>
      <c r="AR60" s="598">
        <f t="shared" si="60"/>
        <v>0.99025568911430906</v>
      </c>
      <c r="AS60" s="282">
        <f t="shared" ca="1" si="50"/>
        <v>0.99999999439720355</v>
      </c>
      <c r="AT60" s="283">
        <f t="shared" ca="1" si="51"/>
        <v>0.99999999439720355</v>
      </c>
      <c r="AU60" s="283">
        <f t="shared" ca="1" si="52"/>
        <v>0.94233242087681213</v>
      </c>
      <c r="AV60" s="283">
        <f t="shared" si="53"/>
        <v>0</v>
      </c>
      <c r="AW60" s="284">
        <f t="shared" ca="1" si="54"/>
        <v>0.10699666126594573</v>
      </c>
      <c r="AX60" s="296">
        <f t="shared" ca="1" si="55"/>
        <v>0.99374519333973532</v>
      </c>
      <c r="AY60" s="297">
        <f t="shared" ca="1" si="56"/>
        <v>0.99329991160719466</v>
      </c>
      <c r="AZ60" s="297">
        <f t="shared" ca="1" si="57"/>
        <v>0.89051378764059652</v>
      </c>
      <c r="BA60" s="283">
        <f t="shared" si="61"/>
        <v>0</v>
      </c>
      <c r="BB60" s="284">
        <f t="shared" ca="1" si="62"/>
        <v>0.10595405253483939</v>
      </c>
      <c r="BC60" s="282">
        <f t="shared" ca="1" si="63"/>
        <v>6.2548066602647889E-3</v>
      </c>
      <c r="BD60" s="283">
        <f t="shared" ca="1" si="64"/>
        <v>0.34183634105286409</v>
      </c>
      <c r="BE60" s="283">
        <f t="shared" ca="1" si="65"/>
        <v>0.34168316951632782</v>
      </c>
      <c r="BF60" s="283">
        <f t="shared" ca="1" si="66"/>
        <v>0.30632598463308391</v>
      </c>
      <c r="BG60" s="283">
        <f t="shared" ca="1" si="67"/>
        <v>0</v>
      </c>
      <c r="BH60" s="284">
        <f t="shared" ca="1" si="68"/>
        <v>3.8996981374594141E-3</v>
      </c>
    </row>
    <row r="61" spans="1:60" x14ac:dyDescent="0.2">
      <c r="A61" s="317">
        <v>2044</v>
      </c>
      <c r="B61" s="820">
        <f t="shared" si="73"/>
        <v>141725.82999999999</v>
      </c>
      <c r="C61" s="821">
        <f t="shared" si="73"/>
        <v>6735.78</v>
      </c>
      <c r="D61" s="821">
        <f t="shared" si="73"/>
        <v>6972.2</v>
      </c>
      <c r="E61" s="821">
        <f t="shared" si="73"/>
        <v>20076.990000000002</v>
      </c>
      <c r="F61" s="821">
        <f t="shared" si="73"/>
        <v>25408.01</v>
      </c>
      <c r="G61" s="822">
        <f t="shared" si="73"/>
        <v>7881.94</v>
      </c>
      <c r="H61" s="984">
        <f t="shared" si="74"/>
        <v>1</v>
      </c>
      <c r="I61" s="985">
        <f t="shared" si="74"/>
        <v>1</v>
      </c>
      <c r="J61" s="985">
        <f t="shared" si="74"/>
        <v>1</v>
      </c>
      <c r="K61" s="985">
        <f t="shared" si="74"/>
        <v>0.84202247681767717</v>
      </c>
      <c r="L61" s="985">
        <f t="shared" si="74"/>
        <v>1</v>
      </c>
      <c r="M61" s="986">
        <f t="shared" si="74"/>
        <v>1</v>
      </c>
      <c r="N61" s="289">
        <f t="shared" si="28"/>
        <v>9247.8618611510992</v>
      </c>
      <c r="O61" s="290">
        <f t="shared" si="29"/>
        <v>7872.6211232619689</v>
      </c>
      <c r="P61" s="290">
        <f t="shared" si="30"/>
        <v>7829.0857252567257</v>
      </c>
      <c r="Q61" s="290">
        <f t="shared" si="31"/>
        <v>7002.7028296559993</v>
      </c>
      <c r="R61" s="290">
        <f t="shared" si="32"/>
        <v>6044.1389774505478</v>
      </c>
      <c r="S61" s="292">
        <f t="shared" si="33"/>
        <v>7287.4346418304813</v>
      </c>
      <c r="T61" s="289">
        <f t="shared" si="34"/>
        <v>1375.2407378891303</v>
      </c>
      <c r="U61" s="290">
        <f t="shared" si="35"/>
        <v>1418.7761358943735</v>
      </c>
      <c r="V61" s="290">
        <f t="shared" si="36"/>
        <v>2245.1590314951</v>
      </c>
      <c r="W61" s="290">
        <f t="shared" si="37"/>
        <v>3203.7228837005514</v>
      </c>
      <c r="X61" s="292">
        <f t="shared" si="38"/>
        <v>1960.427219320618</v>
      </c>
      <c r="Y61" s="293">
        <f ca="1">IF(AND(Y$22=TRUE,INDEX(CDRANGE_CLS2,MATCH($A61,$A$24:$A$67,0),MATCH(Y$20,$B$20:$G$20,0))&lt;$D$6/OPDAYS_Cls2),86,payback(C61,T61,disc_rate/12,85))</f>
        <v>5</v>
      </c>
      <c r="Z61" s="294">
        <f ca="1">IF(AND(Z$22=TRUE,INDEX(CDRANGE_CLS2,MATCH($A61,$A$24:$A$67,0),MATCH(Z$20,$B$20:$G$20,0))&lt;$D$6/OPDAYS_Cls2),86,payback(D61,U61,disc_rate/12,85))</f>
        <v>6</v>
      </c>
      <c r="AA61" s="294">
        <f ca="1">IF(AND(AA$22=TRUE,INDEX(CDRANGE_CLS2,MATCH($A61,$A$24:$A$67,0),MATCH(AA$20,$B$20:$G$20,0))&lt;$D$6/OPDAYS_Cls2),86,payback(E61,V61,disc_rate/12,85))</f>
        <v>10</v>
      </c>
      <c r="AB61" s="294">
        <f>IF(AND(AB$22=TRUE,INDEX(CDRANGE_CLS2,MATCH($A61,$A$24:$A$67,0),MATCH(AB$20,$B$20:$G$20,0))&lt;$D$6/OPDAYS_Cls2),86,payback(F61,W61,disc_rate/12,85))</f>
        <v>86</v>
      </c>
      <c r="AC61" s="295">
        <f ca="1">IF(AND(AC$22=TRUE,INDEX(CDRANGE_CLS2,MATCH($A61,$A$24:$A$67,0),MATCH(AC$20,$B$20:$G$20,0))&lt;$D$6/OPDAYS_Cls2),86,payback(G61,X61,disc_rate/12,85))</f>
        <v>5</v>
      </c>
      <c r="AD61" s="296">
        <f t="shared" si="39"/>
        <v>0</v>
      </c>
      <c r="AE61" s="297">
        <f t="shared" si="40"/>
        <v>0</v>
      </c>
      <c r="AF61" s="297">
        <f t="shared" si="41"/>
        <v>0</v>
      </c>
      <c r="AG61" s="297">
        <f t="shared" si="42"/>
        <v>0</v>
      </c>
      <c r="AH61" s="298">
        <f t="shared" si="43"/>
        <v>0</v>
      </c>
      <c r="AI61" s="299">
        <f t="shared" si="44"/>
        <v>0.49999999896942315</v>
      </c>
      <c r="AJ61" s="300">
        <f t="shared" si="45"/>
        <v>0.49999999896942315</v>
      </c>
      <c r="AK61" s="300">
        <f t="shared" si="46"/>
        <v>0.49999999896942315</v>
      </c>
      <c r="AL61" s="300">
        <f t="shared" si="47"/>
        <v>0.4992875107517955</v>
      </c>
      <c r="AM61" s="301">
        <f t="shared" si="48"/>
        <v>6.0776630199764439E-2</v>
      </c>
      <c r="AN61" s="299">
        <f t="shared" si="60"/>
        <v>0.99374519890748736</v>
      </c>
      <c r="AO61" s="300">
        <f t="shared" si="60"/>
        <v>0.99329991717245192</v>
      </c>
      <c r="AP61" s="300">
        <f t="shared" si="60"/>
        <v>0.94578140001243272</v>
      </c>
      <c r="AQ61" s="300">
        <f t="shared" si="60"/>
        <v>0.91459197152031091</v>
      </c>
      <c r="AR61" s="598">
        <f t="shared" si="60"/>
        <v>0.9914453654900055</v>
      </c>
      <c r="AS61" s="282">
        <f t="shared" ca="1" si="50"/>
        <v>0.99999999793884631</v>
      </c>
      <c r="AT61" s="283">
        <f t="shared" ca="1" si="51"/>
        <v>0.99999999793884631</v>
      </c>
      <c r="AU61" s="283">
        <f t="shared" ca="1" si="52"/>
        <v>0.9610304899470038</v>
      </c>
      <c r="AV61" s="283">
        <f t="shared" si="53"/>
        <v>0</v>
      </c>
      <c r="AW61" s="284">
        <f t="shared" ca="1" si="54"/>
        <v>0.12155326039952888</v>
      </c>
      <c r="AX61" s="296">
        <f t="shared" ca="1" si="55"/>
        <v>0.9937451968592258</v>
      </c>
      <c r="AY61" s="297">
        <f t="shared" ca="1" si="56"/>
        <v>0.99329991512510818</v>
      </c>
      <c r="AZ61" s="297">
        <f t="shared" ca="1" si="57"/>
        <v>0.90892476223671137</v>
      </c>
      <c r="BA61" s="283">
        <f t="shared" si="61"/>
        <v>0</v>
      </c>
      <c r="BB61" s="284">
        <f t="shared" ca="1" si="62"/>
        <v>0.12051341668331272</v>
      </c>
      <c r="BC61" s="282">
        <f t="shared" ca="1" si="63"/>
        <v>6.2548031407740901E-3</v>
      </c>
      <c r="BD61" s="283">
        <f t="shared" ca="1" si="64"/>
        <v>0.33928508926687106</v>
      </c>
      <c r="BE61" s="283">
        <f t="shared" ca="1" si="65"/>
        <v>0.33913306090649609</v>
      </c>
      <c r="BF61" s="283">
        <f t="shared" ca="1" si="66"/>
        <v>0.310325644910803</v>
      </c>
      <c r="BG61" s="283">
        <f t="shared" ca="1" si="67"/>
        <v>0</v>
      </c>
      <c r="BH61" s="284">
        <f t="shared" ca="1" si="68"/>
        <v>5.0014017750557183E-3</v>
      </c>
    </row>
    <row r="62" spans="1:60" ht="13.5" thickBot="1" x14ac:dyDescent="0.25">
      <c r="A62" s="302">
        <v>2045</v>
      </c>
      <c r="B62" s="823">
        <f t="shared" si="73"/>
        <v>141725.82999999999</v>
      </c>
      <c r="C62" s="824">
        <f t="shared" si="73"/>
        <v>6735.78</v>
      </c>
      <c r="D62" s="824">
        <f t="shared" si="73"/>
        <v>6972.2</v>
      </c>
      <c r="E62" s="824">
        <f t="shared" si="73"/>
        <v>19930.64</v>
      </c>
      <c r="F62" s="824">
        <f t="shared" si="73"/>
        <v>24829.040000000001</v>
      </c>
      <c r="G62" s="825">
        <f t="shared" si="73"/>
        <v>7349.2</v>
      </c>
      <c r="H62" s="978">
        <f t="shared" si="74"/>
        <v>1</v>
      </c>
      <c r="I62" s="979">
        <f t="shared" si="74"/>
        <v>1</v>
      </c>
      <c r="J62" s="979">
        <f t="shared" si="74"/>
        <v>1</v>
      </c>
      <c r="K62" s="979">
        <f t="shared" si="74"/>
        <v>0.84191994620610888</v>
      </c>
      <c r="L62" s="979">
        <f t="shared" si="74"/>
        <v>1</v>
      </c>
      <c r="M62" s="980">
        <f t="shared" si="74"/>
        <v>1</v>
      </c>
      <c r="N62" s="303">
        <f t="shared" si="28"/>
        <v>9374.8435200152944</v>
      </c>
      <c r="O62" s="304">
        <f t="shared" si="29"/>
        <v>7980.7194604614688</v>
      </c>
      <c r="P62" s="304">
        <f t="shared" si="30"/>
        <v>7936.5862813538461</v>
      </c>
      <c r="Q62" s="304">
        <f t="shared" si="31"/>
        <v>6943.4348639142945</v>
      </c>
      <c r="R62" s="304">
        <f t="shared" si="32"/>
        <v>5339.2668659289502</v>
      </c>
      <c r="S62" s="306">
        <f t="shared" si="33"/>
        <v>7095.0974502263634</v>
      </c>
      <c r="T62" s="303">
        <f t="shared" si="34"/>
        <v>1394.1240595538256</v>
      </c>
      <c r="U62" s="304">
        <f t="shared" si="35"/>
        <v>1438.2572386614484</v>
      </c>
      <c r="V62" s="304">
        <f t="shared" si="36"/>
        <v>2431.4086561009999</v>
      </c>
      <c r="W62" s="304">
        <f t="shared" si="37"/>
        <v>4035.5766540863442</v>
      </c>
      <c r="X62" s="306">
        <f t="shared" si="38"/>
        <v>2279.746069788931</v>
      </c>
      <c r="Y62" s="307">
        <f ca="1">IF(AND(Y$22=TRUE,INDEX(CDRANGE_CLS2,MATCH($A62,$A$24:$A$67,0),MATCH(Y$20,$B$20:$G$20,0))&lt;$D$6/OPDAYS_Cls2),86,payback(C62,T62,disc_rate/12,85))</f>
        <v>5</v>
      </c>
      <c r="Z62" s="308">
        <f ca="1">IF(AND(Z$22=TRUE,INDEX(CDRANGE_CLS2,MATCH($A62,$A$24:$A$67,0),MATCH(Z$20,$B$20:$G$20,0))&lt;$D$6/OPDAYS_Cls2),86,payback(D62,U62,disc_rate/12,85))</f>
        <v>5</v>
      </c>
      <c r="AA62" s="308">
        <f ca="1">IF(AND(AA$22=TRUE,INDEX(CDRANGE_CLS2,MATCH($A62,$A$24:$A$67,0),MATCH(AA$20,$B$20:$G$20,0))&lt;$D$6/OPDAYS_Cls2),86,payback(E62,V62,disc_rate/12,85))</f>
        <v>9</v>
      </c>
      <c r="AB62" s="308">
        <f>IF(AND(AB$22=TRUE,INDEX(CDRANGE_CLS2,MATCH($A62,$A$24:$A$67,0),MATCH(AB$20,$B$20:$G$20,0))&lt;$D$6/OPDAYS_Cls2),86,payback(F62,W62,disc_rate/12,85))</f>
        <v>86</v>
      </c>
      <c r="AC62" s="309">
        <f ca="1">IF(AND(AC$22=TRUE,INDEX(CDRANGE_CLS2,MATCH($A62,$A$24:$A$67,0),MATCH(AC$20,$B$20:$G$20,0))&lt;$D$6/OPDAYS_Cls2),86,payback(G62,X62,disc_rate/12,85))</f>
        <v>4</v>
      </c>
      <c r="AD62" s="310">
        <f t="shared" si="39"/>
        <v>0</v>
      </c>
      <c r="AE62" s="311">
        <f t="shared" si="40"/>
        <v>0</v>
      </c>
      <c r="AF62" s="311">
        <f t="shared" si="41"/>
        <v>0</v>
      </c>
      <c r="AG62" s="311">
        <f t="shared" si="42"/>
        <v>0</v>
      </c>
      <c r="AH62" s="312">
        <f t="shared" si="43"/>
        <v>0</v>
      </c>
      <c r="AI62" s="313">
        <f t="shared" si="44"/>
        <v>0.49999999962087194</v>
      </c>
      <c r="AJ62" s="314">
        <f t="shared" si="45"/>
        <v>0.49999999962087194</v>
      </c>
      <c r="AK62" s="314">
        <f t="shared" si="46"/>
        <v>0.49999999962087194</v>
      </c>
      <c r="AL62" s="314">
        <f t="shared" si="47"/>
        <v>0.49974809966286682</v>
      </c>
      <c r="AM62" s="315">
        <f t="shared" si="48"/>
        <v>7.7226768918627967E-2</v>
      </c>
      <c r="AN62" s="313">
        <f t="shared" si="60"/>
        <v>0.99374519890748736</v>
      </c>
      <c r="AO62" s="314">
        <f t="shared" si="60"/>
        <v>0.99329991717245192</v>
      </c>
      <c r="AP62" s="314">
        <f t="shared" si="60"/>
        <v>0.94654752855438162</v>
      </c>
      <c r="AQ62" s="314">
        <f t="shared" si="60"/>
        <v>0.91827818760903202</v>
      </c>
      <c r="AR62" s="599">
        <f t="shared" si="60"/>
        <v>0.99255853083388568</v>
      </c>
      <c r="AS62" s="830">
        <f t="shared" ca="1" si="50"/>
        <v>0.99999999924174388</v>
      </c>
      <c r="AT62" s="831">
        <f t="shared" ca="1" si="51"/>
        <v>0.99999999924174388</v>
      </c>
      <c r="AU62" s="831">
        <f t="shared" ca="1" si="52"/>
        <v>0.97659517096381165</v>
      </c>
      <c r="AV62" s="831">
        <f t="shared" si="53"/>
        <v>0</v>
      </c>
      <c r="AW62" s="832">
        <f t="shared" ca="1" si="54"/>
        <v>0.15445353783725593</v>
      </c>
      <c r="AX62" s="310">
        <f t="shared" ca="1" si="55"/>
        <v>0.993745198153974</v>
      </c>
      <c r="AY62" s="311">
        <f t="shared" ca="1" si="56"/>
        <v>0.99329991641927617</v>
      </c>
      <c r="AZ62" s="311">
        <f t="shared" ca="1" si="57"/>
        <v>0.92439374547393971</v>
      </c>
      <c r="BA62" s="311">
        <f t="shared" si="61"/>
        <v>0</v>
      </c>
      <c r="BB62" s="312">
        <f t="shared" ca="1" si="62"/>
        <v>0.15330417659784273</v>
      </c>
      <c r="BC62" s="310">
        <f t="shared" ca="1" si="63"/>
        <v>6.2548018460260035E-3</v>
      </c>
      <c r="BD62" s="311">
        <f t="shared" ca="1" si="64"/>
        <v>0.33645317737818609</v>
      </c>
      <c r="BE62" s="311">
        <f t="shared" ca="1" si="65"/>
        <v>0.33630241795339</v>
      </c>
      <c r="BF62" s="311">
        <f t="shared" ca="1" si="66"/>
        <v>0.31297279563311114</v>
      </c>
      <c r="BG62" s="311">
        <f t="shared" ca="1" si="67"/>
        <v>0</v>
      </c>
      <c r="BH62" s="312">
        <f t="shared" ca="1" si="68"/>
        <v>8.0168071892867693E-3</v>
      </c>
    </row>
    <row r="63" spans="1:60" x14ac:dyDescent="0.2">
      <c r="A63" s="318">
        <v>2046</v>
      </c>
      <c r="B63" s="826">
        <f t="shared" si="73"/>
        <v>141725.82999999999</v>
      </c>
      <c r="C63" s="827">
        <f t="shared" si="73"/>
        <v>6735.78</v>
      </c>
      <c r="D63" s="827">
        <f t="shared" si="73"/>
        <v>6972.2</v>
      </c>
      <c r="E63" s="827">
        <f t="shared" si="73"/>
        <v>19784.29</v>
      </c>
      <c r="F63" s="827">
        <f t="shared" si="73"/>
        <v>24250.080000000002</v>
      </c>
      <c r="G63" s="828">
        <f t="shared" si="73"/>
        <v>6816.45</v>
      </c>
      <c r="H63" s="981">
        <f t="shared" si="74"/>
        <v>1</v>
      </c>
      <c r="I63" s="982">
        <f t="shared" si="74"/>
        <v>1</v>
      </c>
      <c r="J63" s="982">
        <f t="shared" si="74"/>
        <v>1</v>
      </c>
      <c r="K63" s="982">
        <f t="shared" si="74"/>
        <v>0.8418174155945406</v>
      </c>
      <c r="L63" s="982">
        <f t="shared" si="74"/>
        <v>1</v>
      </c>
      <c r="M63" s="983">
        <f t="shared" si="74"/>
        <v>1</v>
      </c>
      <c r="N63" s="275">
        <f t="shared" si="28"/>
        <v>9380.4195210449834</v>
      </c>
      <c r="O63" s="276">
        <f t="shared" si="29"/>
        <v>7985.4662596836833</v>
      </c>
      <c r="P63" s="276">
        <f t="shared" si="30"/>
        <v>7941.3068308950251</v>
      </c>
      <c r="Q63" s="276">
        <f t="shared" si="31"/>
        <v>6831.1235421892943</v>
      </c>
      <c r="R63" s="276">
        <f t="shared" si="32"/>
        <v>4817.8110389053581</v>
      </c>
      <c r="S63" s="278">
        <f t="shared" si="33"/>
        <v>7029.33862611533</v>
      </c>
      <c r="T63" s="275">
        <f t="shared" si="34"/>
        <v>1394.9532613613001</v>
      </c>
      <c r="U63" s="276">
        <f t="shared" si="35"/>
        <v>1439.1126901499583</v>
      </c>
      <c r="V63" s="276">
        <f t="shared" si="36"/>
        <v>2549.2959788556891</v>
      </c>
      <c r="W63" s="276">
        <f t="shared" si="37"/>
        <v>4562.6084821396253</v>
      </c>
      <c r="X63" s="278">
        <f t="shared" si="38"/>
        <v>2351.0808949296534</v>
      </c>
      <c r="Y63" s="279">
        <f ca="1">IF(AND(Y$22=TRUE,INDEX(CDRANGE_CLS2,MATCH($A63,$A$24:$A$67,0),MATCH(Y$20,$B$20:$G$20,0))&lt;$D$6/OPDAYS_Cls2),86,payback(C63,T63,disc_rate/12,85))</f>
        <v>5</v>
      </c>
      <c r="Z63" s="280">
        <f ca="1">IF(AND(Z$22=TRUE,INDEX(CDRANGE_CLS2,MATCH($A63,$A$24:$A$67,0),MATCH(Z$20,$B$20:$G$20,0))&lt;$D$6/OPDAYS_Cls2),86,payback(D63,U63,disc_rate/12,85))</f>
        <v>5</v>
      </c>
      <c r="AA63" s="280">
        <f ca="1">IF(AND(AA$22=TRUE,INDEX(CDRANGE_CLS2,MATCH($A63,$A$24:$A$67,0),MATCH(AA$20,$B$20:$G$20,0))&lt;$D$6/OPDAYS_Cls2),86,payback(E63,V63,disc_rate/12,85))</f>
        <v>8</v>
      </c>
      <c r="AB63" s="280">
        <f>IF(AND(AB$22=TRUE,INDEX(CDRANGE_CLS2,MATCH($A63,$A$24:$A$67,0),MATCH(AB$20,$B$20:$G$20,0))&lt;$D$6/OPDAYS_Cls2),86,payback(F63,W63,disc_rate/12,85))</f>
        <v>86</v>
      </c>
      <c r="AC63" s="281">
        <f ca="1">IF(AND(AC$22=TRUE,INDEX(CDRANGE_CLS2,MATCH($A63,$A$24:$A$67,0),MATCH(AC$20,$B$20:$G$20,0))&lt;$D$6/OPDAYS_Cls2),86,payback(G63,X63,disc_rate/12,85))</f>
        <v>3</v>
      </c>
      <c r="AD63" s="282">
        <f t="shared" si="39"/>
        <v>0</v>
      </c>
      <c r="AE63" s="283">
        <f t="shared" si="40"/>
        <v>0</v>
      </c>
      <c r="AF63" s="283">
        <f t="shared" si="41"/>
        <v>0</v>
      </c>
      <c r="AG63" s="283">
        <f t="shared" si="42"/>
        <v>0</v>
      </c>
      <c r="AH63" s="284">
        <f t="shared" si="43"/>
        <v>0</v>
      </c>
      <c r="AI63" s="285">
        <f t="shared" si="44"/>
        <v>0.49999999962087194</v>
      </c>
      <c r="AJ63" s="286">
        <f t="shared" si="45"/>
        <v>0.49999999962087194</v>
      </c>
      <c r="AK63" s="286">
        <f t="shared" si="46"/>
        <v>0.49999999962087194</v>
      </c>
      <c r="AL63" s="286">
        <f t="shared" si="47"/>
        <v>0.49988204931764657</v>
      </c>
      <c r="AM63" s="287">
        <f t="shared" si="48"/>
        <v>9.6250620132841011E-2</v>
      </c>
      <c r="AN63" s="285">
        <f t="shared" si="60"/>
        <v>0.99374519890748736</v>
      </c>
      <c r="AO63" s="286">
        <f t="shared" si="60"/>
        <v>0.99329991717245192</v>
      </c>
      <c r="AP63" s="286">
        <f t="shared" si="60"/>
        <v>0.94730866582577999</v>
      </c>
      <c r="AQ63" s="286">
        <f t="shared" si="60"/>
        <v>0.92189372327884223</v>
      </c>
      <c r="AR63" s="611">
        <f t="shared" si="60"/>
        <v>0.99359496619274956</v>
      </c>
      <c r="AS63" s="637">
        <f t="shared" ca="1" si="50"/>
        <v>0.99999999924174388</v>
      </c>
      <c r="AT63" s="638">
        <f t="shared" ca="1" si="51"/>
        <v>0.99999999924174388</v>
      </c>
      <c r="AU63" s="638">
        <f t="shared" ca="1" si="52"/>
        <v>0.98864995926416654</v>
      </c>
      <c r="AV63" s="638">
        <f t="shared" si="53"/>
        <v>0</v>
      </c>
      <c r="AW63" s="639">
        <f t="shared" ca="1" si="54"/>
        <v>0.19250124026568202</v>
      </c>
      <c r="AX63" s="282">
        <f t="shared" ca="1" si="55"/>
        <v>0.993745198153974</v>
      </c>
      <c r="AY63" s="283">
        <f t="shared" ca="1" si="56"/>
        <v>0.99329991641927617</v>
      </c>
      <c r="AZ63" s="283">
        <f t="shared" ca="1" si="57"/>
        <v>0.93655667387924935</v>
      </c>
      <c r="BA63" s="283">
        <f t="shared" si="61"/>
        <v>0</v>
      </c>
      <c r="BB63" s="284">
        <f t="shared" ca="1" si="62"/>
        <v>0.1912682633138427</v>
      </c>
      <c r="BC63" s="282">
        <f t="shared" ca="1" si="63"/>
        <v>6.2548018460260035E-3</v>
      </c>
      <c r="BD63" s="283">
        <f t="shared" ca="1" si="64"/>
        <v>0.33357737407941057</v>
      </c>
      <c r="BE63" s="283">
        <f t="shared" ca="1" si="65"/>
        <v>0.33342790325725014</v>
      </c>
      <c r="BF63" s="283">
        <f t="shared" ca="1" si="66"/>
        <v>0.31438050370410997</v>
      </c>
      <c r="BG63" s="283">
        <f t="shared" ca="1" si="67"/>
        <v>0</v>
      </c>
      <c r="BH63" s="284">
        <f t="shared" ca="1" si="68"/>
        <v>1.2359417113203304E-2</v>
      </c>
    </row>
    <row r="64" spans="1:60" x14ac:dyDescent="0.2">
      <c r="A64" s="317">
        <v>2047</v>
      </c>
      <c r="B64" s="820">
        <f t="shared" si="73"/>
        <v>141725.82999999999</v>
      </c>
      <c r="C64" s="821">
        <f t="shared" si="73"/>
        <v>6735.78</v>
      </c>
      <c r="D64" s="821">
        <f t="shared" si="73"/>
        <v>6972.2</v>
      </c>
      <c r="E64" s="821">
        <f t="shared" si="73"/>
        <v>19637.93</v>
      </c>
      <c r="F64" s="821">
        <f t="shared" si="73"/>
        <v>23671.11</v>
      </c>
      <c r="G64" s="822">
        <f t="shared" si="73"/>
        <v>6283.71</v>
      </c>
      <c r="H64" s="984">
        <f t="shared" si="74"/>
        <v>1</v>
      </c>
      <c r="I64" s="985">
        <f t="shared" si="74"/>
        <v>1</v>
      </c>
      <c r="J64" s="985">
        <f t="shared" si="74"/>
        <v>1</v>
      </c>
      <c r="K64" s="985">
        <f t="shared" si="74"/>
        <v>0.84171488498297242</v>
      </c>
      <c r="L64" s="985">
        <f t="shared" si="74"/>
        <v>1</v>
      </c>
      <c r="M64" s="986">
        <f t="shared" si="74"/>
        <v>1</v>
      </c>
      <c r="N64" s="289">
        <f t="shared" si="28"/>
        <v>9467.9763365082053</v>
      </c>
      <c r="O64" s="290">
        <f t="shared" si="29"/>
        <v>8060.0025844310267</v>
      </c>
      <c r="P64" s="290">
        <f t="shared" si="30"/>
        <v>8015.4309716298367</v>
      </c>
      <c r="Q64" s="290">
        <f t="shared" si="31"/>
        <v>6802.2592344880577</v>
      </c>
      <c r="R64" s="290">
        <f t="shared" si="32"/>
        <v>4500.0298116612539</v>
      </c>
      <c r="S64" s="292">
        <f t="shared" si="33"/>
        <v>6964.7872571265707</v>
      </c>
      <c r="T64" s="289">
        <f t="shared" si="34"/>
        <v>1407.9737520771787</v>
      </c>
      <c r="U64" s="290">
        <f t="shared" si="35"/>
        <v>1452.5453648783687</v>
      </c>
      <c r="V64" s="290">
        <f t="shared" si="36"/>
        <v>2665.7171020201476</v>
      </c>
      <c r="W64" s="290">
        <f t="shared" si="37"/>
        <v>4967.9465248469514</v>
      </c>
      <c r="X64" s="292">
        <f t="shared" si="38"/>
        <v>2503.1890793816347</v>
      </c>
      <c r="Y64" s="293">
        <f ca="1">IF(AND(Y$22=TRUE,INDEX(CDRANGE_CLS2,MATCH($A64,$A$24:$A$67,0),MATCH(Y$20,$B$20:$G$20,0))&lt;$D$6/OPDAYS_Cls2),86,payback(C64,T64,disc_rate/12,85))</f>
        <v>5</v>
      </c>
      <c r="Z64" s="294">
        <f ca="1">IF(AND(Z$22=TRUE,INDEX(CDRANGE_CLS2,MATCH($A64,$A$24:$A$67,0),MATCH(Z$20,$B$20:$G$20,0))&lt;$D$6/OPDAYS_Cls2),86,payback(D64,U64,disc_rate/12,85))</f>
        <v>5</v>
      </c>
      <c r="AA64" s="294">
        <f ca="1">IF(AND(AA$22=TRUE,INDEX(CDRANGE_CLS2,MATCH($A64,$A$24:$A$67,0),MATCH(AA$20,$B$20:$G$20,0))&lt;$D$6/OPDAYS_Cls2),86,payback(E64,V64,disc_rate/12,85))</f>
        <v>8</v>
      </c>
      <c r="AB64" s="294">
        <f>IF(AND(AB$22=TRUE,INDEX(CDRANGE_CLS2,MATCH($A64,$A$24:$A$67,0),MATCH(AB$20,$B$20:$G$20,0))&lt;$D$6/OPDAYS_Cls2),86,payback(F64,W64,disc_rate/12,85))</f>
        <v>86</v>
      </c>
      <c r="AC64" s="295">
        <f ca="1">IF(AND(AC$22=TRUE,INDEX(CDRANGE_CLS2,MATCH($A64,$A$24:$A$67,0),MATCH(AC$20,$B$20:$G$20,0))&lt;$D$6/OPDAYS_Cls2),86,payback(G64,X64,disc_rate/12,85))</f>
        <v>3</v>
      </c>
      <c r="AD64" s="296">
        <f t="shared" si="39"/>
        <v>0</v>
      </c>
      <c r="AE64" s="297">
        <f t="shared" si="40"/>
        <v>0</v>
      </c>
      <c r="AF64" s="297">
        <f t="shared" si="41"/>
        <v>0</v>
      </c>
      <c r="AG64" s="297">
        <f t="shared" si="42"/>
        <v>0</v>
      </c>
      <c r="AH64" s="298">
        <f t="shared" si="43"/>
        <v>0</v>
      </c>
      <c r="AI64" s="299">
        <f t="shared" si="44"/>
        <v>0.49999999962087194</v>
      </c>
      <c r="AJ64" s="300">
        <f t="shared" si="45"/>
        <v>0.49999999962087194</v>
      </c>
      <c r="AK64" s="300">
        <f t="shared" si="46"/>
        <v>0.49999999962087194</v>
      </c>
      <c r="AL64" s="300">
        <f t="shared" si="47"/>
        <v>0.49996596978666119</v>
      </c>
      <c r="AM64" s="301">
        <f t="shared" si="48"/>
        <v>0.11782847022157542</v>
      </c>
      <c r="AN64" s="299">
        <f t="shared" si="60"/>
        <v>0.99374519890748736</v>
      </c>
      <c r="AO64" s="300">
        <f t="shared" si="60"/>
        <v>0.99329991717245192</v>
      </c>
      <c r="AP64" s="300">
        <f t="shared" si="60"/>
        <v>0.94806485028629373</v>
      </c>
      <c r="AQ64" s="300">
        <f t="shared" si="60"/>
        <v>0.92543775367364733</v>
      </c>
      <c r="AR64" s="598">
        <f t="shared" si="60"/>
        <v>0.99455438972168786</v>
      </c>
      <c r="AS64" s="282">
        <f t="shared" ca="1" si="50"/>
        <v>0.99999999924174388</v>
      </c>
      <c r="AT64" s="283">
        <f t="shared" ca="1" si="51"/>
        <v>0.99999999924174388</v>
      </c>
      <c r="AU64" s="283">
        <f t="shared" ca="1" si="52"/>
        <v>0.98864995926416654</v>
      </c>
      <c r="AV64" s="283">
        <f t="shared" si="53"/>
        <v>0</v>
      </c>
      <c r="AW64" s="284">
        <f t="shared" ca="1" si="54"/>
        <v>0.23565694044315083</v>
      </c>
      <c r="AX64" s="296">
        <f t="shared" ca="1" si="55"/>
        <v>0.993745198153974</v>
      </c>
      <c r="AY64" s="297">
        <f t="shared" ca="1" si="56"/>
        <v>0.99329991641927617</v>
      </c>
      <c r="AZ64" s="297">
        <f t="shared" ca="1" si="57"/>
        <v>0.93730427561533247</v>
      </c>
      <c r="BA64" s="283">
        <f t="shared" si="61"/>
        <v>0</v>
      </c>
      <c r="BB64" s="284">
        <f t="shared" ca="1" si="62"/>
        <v>0.23437364458611801</v>
      </c>
      <c r="BC64" s="282">
        <f t="shared" ca="1" si="63"/>
        <v>6.2548018460260035E-3</v>
      </c>
      <c r="BD64" s="283">
        <f t="shared" ca="1" si="64"/>
        <v>0.33143232681330498</v>
      </c>
      <c r="BE64" s="283">
        <f t="shared" ca="1" si="65"/>
        <v>0.33128381715339161</v>
      </c>
      <c r="BF64" s="283">
        <f t="shared" ca="1" si="66"/>
        <v>0.31260823959334028</v>
      </c>
      <c r="BG64" s="283">
        <f t="shared" ca="1" si="67"/>
        <v>0</v>
      </c>
      <c r="BH64" s="284">
        <f t="shared" ca="1" si="68"/>
        <v>1.8420814593937063E-2</v>
      </c>
    </row>
    <row r="65" spans="1:60" x14ac:dyDescent="0.2">
      <c r="A65" s="317">
        <v>2048</v>
      </c>
      <c r="B65" s="820">
        <f t="shared" si="73"/>
        <v>141725.82999999999</v>
      </c>
      <c r="C65" s="821">
        <f t="shared" si="73"/>
        <v>6735.78</v>
      </c>
      <c r="D65" s="821">
        <f t="shared" si="73"/>
        <v>6972.2</v>
      </c>
      <c r="E65" s="821">
        <f t="shared" si="73"/>
        <v>19491.580000000002</v>
      </c>
      <c r="F65" s="821">
        <f t="shared" si="73"/>
        <v>23092.14</v>
      </c>
      <c r="G65" s="822">
        <f t="shared" si="73"/>
        <v>5750.97</v>
      </c>
      <c r="H65" s="984">
        <f t="shared" si="74"/>
        <v>1</v>
      </c>
      <c r="I65" s="985">
        <f t="shared" si="74"/>
        <v>1</v>
      </c>
      <c r="J65" s="985">
        <f t="shared" si="74"/>
        <v>1</v>
      </c>
      <c r="K65" s="985">
        <f t="shared" si="74"/>
        <v>0.84161235437140414</v>
      </c>
      <c r="L65" s="985">
        <f t="shared" si="74"/>
        <v>1</v>
      </c>
      <c r="M65" s="986">
        <f t="shared" si="74"/>
        <v>1</v>
      </c>
      <c r="N65" s="289">
        <f t="shared" si="28"/>
        <v>9548.3106886108289</v>
      </c>
      <c r="O65" s="290">
        <f t="shared" si="29"/>
        <v>8128.3904914718378</v>
      </c>
      <c r="P65" s="290">
        <f t="shared" si="30"/>
        <v>8083.4406952543313</v>
      </c>
      <c r="Q65" s="290">
        <f t="shared" si="31"/>
        <v>6790.9418953695777</v>
      </c>
      <c r="R65" s="290">
        <f t="shared" si="32"/>
        <v>4335.409998913964</v>
      </c>
      <c r="S65" s="292">
        <f t="shared" si="33"/>
        <v>6901.4103891070281</v>
      </c>
      <c r="T65" s="289">
        <f t="shared" si="34"/>
        <v>1419.9201971389912</v>
      </c>
      <c r="U65" s="290">
        <f t="shared" si="35"/>
        <v>1464.8699933564976</v>
      </c>
      <c r="V65" s="290">
        <f t="shared" si="36"/>
        <v>2757.3687932412513</v>
      </c>
      <c r="W65" s="290">
        <f t="shared" si="37"/>
        <v>5212.9006896968649</v>
      </c>
      <c r="X65" s="292">
        <f t="shared" si="38"/>
        <v>2646.9002995038009</v>
      </c>
      <c r="Y65" s="293">
        <f ca="1">IF(AND(Y$22=TRUE,INDEX(CDRANGE_CLS2,MATCH($A65,$A$24:$A$67,0),MATCH(Y$20,$B$20:$G$20,0))&lt;$D$6/OPDAYS_Cls2),86,payback(C65,T65,disc_rate/12,85))</f>
        <v>5</v>
      </c>
      <c r="Z65" s="294">
        <f ca="1">IF(AND(Z$22=TRUE,INDEX(CDRANGE_CLS2,MATCH($A65,$A$24:$A$67,0),MATCH(Z$20,$B$20:$G$20,0))&lt;$D$6/OPDAYS_Cls2),86,payback(D65,U65,disc_rate/12,85))</f>
        <v>5</v>
      </c>
      <c r="AA65" s="294">
        <f ca="1">IF(AND(AA$22=TRUE,INDEX(CDRANGE_CLS2,MATCH($A65,$A$24:$A$67,0),MATCH(AA$20,$B$20:$G$20,0))&lt;$D$6/OPDAYS_Cls2),86,payback(E65,V65,disc_rate/12,85))</f>
        <v>8</v>
      </c>
      <c r="AB65" s="294">
        <f>IF(AND(AB$22=TRUE,INDEX(CDRANGE_CLS2,MATCH($A65,$A$24:$A$67,0),MATCH(AB$20,$B$20:$G$20,0))&lt;$D$6/OPDAYS_Cls2),86,payback(F65,W65,disc_rate/12,85))</f>
        <v>86</v>
      </c>
      <c r="AC65" s="295">
        <f ca="1">IF(AND(AC$22=TRUE,INDEX(CDRANGE_CLS2,MATCH($A65,$A$24:$A$67,0),MATCH(AC$20,$B$20:$G$20,0))&lt;$D$6/OPDAYS_Cls2),86,payback(G65,X65,disc_rate/12,85))</f>
        <v>3</v>
      </c>
      <c r="AD65" s="296">
        <f t="shared" si="39"/>
        <v>0</v>
      </c>
      <c r="AE65" s="297">
        <f t="shared" si="40"/>
        <v>0</v>
      </c>
      <c r="AF65" s="297">
        <f t="shared" si="41"/>
        <v>0</v>
      </c>
      <c r="AG65" s="297">
        <f t="shared" si="42"/>
        <v>0</v>
      </c>
      <c r="AH65" s="298">
        <f t="shared" si="43"/>
        <v>0</v>
      </c>
      <c r="AI65" s="299">
        <f t="shared" si="44"/>
        <v>0.49999999962087194</v>
      </c>
      <c r="AJ65" s="300">
        <f t="shared" si="45"/>
        <v>0.49999999962087194</v>
      </c>
      <c r="AK65" s="300">
        <f t="shared" si="46"/>
        <v>0.49999999962087194</v>
      </c>
      <c r="AL65" s="300">
        <f t="shared" si="47"/>
        <v>0.49998619831278412</v>
      </c>
      <c r="AM65" s="301">
        <f t="shared" si="48"/>
        <v>0.12954116250433836</v>
      </c>
      <c r="AN65" s="299">
        <f t="shared" si="60"/>
        <v>0.99374519890748736</v>
      </c>
      <c r="AO65" s="300">
        <f t="shared" si="60"/>
        <v>0.99329991717245192</v>
      </c>
      <c r="AP65" s="300">
        <f t="shared" si="60"/>
        <v>0.94881596564646686</v>
      </c>
      <c r="AQ65" s="300">
        <f t="shared" si="60"/>
        <v>0.9289092822128403</v>
      </c>
      <c r="AR65" s="598">
        <f t="shared" si="60"/>
        <v>0.99543659655948713</v>
      </c>
      <c r="AS65" s="282">
        <f t="shared" ca="1" si="50"/>
        <v>0.99999999924174388</v>
      </c>
      <c r="AT65" s="283">
        <f t="shared" ca="1" si="51"/>
        <v>0.99999999924174388</v>
      </c>
      <c r="AU65" s="283">
        <f t="shared" ca="1" si="52"/>
        <v>0.98864995926416654</v>
      </c>
      <c r="AV65" s="283">
        <f t="shared" si="53"/>
        <v>0</v>
      </c>
      <c r="AW65" s="284">
        <f t="shared" ca="1" si="54"/>
        <v>0.25908232500867673</v>
      </c>
      <c r="AX65" s="296">
        <f t="shared" ca="1" si="55"/>
        <v>0.993745198153974</v>
      </c>
      <c r="AY65" s="297">
        <f t="shared" ca="1" si="56"/>
        <v>0.99329991641927617</v>
      </c>
      <c r="AZ65" s="297">
        <f t="shared" ca="1" si="57"/>
        <v>0.93804686578557028</v>
      </c>
      <c r="BA65" s="283">
        <f t="shared" si="61"/>
        <v>0</v>
      </c>
      <c r="BB65" s="284">
        <f t="shared" ca="1" si="62"/>
        <v>0.25790002783535604</v>
      </c>
      <c r="BC65" s="282">
        <f t="shared" ca="1" si="63"/>
        <v>6.2548018460260035E-3</v>
      </c>
      <c r="BD65" s="283">
        <f t="shared" ca="1" si="64"/>
        <v>0.33006666094567466</v>
      </c>
      <c r="BE65" s="283">
        <f t="shared" ca="1" si="65"/>
        <v>0.32991876321935126</v>
      </c>
      <c r="BF65" s="283">
        <f t="shared" ca="1" si="66"/>
        <v>0.31156678530428022</v>
      </c>
      <c r="BG65" s="283">
        <f t="shared" ca="1" si="67"/>
        <v>0</v>
      </c>
      <c r="BH65" s="284">
        <f t="shared" ca="1" si="68"/>
        <v>2.2192988684667916E-2</v>
      </c>
    </row>
    <row r="66" spans="1:60" x14ac:dyDescent="0.2">
      <c r="A66" s="317">
        <v>2049</v>
      </c>
      <c r="B66" s="820">
        <f t="shared" si="73"/>
        <v>141725.82999999999</v>
      </c>
      <c r="C66" s="821">
        <f t="shared" si="73"/>
        <v>6735.78</v>
      </c>
      <c r="D66" s="821">
        <f t="shared" si="73"/>
        <v>6972.2</v>
      </c>
      <c r="E66" s="821">
        <f t="shared" si="73"/>
        <v>19345.22</v>
      </c>
      <c r="F66" s="821">
        <f t="shared" si="73"/>
        <v>22513.17</v>
      </c>
      <c r="G66" s="822">
        <f t="shared" si="73"/>
        <v>5218.22</v>
      </c>
      <c r="H66" s="984">
        <f t="shared" si="74"/>
        <v>1</v>
      </c>
      <c r="I66" s="985">
        <f t="shared" si="74"/>
        <v>1</v>
      </c>
      <c r="J66" s="985">
        <f t="shared" si="74"/>
        <v>1</v>
      </c>
      <c r="K66" s="985">
        <f t="shared" si="74"/>
        <v>0.84150982375983585</v>
      </c>
      <c r="L66" s="985">
        <f t="shared" si="74"/>
        <v>1</v>
      </c>
      <c r="M66" s="986">
        <f t="shared" si="74"/>
        <v>1</v>
      </c>
      <c r="N66" s="289">
        <f t="shared" si="28"/>
        <v>9606.7598655353249</v>
      </c>
      <c r="O66" s="290">
        <f t="shared" si="29"/>
        <v>8178.1477469111824</v>
      </c>
      <c r="P66" s="290">
        <f t="shared" si="30"/>
        <v>8132.9227943149717</v>
      </c>
      <c r="Q66" s="290">
        <f t="shared" si="31"/>
        <v>6776.3286716596331</v>
      </c>
      <c r="R66" s="290">
        <f t="shared" si="32"/>
        <v>4245.1113446779827</v>
      </c>
      <c r="S66" s="292">
        <f t="shared" si="33"/>
        <v>6839.1762562825998</v>
      </c>
      <c r="T66" s="289">
        <f t="shared" si="34"/>
        <v>1428.6121186241426</v>
      </c>
      <c r="U66" s="290">
        <f t="shared" si="35"/>
        <v>1473.8370712203532</v>
      </c>
      <c r="V66" s="290">
        <f t="shared" si="36"/>
        <v>2830.4311938756919</v>
      </c>
      <c r="W66" s="290">
        <f t="shared" si="37"/>
        <v>5361.6485208573422</v>
      </c>
      <c r="X66" s="292">
        <f t="shared" si="38"/>
        <v>2767.5836092527252</v>
      </c>
      <c r="Y66" s="293">
        <f ca="1">IF(AND(Y$22=TRUE,INDEX(CDRANGE_CLS2,MATCH($A66,$A$24:$A$67,0),MATCH(Y$20,$B$20:$G$20,0))&lt;$D$6/OPDAYS_Cls2),86,payback(C66,T66,disc_rate/12,85))</f>
        <v>5</v>
      </c>
      <c r="Z66" s="294">
        <f ca="1">IF(AND(Z$22=TRUE,INDEX(CDRANGE_CLS2,MATCH($A66,$A$24:$A$67,0),MATCH(Z$20,$B$20:$G$20,0))&lt;$D$6/OPDAYS_Cls2),86,payback(D66,U66,disc_rate/12,85))</f>
        <v>5</v>
      </c>
      <c r="AA66" s="294">
        <f ca="1">IF(AND(AA$22=TRUE,INDEX(CDRANGE_CLS2,MATCH($A66,$A$24:$A$67,0),MATCH(AA$20,$B$20:$G$20,0))&lt;$D$6/OPDAYS_Cls2),86,payback(E66,V66,disc_rate/12,85))</f>
        <v>8</v>
      </c>
      <c r="AB66" s="294">
        <f>IF(AND(AB$22=TRUE,INDEX(CDRANGE_CLS2,MATCH($A66,$A$24:$A$67,0),MATCH(AB$20,$B$20:$G$20,0))&lt;$D$6/OPDAYS_Cls2),86,payback(F66,W66,disc_rate/12,85))</f>
        <v>86</v>
      </c>
      <c r="AC66" s="295">
        <f ca="1">IF(AND(AC$22=TRUE,INDEX(CDRANGE_CLS2,MATCH($A66,$A$24:$A$67,0),MATCH(AC$20,$B$20:$G$20,0))&lt;$D$6/OPDAYS_Cls2),86,payback(G66,X66,disc_rate/12,85))</f>
        <v>2</v>
      </c>
      <c r="AD66" s="296">
        <f t="shared" si="39"/>
        <v>0</v>
      </c>
      <c r="AE66" s="297">
        <f t="shared" si="40"/>
        <v>0</v>
      </c>
      <c r="AF66" s="297">
        <f t="shared" si="41"/>
        <v>0</v>
      </c>
      <c r="AG66" s="297">
        <f t="shared" si="42"/>
        <v>0</v>
      </c>
      <c r="AH66" s="298">
        <f t="shared" si="43"/>
        <v>0</v>
      </c>
      <c r="AI66" s="299">
        <f t="shared" si="44"/>
        <v>0.49999999962087194</v>
      </c>
      <c r="AJ66" s="300">
        <f t="shared" si="45"/>
        <v>0.49999999962087194</v>
      </c>
      <c r="AK66" s="300">
        <f t="shared" si="46"/>
        <v>0.49999999962087194</v>
      </c>
      <c r="AL66" s="300">
        <f t="shared" si="47"/>
        <v>0.49999473991021715</v>
      </c>
      <c r="AM66" s="301">
        <f t="shared" si="48"/>
        <v>0.15468482913019341</v>
      </c>
      <c r="AN66" s="299">
        <f t="shared" si="60"/>
        <v>0.99374519890748736</v>
      </c>
      <c r="AO66" s="300">
        <f t="shared" si="60"/>
        <v>0.99329991717245192</v>
      </c>
      <c r="AP66" s="300">
        <f t="shared" si="60"/>
        <v>0.9495621016731417</v>
      </c>
      <c r="AQ66" s="300">
        <f t="shared" si="60"/>
        <v>0.9323073920348468</v>
      </c>
      <c r="AR66" s="598">
        <f t="shared" si="60"/>
        <v>0.99624139403125789</v>
      </c>
      <c r="AS66" s="282">
        <f t="shared" ca="1" si="50"/>
        <v>0.99999999924174388</v>
      </c>
      <c r="AT66" s="283">
        <f t="shared" ca="1" si="51"/>
        <v>0.99999999924174388</v>
      </c>
      <c r="AU66" s="283">
        <f t="shared" ca="1" si="52"/>
        <v>0.98864995926416654</v>
      </c>
      <c r="AV66" s="283">
        <f t="shared" si="53"/>
        <v>0</v>
      </c>
      <c r="AW66" s="284">
        <f t="shared" ca="1" si="54"/>
        <v>0.30936965826038682</v>
      </c>
      <c r="AX66" s="296">
        <f t="shared" ca="1" si="55"/>
        <v>0.993745198153974</v>
      </c>
      <c r="AY66" s="297">
        <f t="shared" ca="1" si="56"/>
        <v>0.99329991641927617</v>
      </c>
      <c r="AZ66" s="297">
        <f t="shared" ca="1" si="57"/>
        <v>0.93878453313794796</v>
      </c>
      <c r="BA66" s="283">
        <f t="shared" si="61"/>
        <v>0</v>
      </c>
      <c r="BB66" s="284">
        <f t="shared" ca="1" si="62"/>
        <v>0.30820685961630162</v>
      </c>
      <c r="BC66" s="282">
        <f t="shared" ca="1" si="63"/>
        <v>6.2548018460261146E-3</v>
      </c>
      <c r="BD66" s="283">
        <f t="shared" ca="1" si="64"/>
        <v>0.32686886671457421</v>
      </c>
      <c r="BE66" s="283">
        <f t="shared" ca="1" si="65"/>
        <v>0.32672240187000468</v>
      </c>
      <c r="BF66" s="283">
        <f t="shared" ca="1" si="66"/>
        <v>0.30879086209020951</v>
      </c>
      <c r="BG66" s="283">
        <f t="shared" ca="1" si="67"/>
        <v>0</v>
      </c>
      <c r="BH66" s="284">
        <f t="shared" ca="1" si="68"/>
        <v>3.1363067479185484E-2</v>
      </c>
    </row>
    <row r="67" spans="1:60" ht="13.5" thickBot="1" x14ac:dyDescent="0.25">
      <c r="A67" s="302">
        <v>2050</v>
      </c>
      <c r="B67" s="823">
        <f t="shared" si="73"/>
        <v>141725.82999999999</v>
      </c>
      <c r="C67" s="824">
        <f t="shared" si="73"/>
        <v>6735.78</v>
      </c>
      <c r="D67" s="824">
        <f t="shared" si="73"/>
        <v>6972.2</v>
      </c>
      <c r="E67" s="824">
        <f t="shared" si="73"/>
        <v>19198.87</v>
      </c>
      <c r="F67" s="824">
        <f t="shared" si="73"/>
        <v>21934.21</v>
      </c>
      <c r="G67" s="825">
        <f t="shared" si="73"/>
        <v>4685.4799999999996</v>
      </c>
      <c r="H67" s="978">
        <f t="shared" si="74"/>
        <v>1</v>
      </c>
      <c r="I67" s="979">
        <f t="shared" si="74"/>
        <v>1</v>
      </c>
      <c r="J67" s="979">
        <f t="shared" si="74"/>
        <v>1</v>
      </c>
      <c r="K67" s="979">
        <f t="shared" si="74"/>
        <v>0.84140729314826768</v>
      </c>
      <c r="L67" s="979">
        <f t="shared" si="74"/>
        <v>1</v>
      </c>
      <c r="M67" s="980">
        <f t="shared" si="74"/>
        <v>1</v>
      </c>
      <c r="N67" s="303">
        <f t="shared" si="28"/>
        <v>9660.6210562973247</v>
      </c>
      <c r="O67" s="304">
        <f t="shared" si="29"/>
        <v>8223.9992912447142</v>
      </c>
      <c r="P67" s="304">
        <f t="shared" si="30"/>
        <v>8178.5207807545739</v>
      </c>
      <c r="Q67" s="304">
        <f t="shared" si="31"/>
        <v>6763.9026863324452</v>
      </c>
      <c r="R67" s="304">
        <f t="shared" si="32"/>
        <v>4189.5841045373218</v>
      </c>
      <c r="S67" s="306">
        <f t="shared" si="33"/>
        <v>6778.054228168241</v>
      </c>
      <c r="T67" s="303">
        <f t="shared" si="34"/>
        <v>1436.6217650526105</v>
      </c>
      <c r="U67" s="304">
        <f t="shared" si="35"/>
        <v>1482.1002755427508</v>
      </c>
      <c r="V67" s="304">
        <f t="shared" si="36"/>
        <v>2896.7183699648795</v>
      </c>
      <c r="W67" s="304">
        <f t="shared" si="37"/>
        <v>5471.0369517600029</v>
      </c>
      <c r="X67" s="306">
        <f t="shared" si="38"/>
        <v>2882.5668281290837</v>
      </c>
      <c r="Y67" s="307">
        <f ca="1">IF(AND(Y$22=TRUE,INDEX(CDRANGE_CLS2,MATCH($A67,$A$24:$A$67,0),MATCH(Y$20,$B$20:$G$20,0))&lt;$D$6/OPDAYS_Cls2),86,payback(C67,T67,disc_rate/12,85))</f>
        <v>5</v>
      </c>
      <c r="Z67" s="308">
        <f ca="1">IF(AND(Z$22=TRUE,INDEX(CDRANGE_CLS2,MATCH($A67,$A$24:$A$67,0),MATCH(Z$20,$B$20:$G$20,0))&lt;$D$6/OPDAYS_Cls2),86,payback(D67,U67,disc_rate/12,85))</f>
        <v>5</v>
      </c>
      <c r="AA67" s="308">
        <f ca="1">IF(AND(AA$22=TRUE,INDEX(CDRANGE_CLS2,MATCH($A67,$A$24:$A$67,0),MATCH(AA$20,$B$20:$G$20,0))&lt;$D$6/OPDAYS_Cls2),86,payback(E67,V67,disc_rate/12,85))</f>
        <v>7</v>
      </c>
      <c r="AB67" s="308">
        <f>IF(AND(AB$22=TRUE,INDEX(CDRANGE_CLS2,MATCH($A67,$A$24:$A$67,0),MATCH(AB$20,$B$20:$G$20,0))&lt;$D$6/OPDAYS_Cls2),86,payback(F67,W67,disc_rate/12,85))</f>
        <v>86</v>
      </c>
      <c r="AC67" s="309">
        <f ca="1">IF(AND(AC$22=TRUE,INDEX(CDRANGE_CLS2,MATCH($A67,$A$24:$A$67,0),MATCH(AC$20,$B$20:$G$20,0))&lt;$D$6/OPDAYS_Cls2),86,payback(G67,X67,disc_rate/12,85))</f>
        <v>2</v>
      </c>
      <c r="AD67" s="310">
        <f t="shared" si="39"/>
        <v>0</v>
      </c>
      <c r="AE67" s="311">
        <f t="shared" si="40"/>
        <v>0</v>
      </c>
      <c r="AF67" s="311">
        <f t="shared" si="41"/>
        <v>0</v>
      </c>
      <c r="AG67" s="311">
        <f t="shared" si="42"/>
        <v>0</v>
      </c>
      <c r="AH67" s="312">
        <f t="shared" si="43"/>
        <v>1.0605082788761246E-2</v>
      </c>
      <c r="AI67" s="313">
        <f t="shared" si="44"/>
        <v>0.49999999962087194</v>
      </c>
      <c r="AJ67" s="314">
        <f t="shared" si="45"/>
        <v>0.49999999962087194</v>
      </c>
      <c r="AK67" s="314">
        <f t="shared" si="46"/>
        <v>0.49999999962087194</v>
      </c>
      <c r="AL67" s="314">
        <f t="shared" si="47"/>
        <v>0.49999890515837031</v>
      </c>
      <c r="AM67" s="315">
        <f t="shared" si="48"/>
        <v>0.16804211820484452</v>
      </c>
      <c r="AN67" s="313">
        <f t="shared" si="60"/>
        <v>0.99374519890748736</v>
      </c>
      <c r="AO67" s="314">
        <f t="shared" si="60"/>
        <v>0.99329991717245192</v>
      </c>
      <c r="AP67" s="314">
        <f t="shared" si="60"/>
        <v>0.95030314360815338</v>
      </c>
      <c r="AQ67" s="314">
        <f t="shared" si="60"/>
        <v>0.93563112657703895</v>
      </c>
      <c r="AR67" s="599">
        <f t="shared" si="60"/>
        <v>0.99696856293202085</v>
      </c>
      <c r="AS67" s="319">
        <f t="shared" ca="1" si="50"/>
        <v>0.99999999924174388</v>
      </c>
      <c r="AT67" s="320">
        <f t="shared" ca="1" si="51"/>
        <v>0.99999999924174388</v>
      </c>
      <c r="AU67" s="320">
        <f t="shared" ca="1" si="52"/>
        <v>0.99672728465125515</v>
      </c>
      <c r="AV67" s="320">
        <f t="shared" si="53"/>
        <v>0</v>
      </c>
      <c r="AW67" s="321">
        <f t="shared" ca="1" si="54"/>
        <v>0.33608423640968904</v>
      </c>
      <c r="AX67" s="310">
        <f t="shared" ca="1" si="55"/>
        <v>0.993745198153974</v>
      </c>
      <c r="AY67" s="311">
        <f t="shared" ca="1" si="56"/>
        <v>0.99329991641927617</v>
      </c>
      <c r="AZ67" s="311">
        <f t="shared" ca="1" si="57"/>
        <v>0.94719307192410651</v>
      </c>
      <c r="BA67" s="320">
        <f t="shared" si="61"/>
        <v>0</v>
      </c>
      <c r="BB67" s="321">
        <f t="shared" ca="1" si="62"/>
        <v>0.33506541819747326</v>
      </c>
      <c r="BC67" s="319">
        <f t="shared" ca="1" si="63"/>
        <v>6.2548018460262256E-3</v>
      </c>
      <c r="BD67" s="320">
        <f t="shared" ca="1" si="64"/>
        <v>0.32411508282139179</v>
      </c>
      <c r="BE67" s="320">
        <f t="shared" ca="1" si="65"/>
        <v>0.32396985190446403</v>
      </c>
      <c r="BF67" s="320">
        <f t="shared" ca="1" si="66"/>
        <v>0.30893186857639821</v>
      </c>
      <c r="BG67" s="320">
        <f t="shared" ca="1" si="67"/>
        <v>0</v>
      </c>
      <c r="BH67" s="321">
        <f t="shared" ca="1" si="68"/>
        <v>3.6728394851719783E-2</v>
      </c>
    </row>
    <row r="68" spans="1:60" x14ac:dyDescent="0.2">
      <c r="A68" s="227" t="str">
        <f>"Output generated: "&amp; TEXT(MAX($L$4,$L$5),"m/dd/yyyy hh:mm")</f>
        <v>Output generated: 4/26/2020 19:05</v>
      </c>
      <c r="E68" s="234"/>
      <c r="F68" s="234"/>
      <c r="G68" s="234"/>
      <c r="H68" s="322"/>
      <c r="I68" s="234"/>
      <c r="J68" s="234"/>
      <c r="K68" s="323"/>
      <c r="L68" s="323"/>
      <c r="M68" s="323"/>
      <c r="W68" s="227"/>
      <c r="X68" s="227"/>
      <c r="Y68" s="227"/>
    </row>
    <row r="69" spans="1:60" ht="13.5" thickBot="1" x14ac:dyDescent="0.25"/>
    <row r="70" spans="1:60" s="29" customFormat="1" ht="15" x14ac:dyDescent="0.25">
      <c r="A70" s="333"/>
      <c r="B70" s="1559" t="s">
        <v>252</v>
      </c>
      <c r="C70" s="1560"/>
      <c r="D70" s="1560"/>
      <c r="E70" s="1560"/>
      <c r="F70" s="1560"/>
      <c r="G70" s="1560"/>
      <c r="H70" s="1560"/>
      <c r="I70" s="1560"/>
      <c r="J70" s="1560"/>
      <c r="K70" s="1560"/>
      <c r="L70" s="1560"/>
      <c r="M70" s="1560"/>
      <c r="N70" s="1561"/>
      <c r="O70" s="1559" t="s">
        <v>253</v>
      </c>
      <c r="P70" s="1560"/>
      <c r="Q70" s="1560"/>
      <c r="R70" s="1560"/>
      <c r="S70" s="1560"/>
      <c r="T70" s="1560"/>
      <c r="U70" s="1560"/>
      <c r="V70" s="1560"/>
      <c r="W70" s="1560"/>
      <c r="X70" s="1560"/>
      <c r="Y70" s="1560"/>
      <c r="Z70" s="1560"/>
      <c r="AA70" s="1561"/>
    </row>
    <row r="71" spans="1:60" x14ac:dyDescent="0.2">
      <c r="A71" s="324"/>
      <c r="B71" s="1556" t="s">
        <v>121</v>
      </c>
      <c r="C71" s="1557"/>
      <c r="D71" s="1557"/>
      <c r="E71" s="1557"/>
      <c r="F71" s="1557"/>
      <c r="G71" s="1557"/>
      <c r="H71" s="1557"/>
      <c r="I71" s="1557"/>
      <c r="J71" s="1557"/>
      <c r="K71" s="1557"/>
      <c r="L71" s="1557"/>
      <c r="M71" s="382"/>
      <c r="N71" s="325"/>
      <c r="O71" s="1556" t="s">
        <v>121</v>
      </c>
      <c r="P71" s="1557"/>
      <c r="Q71" s="1557"/>
      <c r="R71" s="1557"/>
      <c r="S71" s="1557"/>
      <c r="T71" s="1557"/>
      <c r="U71" s="1557"/>
      <c r="V71" s="1557"/>
      <c r="W71" s="1557"/>
      <c r="X71" s="1557"/>
      <c r="Y71" s="1557"/>
      <c r="Z71" s="382"/>
      <c r="AA71" s="325"/>
      <c r="AC71" s="955" t="s">
        <v>268</v>
      </c>
      <c r="AD71" s="234" t="b">
        <f>INDEX(TECH_OPT_FUEL2_Cls1,MATCH(RIGHT(O70),TECH_OPT_ROWS_Cls1,0))&lt;&gt;"N/A"</f>
        <v>0</v>
      </c>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7"/>
      <c r="AC72" s="955" t="s">
        <v>269</v>
      </c>
      <c r="AD72" s="234">
        <f>MATCH(RIGHT(O70),TECH_OPT_ROWS_Cls1,0)</f>
        <v>2</v>
      </c>
    </row>
    <row r="73" spans="1:60" s="228" customFormat="1" ht="13.5" thickTop="1" thickBot="1" x14ac:dyDescent="0.25">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11">
        <v>5.2963907111801883E-3</v>
      </c>
      <c r="Z73" s="384"/>
      <c r="AA73" s="336"/>
    </row>
    <row r="74" spans="1:60" s="228" customFormat="1" x14ac:dyDescent="0.2">
      <c r="A74" s="331" t="s">
        <v>125</v>
      </c>
      <c r="B74" s="924">
        <f t="array" ref="B74:L74">TRANSPOSE(Cls2CentVMTShr)</f>
        <v>6.3375455551975849E-3</v>
      </c>
      <c r="C74" s="925">
        <v>3.496913005496359E-2</v>
      </c>
      <c r="D74" s="925">
        <v>5.9955127131675522E-2</v>
      </c>
      <c r="E74" s="925">
        <v>8.4599669387910512E-2</v>
      </c>
      <c r="F74" s="925">
        <v>0.12702701008436962</v>
      </c>
      <c r="G74" s="925">
        <v>6.7204731283582092E-2</v>
      </c>
      <c r="H74" s="925">
        <v>8.8708982453757024E-2</v>
      </c>
      <c r="I74" s="925">
        <v>6.4694225377098208E-2</v>
      </c>
      <c r="J74" s="925">
        <v>3.2526447027526634E-2</v>
      </c>
      <c r="K74" s="925">
        <v>1.589064319454132E-2</v>
      </c>
      <c r="L74" s="1212">
        <v>3.2608183213810787E-2</v>
      </c>
      <c r="M74" s="1213"/>
      <c r="N74" s="1214"/>
      <c r="O74" s="924">
        <f t="array" ref="O74:Y74">TRANSPOSE(Cls2NCentVMTShr)</f>
        <v>8.1228463417563086E-3</v>
      </c>
      <c r="P74" s="925">
        <v>2.7563836768431361E-2</v>
      </c>
      <c r="Q74" s="925">
        <v>4.1883113088337191E-2</v>
      </c>
      <c r="R74" s="925">
        <v>6.4289357588678764E-2</v>
      </c>
      <c r="S74" s="925">
        <v>9.1183275251204537E-2</v>
      </c>
      <c r="T74" s="925">
        <v>5.1984283219922628E-2</v>
      </c>
      <c r="U74" s="925">
        <v>5.0286059545109812E-2</v>
      </c>
      <c r="V74" s="925">
        <v>1.5542287574292338E-2</v>
      </c>
      <c r="W74" s="925">
        <v>1.4506257462625264E-2</v>
      </c>
      <c r="X74" s="925">
        <v>4.9330966304706684E-3</v>
      </c>
      <c r="Y74" s="926">
        <v>1.5183891764738403E-2</v>
      </c>
      <c r="Z74" s="1213"/>
      <c r="AA74" s="1214"/>
      <c r="AB74" s="1572" t="str">
        <f>"% of miles on f2 for Tech "&amp; RIGHT(O69)&amp;" adopters"</f>
        <v>% of miles on f2 for Tech  adopters</v>
      </c>
      <c r="AC74" s="1573"/>
      <c r="AD74" s="1574"/>
      <c r="AE74" s="1175" t="s">
        <v>299</v>
      </c>
      <c r="AF74" s="1175"/>
      <c r="AG74" s="1175"/>
      <c r="AH74" s="1176" t="s">
        <v>298</v>
      </c>
      <c r="AI74" s="1177"/>
    </row>
    <row r="75" spans="1:60" ht="13.5" thickBot="1" x14ac:dyDescent="0.25">
      <c r="A75" s="943" t="s">
        <v>267</v>
      </c>
      <c r="B75" s="934">
        <f t="array" ref="B75:L75">TRANSPOSE(Cls2CentVMT/OPDAYS_Cls2)</f>
        <v>49.332453271995263</v>
      </c>
      <c r="C75" s="935">
        <v>120.11441047790339</v>
      </c>
      <c r="D75" s="935">
        <v>200.99157969807086</v>
      </c>
      <c r="E75" s="935">
        <v>280.98421424125928</v>
      </c>
      <c r="F75" s="935">
        <v>358.20644524895255</v>
      </c>
      <c r="G75" s="935">
        <v>432.82805471770689</v>
      </c>
      <c r="H75" s="935">
        <v>517.10615118099815</v>
      </c>
      <c r="I75" s="935">
        <v>597.8087063838957</v>
      </c>
      <c r="J75" s="935">
        <v>676.93419409560215</v>
      </c>
      <c r="K75" s="935">
        <v>746.82245226325631</v>
      </c>
      <c r="L75" s="936">
        <v>895.92826380844349</v>
      </c>
      <c r="M75" s="932"/>
      <c r="N75" s="933"/>
      <c r="O75" s="934">
        <f t="array" ref="O75:Y75">TRANSPOSE(Cls2NCentVMT/OPDAYS_Cls2)</f>
        <v>54.31462614952413</v>
      </c>
      <c r="P75" s="935">
        <v>126.62311644744663</v>
      </c>
      <c r="Q75" s="935">
        <v>206.96826351576016</v>
      </c>
      <c r="R75" s="935">
        <v>286.46600131499179</v>
      </c>
      <c r="S75" s="935">
        <v>358.9638908170715</v>
      </c>
      <c r="T75" s="935">
        <v>450.55545819643328</v>
      </c>
      <c r="U75" s="935">
        <v>511.93098482414172</v>
      </c>
      <c r="V75" s="935">
        <v>579.22933632093111</v>
      </c>
      <c r="W75" s="935">
        <v>695.25665569614875</v>
      </c>
      <c r="X75" s="935">
        <v>759.80682330760794</v>
      </c>
      <c r="Y75" s="1215">
        <v>882.81167173661356</v>
      </c>
      <c r="Z75" s="944"/>
      <c r="AA75" s="933"/>
      <c r="AB75" s="946" t="s">
        <v>187</v>
      </c>
      <c r="AC75" s="947" t="s">
        <v>15</v>
      </c>
      <c r="AD75" s="948" t="s">
        <v>18</v>
      </c>
      <c r="AE75" s="938" t="s">
        <v>187</v>
      </c>
      <c r="AF75" s="938" t="s">
        <v>15</v>
      </c>
      <c r="AG75" s="938" t="s">
        <v>18</v>
      </c>
      <c r="AH75" s="1174" t="s">
        <v>187</v>
      </c>
      <c r="AI75" s="938" t="s">
        <v>15</v>
      </c>
      <c r="AJ75" s="323"/>
      <c r="AK75" s="323"/>
      <c r="AL75" s="323"/>
      <c r="AM75" s="323"/>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9">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50">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8">
        <f t="shared" ref="AD76:AD101" si="75">AB76*AH76+AC76*AI76</f>
        <v>0</v>
      </c>
      <c r="AE76" s="938">
        <f t="shared" ref="AE76:AE90" si="76">SUMPRODUCT($B$74:$L$74,B76:L76)</f>
        <v>0</v>
      </c>
      <c r="AF76" s="938">
        <f t="shared" ref="AF76:AF90" si="77">SUMPRODUCT($O$74:$Y$74,O76:Y76)</f>
        <v>0</v>
      </c>
      <c r="AG76" s="938">
        <f t="shared" ref="AG76:AG90" si="78">SUM(AE76:AF76)</f>
        <v>0</v>
      </c>
      <c r="AH76" s="1174">
        <f>IF(AG76&gt;0,AE76/AG76,0)</f>
        <v>0</v>
      </c>
      <c r="AI76" s="938">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9">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50">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8">
        <f t="shared" si="75"/>
        <v>0</v>
      </c>
      <c r="AE77" s="938">
        <f t="shared" si="76"/>
        <v>0</v>
      </c>
      <c r="AF77" s="938">
        <f t="shared" si="77"/>
        <v>0</v>
      </c>
      <c r="AG77" s="938">
        <f t="shared" si="78"/>
        <v>0</v>
      </c>
      <c r="AH77" s="1174">
        <f t="shared" ref="AH77:AH119" si="83">IF(AG77&gt;0,AE77/AG77,0)</f>
        <v>0</v>
      </c>
      <c r="AI77" s="938">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9">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50">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8">
        <f t="shared" si="75"/>
        <v>0</v>
      </c>
      <c r="AE78" s="938">
        <f t="shared" si="76"/>
        <v>0</v>
      </c>
      <c r="AF78" s="938">
        <f t="shared" si="77"/>
        <v>0</v>
      </c>
      <c r="AG78" s="938">
        <f t="shared" si="78"/>
        <v>0</v>
      </c>
      <c r="AH78" s="1174">
        <f t="shared" si="83"/>
        <v>0</v>
      </c>
      <c r="AI78" s="938">
        <f t="shared" si="84"/>
        <v>0</v>
      </c>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9">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50">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8">
        <f t="shared" si="75"/>
        <v>0</v>
      </c>
      <c r="AE79" s="938">
        <f t="shared" si="76"/>
        <v>0</v>
      </c>
      <c r="AF79" s="938">
        <f t="shared" si="77"/>
        <v>0</v>
      </c>
      <c r="AG79" s="938">
        <f t="shared" si="78"/>
        <v>0</v>
      </c>
      <c r="AH79" s="1174">
        <f t="shared" si="83"/>
        <v>0</v>
      </c>
      <c r="AI79" s="938">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9">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50">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8">
        <f t="shared" si="75"/>
        <v>0</v>
      </c>
      <c r="AE80" s="938">
        <f t="shared" si="76"/>
        <v>0</v>
      </c>
      <c r="AF80" s="938">
        <f t="shared" si="77"/>
        <v>0</v>
      </c>
      <c r="AG80" s="938">
        <f t="shared" si="78"/>
        <v>0</v>
      </c>
      <c r="AH80" s="1174">
        <f t="shared" si="83"/>
        <v>0</v>
      </c>
      <c r="AI80" s="938">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9">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50">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8">
        <f t="shared" si="75"/>
        <v>0</v>
      </c>
      <c r="AE81" s="938">
        <f t="shared" si="76"/>
        <v>0</v>
      </c>
      <c r="AF81" s="938">
        <f t="shared" si="77"/>
        <v>0</v>
      </c>
      <c r="AG81" s="938">
        <f t="shared" si="78"/>
        <v>0</v>
      </c>
      <c r="AH81" s="1174">
        <f t="shared" si="83"/>
        <v>0</v>
      </c>
      <c r="AI81" s="938">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9">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50">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8">
        <f t="shared" si="75"/>
        <v>0</v>
      </c>
      <c r="AE82" s="938">
        <f t="shared" si="76"/>
        <v>0</v>
      </c>
      <c r="AF82" s="938">
        <f t="shared" si="77"/>
        <v>0</v>
      </c>
      <c r="AG82" s="938">
        <f t="shared" si="78"/>
        <v>0</v>
      </c>
      <c r="AH82" s="1174">
        <f t="shared" si="83"/>
        <v>0</v>
      </c>
      <c r="AI82" s="938">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9">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50">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8">
        <f t="shared" si="75"/>
        <v>0</v>
      </c>
      <c r="AE83" s="938">
        <f t="shared" si="76"/>
        <v>0</v>
      </c>
      <c r="AF83" s="938">
        <f t="shared" si="77"/>
        <v>0</v>
      </c>
      <c r="AG83" s="938">
        <f t="shared" si="78"/>
        <v>0</v>
      </c>
      <c r="AH83" s="1174">
        <f t="shared" si="83"/>
        <v>0</v>
      </c>
      <c r="AI83" s="938">
        <f t="shared" si="84"/>
        <v>0</v>
      </c>
    </row>
    <row r="84" spans="1:38" ht="13.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9">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50">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8">
        <f t="shared" si="75"/>
        <v>0</v>
      </c>
      <c r="AE84" s="938">
        <f t="shared" si="76"/>
        <v>0</v>
      </c>
      <c r="AF84" s="938">
        <f t="shared" si="77"/>
        <v>0</v>
      </c>
      <c r="AG84" s="938">
        <f t="shared" si="78"/>
        <v>0</v>
      </c>
      <c r="AH84" s="1174">
        <f t="shared" si="83"/>
        <v>0</v>
      </c>
      <c r="AI84" s="938">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9">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50">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8">
        <f t="shared" si="75"/>
        <v>0</v>
      </c>
      <c r="AE85" s="938">
        <f t="shared" si="76"/>
        <v>0</v>
      </c>
      <c r="AF85" s="938">
        <f t="shared" si="77"/>
        <v>0</v>
      </c>
      <c r="AG85" s="938">
        <f t="shared" si="78"/>
        <v>0</v>
      </c>
      <c r="AH85" s="1174">
        <f t="shared" si="83"/>
        <v>0</v>
      </c>
      <c r="AI85" s="938">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9">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50">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8">
        <f t="shared" si="75"/>
        <v>0</v>
      </c>
      <c r="AE86" s="938">
        <f t="shared" si="76"/>
        <v>0</v>
      </c>
      <c r="AF86" s="938">
        <f t="shared" si="77"/>
        <v>0</v>
      </c>
      <c r="AG86" s="938">
        <f t="shared" si="78"/>
        <v>0</v>
      </c>
      <c r="AH86" s="1174">
        <f t="shared" si="83"/>
        <v>0</v>
      </c>
      <c r="AI86" s="938">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9">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50">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8">
        <f t="shared" si="75"/>
        <v>0</v>
      </c>
      <c r="AE87" s="938">
        <f t="shared" si="76"/>
        <v>0</v>
      </c>
      <c r="AF87" s="938">
        <f t="shared" si="77"/>
        <v>0</v>
      </c>
      <c r="AG87" s="938">
        <f t="shared" si="78"/>
        <v>0</v>
      </c>
      <c r="AH87" s="1174">
        <f t="shared" si="83"/>
        <v>0</v>
      </c>
      <c r="AI87" s="938">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9">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50">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8">
        <f t="shared" si="75"/>
        <v>0</v>
      </c>
      <c r="AE88" s="938">
        <f t="shared" si="76"/>
        <v>0</v>
      </c>
      <c r="AF88" s="938">
        <f t="shared" si="77"/>
        <v>0</v>
      </c>
      <c r="AG88" s="938">
        <f t="shared" si="78"/>
        <v>0</v>
      </c>
      <c r="AH88" s="1174">
        <f t="shared" si="83"/>
        <v>0</v>
      </c>
      <c r="AI88" s="938">
        <f t="shared" si="84"/>
        <v>0</v>
      </c>
    </row>
    <row r="89" spans="1:38" ht="13.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9">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50">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8">
        <f t="shared" si="75"/>
        <v>0</v>
      </c>
      <c r="AE89" s="938">
        <f t="shared" si="76"/>
        <v>0</v>
      </c>
      <c r="AF89" s="938">
        <f t="shared" si="77"/>
        <v>0</v>
      </c>
      <c r="AG89" s="938">
        <f t="shared" si="78"/>
        <v>0</v>
      </c>
      <c r="AH89" s="1174">
        <f t="shared" si="83"/>
        <v>0</v>
      </c>
      <c r="AI89" s="938">
        <f t="shared" si="84"/>
        <v>0</v>
      </c>
    </row>
    <row r="90" spans="1:38" x14ac:dyDescent="0.2">
      <c r="A90" s="329">
        <v>2021</v>
      </c>
      <c r="B90" s="342">
        <v>1.2167783817670504E-2</v>
      </c>
      <c r="C90" s="343">
        <v>1.2167783817670504E-2</v>
      </c>
      <c r="D90" s="343">
        <v>1.2167783817670504E-2</v>
      </c>
      <c r="E90" s="343">
        <v>1.6566505986509647E-2</v>
      </c>
      <c r="F90" s="343">
        <v>2.3097487896704457E-2</v>
      </c>
      <c r="G90" s="343">
        <v>2.6734022528630101E-2</v>
      </c>
      <c r="H90" s="343">
        <v>2.882430557340241E-2</v>
      </c>
      <c r="I90" s="343">
        <v>2.8350661009308165E-2</v>
      </c>
      <c r="J90" s="343">
        <v>2.7233973098824863E-2</v>
      </c>
      <c r="K90" s="343">
        <v>2.6660702455884012E-2</v>
      </c>
      <c r="L90" s="379">
        <v>2.5619183946922877E-2</v>
      </c>
      <c r="M90" s="282">
        <f t="shared" si="79"/>
        <v>1.3900284289864371E-2</v>
      </c>
      <c r="N90" s="284">
        <f t="shared" si="80"/>
        <v>1.1358651613383281E-2</v>
      </c>
      <c r="O90" s="342">
        <v>1.2167783817670504E-2</v>
      </c>
      <c r="P90" s="343">
        <v>1.2167783817670504E-2</v>
      </c>
      <c r="Q90" s="343">
        <v>1.2167783817670504E-2</v>
      </c>
      <c r="R90" s="343">
        <v>1.9178372849965125E-2</v>
      </c>
      <c r="S90" s="343">
        <v>2.4358079611735538E-2</v>
      </c>
      <c r="T90" s="343">
        <v>2.7822202641438275E-2</v>
      </c>
      <c r="U90" s="343">
        <v>2.9474414691383944E-2</v>
      </c>
      <c r="V90" s="343">
        <v>2.8350661009308165E-2</v>
      </c>
      <c r="W90" s="343">
        <v>2.7170785433288162E-2</v>
      </c>
      <c r="X90" s="343">
        <v>2.618069659582993E-2</v>
      </c>
      <c r="Y90" s="379">
        <v>2.5619183946922877E-2</v>
      </c>
      <c r="Z90" s="282">
        <f t="shared" si="81"/>
        <v>8.6792680506114963E-3</v>
      </c>
      <c r="AA90" s="284">
        <f t="shared" si="82"/>
        <v>7.8419077424865622E-3</v>
      </c>
      <c r="AB90" s="949">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50">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8">
        <f t="shared" si="75"/>
        <v>0</v>
      </c>
      <c r="AE90" s="938">
        <f t="shared" si="76"/>
        <v>1.3900284289864371E-2</v>
      </c>
      <c r="AF90" s="938">
        <f t="shared" si="77"/>
        <v>8.6792680506114963E-3</v>
      </c>
      <c r="AG90" s="938">
        <f t="shared" si="78"/>
        <v>2.2579552340475866E-2</v>
      </c>
      <c r="AH90" s="1174">
        <f t="shared" si="83"/>
        <v>0.61561381201286569</v>
      </c>
      <c r="AI90" s="938">
        <f t="shared" si="84"/>
        <v>0.38438618798713436</v>
      </c>
    </row>
    <row r="91" spans="1:38" x14ac:dyDescent="0.2">
      <c r="A91" s="330">
        <v>2022</v>
      </c>
      <c r="B91" s="344">
        <v>3.4972827620437359E-2</v>
      </c>
      <c r="C91" s="345">
        <v>3.4972827620437359E-2</v>
      </c>
      <c r="D91" s="345">
        <v>3.4972827620437359E-2</v>
      </c>
      <c r="E91" s="345">
        <v>4.4115165333534802E-2</v>
      </c>
      <c r="F91" s="345">
        <v>5.7071752340819883E-2</v>
      </c>
      <c r="G91" s="345">
        <v>5.931243987981915E-2</v>
      </c>
      <c r="H91" s="345">
        <v>6.1670704768347982E-2</v>
      </c>
      <c r="I91" s="345">
        <v>6.028298738364276E-2</v>
      </c>
      <c r="J91" s="345">
        <v>6.1527909627191298E-2</v>
      </c>
      <c r="K91" s="345">
        <v>6.0670091450987826E-2</v>
      </c>
      <c r="L91" s="380">
        <v>6.105996552782457E-2</v>
      </c>
      <c r="M91" s="296">
        <f t="shared" si="79"/>
        <v>3.2836402869461635E-2</v>
      </c>
      <c r="N91" s="298">
        <f t="shared" si="80"/>
        <v>2.814879449018905E-2</v>
      </c>
      <c r="O91" s="344">
        <v>3.4972827620437359E-2</v>
      </c>
      <c r="P91" s="345">
        <v>3.4972827620437359E-2</v>
      </c>
      <c r="Q91" s="345">
        <v>3.4972827620437359E-2</v>
      </c>
      <c r="R91" s="345">
        <v>5.1089436704374887E-2</v>
      </c>
      <c r="S91" s="345">
        <v>5.7469536754545178E-2</v>
      </c>
      <c r="T91" s="345">
        <v>6.1925325710837718E-2</v>
      </c>
      <c r="U91" s="345">
        <v>6.0466109587009723E-2</v>
      </c>
      <c r="V91" s="345">
        <v>6.028298738364276E-2</v>
      </c>
      <c r="W91" s="345">
        <v>6.0670091450987826E-2</v>
      </c>
      <c r="X91" s="345">
        <v>6.1004387398543004E-2</v>
      </c>
      <c r="Y91" s="380">
        <v>6.0477118381449313E-2</v>
      </c>
      <c r="Z91" s="296">
        <f t="shared" si="81"/>
        <v>2.0533598872425698E-2</v>
      </c>
      <c r="AA91" s="298">
        <f t="shared" si="82"/>
        <v>1.951978073713085E-2</v>
      </c>
      <c r="AB91" s="949">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50">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8">
        <f t="shared" si="75"/>
        <v>0</v>
      </c>
      <c r="AE91" s="938">
        <f>SUMPRODUCT($B$74:$L$74,B91:L91)</f>
        <v>3.2836402869461635E-2</v>
      </c>
      <c r="AF91" s="938">
        <f>SUMPRODUCT($O$74:$Y$74,O91:Y91)</f>
        <v>2.0533598872425698E-2</v>
      </c>
      <c r="AG91" s="938">
        <f>SUM(AE91:AF91)</f>
        <v>5.337000174188733E-2</v>
      </c>
      <c r="AH91" s="1174">
        <f t="shared" si="83"/>
        <v>0.61525954277213479</v>
      </c>
      <c r="AI91" s="938">
        <f t="shared" si="84"/>
        <v>0.38474045722786526</v>
      </c>
      <c r="AK91" s="1173"/>
      <c r="AL91" s="1173"/>
    </row>
    <row r="92" spans="1:38" x14ac:dyDescent="0.2">
      <c r="A92" s="330">
        <v>2023</v>
      </c>
      <c r="B92" s="344">
        <v>8.8992333192876569E-2</v>
      </c>
      <c r="C92" s="345">
        <v>8.8992333192876569E-2</v>
      </c>
      <c r="D92" s="345">
        <v>8.4580159339709124E-2</v>
      </c>
      <c r="E92" s="345">
        <v>9.1465903685038805E-2</v>
      </c>
      <c r="F92" s="345">
        <v>0.10905974086043203</v>
      </c>
      <c r="G92" s="345">
        <v>0.12226602071690451</v>
      </c>
      <c r="H92" s="345">
        <v>0.12636886755316795</v>
      </c>
      <c r="I92" s="345">
        <v>0.13157646525278049</v>
      </c>
      <c r="J92" s="345">
        <v>0.13184808070080414</v>
      </c>
      <c r="K92" s="345">
        <v>0.13352439015942844</v>
      </c>
      <c r="L92" s="380">
        <v>0.135252914533074</v>
      </c>
      <c r="M92" s="296">
        <f t="shared" si="79"/>
        <v>6.9098345750053955E-2</v>
      </c>
      <c r="N92" s="298">
        <f t="shared" si="80"/>
        <v>6.0905808788878163E-2</v>
      </c>
      <c r="O92" s="344">
        <v>8.8992333192876569E-2</v>
      </c>
      <c r="P92" s="345">
        <v>8.8992333192876569E-2</v>
      </c>
      <c r="Q92" s="345">
        <v>7.8645628942617979E-2</v>
      </c>
      <c r="R92" s="345">
        <v>0.10107129674101643</v>
      </c>
      <c r="S92" s="345">
        <v>0.11057769988580975</v>
      </c>
      <c r="T92" s="345">
        <v>0.12564222108301479</v>
      </c>
      <c r="U92" s="345">
        <v>0.13137084756162576</v>
      </c>
      <c r="V92" s="345">
        <v>0.13157646525278049</v>
      </c>
      <c r="W92" s="345">
        <v>0.13352439015942844</v>
      </c>
      <c r="X92" s="345">
        <v>0.13598633783216277</v>
      </c>
      <c r="Y92" s="380">
        <v>0.135252914533074</v>
      </c>
      <c r="Z92" s="296">
        <f t="shared" si="81"/>
        <v>4.2894391418645872E-2</v>
      </c>
      <c r="AA92" s="298">
        <f t="shared" si="82"/>
        <v>4.1970272791639604E-2</v>
      </c>
      <c r="AB92" s="949">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50">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8">
        <f t="shared" si="75"/>
        <v>0</v>
      </c>
      <c r="AE92" s="938">
        <f t="shared" ref="AE92:AE119" si="85">SUMPRODUCT($B$74:$L$74,B92:L92)</f>
        <v>6.9098345750053955E-2</v>
      </c>
      <c r="AF92" s="938">
        <f t="shared" ref="AF92:AF119" si="86">SUMPRODUCT($O$74:$Y$74,O92:Y92)</f>
        <v>4.2894391418645872E-2</v>
      </c>
      <c r="AG92" s="938">
        <f t="shared" ref="AG92:AG119" si="87">SUM(AE92:AF92)</f>
        <v>0.11199273716869983</v>
      </c>
      <c r="AH92" s="1174">
        <f t="shared" si="83"/>
        <v>0.6169895253650951</v>
      </c>
      <c r="AI92" s="938">
        <f t="shared" si="84"/>
        <v>0.38301047463490484</v>
      </c>
      <c r="AK92" s="1173"/>
      <c r="AL92" s="1173"/>
    </row>
    <row r="93" spans="1:38" x14ac:dyDescent="0.2">
      <c r="A93" s="330">
        <v>2024</v>
      </c>
      <c r="B93" s="344">
        <v>3.8318438666002423E-2</v>
      </c>
      <c r="C93" s="345">
        <v>3.7710277440047499E-2</v>
      </c>
      <c r="D93" s="345">
        <v>7.7998890706658774E-2</v>
      </c>
      <c r="E93" s="345">
        <v>0.14210627647505925</v>
      </c>
      <c r="F93" s="345">
        <v>0.19242515489144901</v>
      </c>
      <c r="G93" s="345">
        <v>0.21094638524319897</v>
      </c>
      <c r="H93" s="345">
        <v>0.2306454578395013</v>
      </c>
      <c r="I93" s="345">
        <v>0.24083235527560634</v>
      </c>
      <c r="J93" s="345">
        <v>0.242043240192681</v>
      </c>
      <c r="K93" s="345">
        <v>0.24552738051504269</v>
      </c>
      <c r="L93" s="380">
        <v>0.24809013858676535</v>
      </c>
      <c r="M93" s="296">
        <f t="shared" si="79"/>
        <v>0.11278485495358923</v>
      </c>
      <c r="N93" s="298">
        <f t="shared" si="80"/>
        <v>8.451652576601873E-2</v>
      </c>
      <c r="O93" s="344">
        <v>3.8318438666002423E-2</v>
      </c>
      <c r="P93" s="345">
        <v>3.5763323823440586E-2</v>
      </c>
      <c r="Q93" s="345">
        <v>8.8206000188415415E-2</v>
      </c>
      <c r="R93" s="345">
        <v>0.15896028042387006</v>
      </c>
      <c r="S93" s="345">
        <v>0.20040487343659177</v>
      </c>
      <c r="T93" s="345">
        <v>0.22459207666776035</v>
      </c>
      <c r="U93" s="345">
        <v>0.22699365285109202</v>
      </c>
      <c r="V93" s="345">
        <v>0.24083235527560634</v>
      </c>
      <c r="W93" s="345">
        <v>0.24791844050180742</v>
      </c>
      <c r="X93" s="345">
        <v>0.24552738051504269</v>
      </c>
      <c r="Y93" s="380">
        <v>0.24960385078531089</v>
      </c>
      <c r="Z93" s="296">
        <f t="shared" si="81"/>
        <v>6.8914895201797416E-2</v>
      </c>
      <c r="AA93" s="298">
        <f t="shared" si="82"/>
        <v>5.6561790283396918E-2</v>
      </c>
      <c r="AB93" s="949">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50">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8">
        <f t="shared" si="75"/>
        <v>0</v>
      </c>
      <c r="AE93" s="938">
        <f t="shared" si="85"/>
        <v>0.11278485495358923</v>
      </c>
      <c r="AF93" s="938">
        <f t="shared" si="86"/>
        <v>6.8914895201797416E-2</v>
      </c>
      <c r="AG93" s="938">
        <f t="shared" si="87"/>
        <v>0.18169975015538664</v>
      </c>
      <c r="AH93" s="1174">
        <f t="shared" si="83"/>
        <v>0.62072102387118022</v>
      </c>
      <c r="AI93" s="938">
        <f t="shared" si="84"/>
        <v>0.37927897612881983</v>
      </c>
      <c r="AK93" s="1173"/>
      <c r="AL93" s="1173"/>
    </row>
    <row r="94" spans="1:38" ht="13.5" thickBot="1" x14ac:dyDescent="0.25">
      <c r="A94" s="328">
        <v>2025</v>
      </c>
      <c r="B94" s="346">
        <v>0</v>
      </c>
      <c r="C94" s="347">
        <v>2.3718558808053969E-3</v>
      </c>
      <c r="D94" s="347">
        <v>8.1615508538571829E-2</v>
      </c>
      <c r="E94" s="347">
        <v>0.18300595074060783</v>
      </c>
      <c r="F94" s="347">
        <v>0.25543820186789584</v>
      </c>
      <c r="G94" s="347">
        <v>0.30174532309073354</v>
      </c>
      <c r="H94" s="347">
        <v>0.31698145534931366</v>
      </c>
      <c r="I94" s="347">
        <v>0.33963852406110967</v>
      </c>
      <c r="J94" s="347">
        <v>0.35328669686666858</v>
      </c>
      <c r="K94" s="347">
        <v>0.3583720909294198</v>
      </c>
      <c r="L94" s="381">
        <v>0.35990599677262902</v>
      </c>
      <c r="M94" s="310">
        <f t="shared" si="79"/>
        <v>0.15219827557940527</v>
      </c>
      <c r="N94" s="312">
        <f t="shared" si="80"/>
        <v>0.10667141440794678</v>
      </c>
      <c r="O94" s="346">
        <v>0</v>
      </c>
      <c r="P94" s="347">
        <v>7.6587004086096149E-3</v>
      </c>
      <c r="Q94" s="347">
        <v>0.10572948054658697</v>
      </c>
      <c r="R94" s="347">
        <v>0.20673071974188201</v>
      </c>
      <c r="S94" s="347">
        <v>0.26745555303207258</v>
      </c>
      <c r="T94" s="347">
        <v>0.31226518116618912</v>
      </c>
      <c r="U94" s="347">
        <v>0.33132045586478637</v>
      </c>
      <c r="V94" s="347">
        <v>0.3352205173837946</v>
      </c>
      <c r="W94" s="347">
        <v>0.34985146524594402</v>
      </c>
      <c r="X94" s="347">
        <v>0.35551759766486862</v>
      </c>
      <c r="Y94" s="381">
        <v>0.35990599677262902</v>
      </c>
      <c r="Z94" s="310">
        <f t="shared" si="81"/>
        <v>9.2714828697761514E-2</v>
      </c>
      <c r="AA94" s="312">
        <f t="shared" si="82"/>
        <v>7.1060980587606348E-2</v>
      </c>
      <c r="AB94" s="949">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50">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8">
        <f t="shared" si="75"/>
        <v>0</v>
      </c>
      <c r="AE94" s="938">
        <f t="shared" si="85"/>
        <v>0.15219827557940527</v>
      </c>
      <c r="AF94" s="938">
        <f t="shared" si="86"/>
        <v>9.2714828697761514E-2</v>
      </c>
      <c r="AG94" s="938">
        <f t="shared" si="87"/>
        <v>0.24491310427716678</v>
      </c>
      <c r="AH94" s="1174">
        <f t="shared" si="83"/>
        <v>0.62143786070002749</v>
      </c>
      <c r="AI94" s="938">
        <f t="shared" si="84"/>
        <v>0.37856213929997257</v>
      </c>
      <c r="AK94" s="1173"/>
      <c r="AL94" s="1173"/>
    </row>
    <row r="95" spans="1:38" x14ac:dyDescent="0.2">
      <c r="A95" s="329">
        <v>2026</v>
      </c>
      <c r="B95" s="342">
        <v>0</v>
      </c>
      <c r="C95" s="343">
        <v>8.7613910207504503E-3</v>
      </c>
      <c r="D95" s="343">
        <v>0.13814045979495879</v>
      </c>
      <c r="E95" s="343">
        <v>0.26357787518005377</v>
      </c>
      <c r="F95" s="343">
        <v>0.33631249479563424</v>
      </c>
      <c r="G95" s="343">
        <v>0.37608524134987265</v>
      </c>
      <c r="H95" s="343">
        <v>0.40905300557086638</v>
      </c>
      <c r="I95" s="343">
        <v>0.41315504965973915</v>
      </c>
      <c r="J95" s="343">
        <v>0.4213530062171742</v>
      </c>
      <c r="K95" s="343">
        <v>0.42817716494024871</v>
      </c>
      <c r="L95" s="379">
        <v>0.43878102464503721</v>
      </c>
      <c r="M95" s="282">
        <f t="shared" si="79"/>
        <v>0.19671508702515894</v>
      </c>
      <c r="N95" s="284">
        <f t="shared" si="80"/>
        <v>0.14195502331672055</v>
      </c>
      <c r="O95" s="342">
        <v>0</v>
      </c>
      <c r="P95" s="343">
        <v>1.8330215476825021E-2</v>
      </c>
      <c r="Q95" s="343">
        <v>0.17375999951663532</v>
      </c>
      <c r="R95" s="343">
        <v>0.27827833504040117</v>
      </c>
      <c r="S95" s="343">
        <v>0.35011733895913771</v>
      </c>
      <c r="T95" s="343">
        <v>0.38176512718800676</v>
      </c>
      <c r="U95" s="343">
        <v>0.40905300557086638</v>
      </c>
      <c r="V95" s="343">
        <v>0.41315504965973915</v>
      </c>
      <c r="W95" s="343">
        <v>0.42817716494024871</v>
      </c>
      <c r="X95" s="343">
        <v>0.43346245124092414</v>
      </c>
      <c r="Y95" s="379">
        <v>0.43700386367810662</v>
      </c>
      <c r="Z95" s="282">
        <f t="shared" si="81"/>
        <v>0.11941984646025264</v>
      </c>
      <c r="AA95" s="284">
        <f t="shared" si="82"/>
        <v>9.3958202959603471E-2</v>
      </c>
      <c r="AB95" s="949">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50">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8">
        <f t="shared" si="75"/>
        <v>0</v>
      </c>
      <c r="AE95" s="938">
        <f t="shared" si="85"/>
        <v>0.19671508702515894</v>
      </c>
      <c r="AF95" s="938">
        <f t="shared" si="86"/>
        <v>0.11941984646025264</v>
      </c>
      <c r="AG95" s="938">
        <f t="shared" si="87"/>
        <v>0.31613493348541155</v>
      </c>
      <c r="AH95" s="1174">
        <f t="shared" si="83"/>
        <v>0.62225039433750717</v>
      </c>
      <c r="AI95" s="938">
        <f t="shared" si="84"/>
        <v>0.37774960566249288</v>
      </c>
      <c r="AK95" s="1173"/>
      <c r="AL95" s="1173"/>
    </row>
    <row r="96" spans="1:38" x14ac:dyDescent="0.2">
      <c r="A96" s="330">
        <v>2027</v>
      </c>
      <c r="B96" s="344">
        <v>0</v>
      </c>
      <c r="C96" s="345">
        <v>1.8736997690941719E-2</v>
      </c>
      <c r="D96" s="345">
        <v>0.1810115927116579</v>
      </c>
      <c r="E96" s="345">
        <v>0.316753962959477</v>
      </c>
      <c r="F96" s="345">
        <v>0.39288062676509716</v>
      </c>
      <c r="G96" s="345">
        <v>0.43138808223094832</v>
      </c>
      <c r="H96" s="345">
        <v>0.45180315388209713</v>
      </c>
      <c r="I96" s="345">
        <v>0.45551536101314483</v>
      </c>
      <c r="J96" s="345">
        <v>0.46289280718888204</v>
      </c>
      <c r="K96" s="345">
        <v>0.46860661262467168</v>
      </c>
      <c r="L96" s="380">
        <v>0.47243515482329568</v>
      </c>
      <c r="M96" s="296">
        <f t="shared" si="79"/>
        <v>0.22465902400521531</v>
      </c>
      <c r="N96" s="298">
        <f t="shared" si="80"/>
        <v>0.1654658631912185</v>
      </c>
      <c r="O96" s="344">
        <v>0</v>
      </c>
      <c r="P96" s="345">
        <v>3.8460337155232983E-2</v>
      </c>
      <c r="Q96" s="345">
        <v>0.20874538720179639</v>
      </c>
      <c r="R96" s="345">
        <v>0.32446217465844052</v>
      </c>
      <c r="S96" s="345">
        <v>0.38542461099258329</v>
      </c>
      <c r="T96" s="345">
        <v>0.44221836716994162</v>
      </c>
      <c r="U96" s="345">
        <v>0.44665273256210825</v>
      </c>
      <c r="V96" s="345">
        <v>0.45551536101314483</v>
      </c>
      <c r="W96" s="345">
        <v>0.46860661262467168</v>
      </c>
      <c r="X96" s="345">
        <v>0.4743564911241705</v>
      </c>
      <c r="Y96" s="380">
        <v>0.47476296782144234</v>
      </c>
      <c r="Z96" s="296">
        <f t="shared" si="81"/>
        <v>0.1346818498593168</v>
      </c>
      <c r="AA96" s="298">
        <f t="shared" si="82"/>
        <v>0.10761797230560453</v>
      </c>
      <c r="AB96" s="949">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50">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8">
        <f t="shared" si="75"/>
        <v>0</v>
      </c>
      <c r="AE96" s="938">
        <f t="shared" si="85"/>
        <v>0.22465902400521531</v>
      </c>
      <c r="AF96" s="938">
        <f t="shared" si="86"/>
        <v>0.1346818498593168</v>
      </c>
      <c r="AG96" s="938">
        <f t="shared" si="87"/>
        <v>0.35934087386453212</v>
      </c>
      <c r="AH96" s="1174">
        <f t="shared" si="83"/>
        <v>0.62519752231111203</v>
      </c>
      <c r="AI96" s="938">
        <f t="shared" si="84"/>
        <v>0.37480247768888797</v>
      </c>
      <c r="AK96" s="1173"/>
      <c r="AL96" s="1173"/>
    </row>
    <row r="97" spans="1:38" x14ac:dyDescent="0.2">
      <c r="A97" s="330">
        <v>2028</v>
      </c>
      <c r="B97" s="344">
        <v>0</v>
      </c>
      <c r="C97" s="345">
        <v>3.1465618042135296E-2</v>
      </c>
      <c r="D97" s="345">
        <v>0.215112613477729</v>
      </c>
      <c r="E97" s="345">
        <v>0.33435846787234014</v>
      </c>
      <c r="F97" s="345">
        <v>0.41897893943188869</v>
      </c>
      <c r="G97" s="345">
        <v>0.43807115879339892</v>
      </c>
      <c r="H97" s="345">
        <v>0.46027591193849393</v>
      </c>
      <c r="I97" s="345">
        <v>0.47701131869602026</v>
      </c>
      <c r="J97" s="345">
        <v>0.48289939866479442</v>
      </c>
      <c r="K97" s="345">
        <v>0.48882474682106031</v>
      </c>
      <c r="L97" s="380">
        <v>0.48844324907275155</v>
      </c>
      <c r="M97" s="296">
        <f t="shared" si="79"/>
        <v>0.23603861554864822</v>
      </c>
      <c r="N97" s="298">
        <f t="shared" si="80"/>
        <v>0.17631298928216066</v>
      </c>
      <c r="O97" s="344">
        <v>0</v>
      </c>
      <c r="P97" s="345">
        <v>5.2333048327860253E-2</v>
      </c>
      <c r="Q97" s="345">
        <v>0.23769517184120151</v>
      </c>
      <c r="R97" s="345">
        <v>0.37467013927546677</v>
      </c>
      <c r="S97" s="345">
        <v>0.41162832554293138</v>
      </c>
      <c r="T97" s="345">
        <v>0.44977796345805865</v>
      </c>
      <c r="U97" s="345">
        <v>0.46940885593521653</v>
      </c>
      <c r="V97" s="345">
        <v>0.47701131869602026</v>
      </c>
      <c r="W97" s="345">
        <v>0.48289939866479442</v>
      </c>
      <c r="X97" s="345">
        <v>0.48684471372367322</v>
      </c>
      <c r="Y97" s="380">
        <v>0.48844324907275155</v>
      </c>
      <c r="Z97" s="296">
        <f t="shared" si="81"/>
        <v>0.14424197309529327</v>
      </c>
      <c r="AA97" s="298">
        <f t="shared" si="82"/>
        <v>0.11719524414664295</v>
      </c>
      <c r="AB97" s="949">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50">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8">
        <f t="shared" si="75"/>
        <v>0</v>
      </c>
      <c r="AE97" s="938">
        <f t="shared" si="85"/>
        <v>0.23603861554864822</v>
      </c>
      <c r="AF97" s="938">
        <f t="shared" si="86"/>
        <v>0.14424197309529327</v>
      </c>
      <c r="AG97" s="938">
        <f t="shared" si="87"/>
        <v>0.38028058864394149</v>
      </c>
      <c r="AH97" s="1174">
        <f t="shared" si="83"/>
        <v>0.620695935047193</v>
      </c>
      <c r="AI97" s="938">
        <f t="shared" si="84"/>
        <v>0.379304064952807</v>
      </c>
      <c r="AK97" s="1173"/>
      <c r="AL97" s="1173"/>
    </row>
    <row r="98" spans="1:38" x14ac:dyDescent="0.2">
      <c r="A98" s="330">
        <v>2029</v>
      </c>
      <c r="B98" s="344">
        <v>0</v>
      </c>
      <c r="C98" s="345">
        <v>4.7478314375732092E-2</v>
      </c>
      <c r="D98" s="345">
        <v>0.24033188399265032</v>
      </c>
      <c r="E98" s="345">
        <v>0.3705841179661602</v>
      </c>
      <c r="F98" s="345">
        <v>0.43002377502490985</v>
      </c>
      <c r="G98" s="345">
        <v>0.45476727397925015</v>
      </c>
      <c r="H98" s="345">
        <v>0.47461592861092472</v>
      </c>
      <c r="I98" s="345">
        <v>0.48230272419930353</v>
      </c>
      <c r="J98" s="345">
        <v>0.4882561196386534</v>
      </c>
      <c r="K98" s="345">
        <v>0.49224519940708222</v>
      </c>
      <c r="L98" s="380">
        <v>0.49386146703716044</v>
      </c>
      <c r="M98" s="296">
        <f t="shared" si="79"/>
        <v>0.24571999678151157</v>
      </c>
      <c r="N98" s="298">
        <f t="shared" si="80"/>
        <v>0.18652446473506229</v>
      </c>
      <c r="O98" s="344">
        <v>0</v>
      </c>
      <c r="P98" s="345">
        <v>6.8723733032679202E-2</v>
      </c>
      <c r="Q98" s="345">
        <v>0.27217401864859697</v>
      </c>
      <c r="R98" s="345">
        <v>0.38633798271123077</v>
      </c>
      <c r="S98" s="345">
        <v>0.43002377502490985</v>
      </c>
      <c r="T98" s="345">
        <v>0.46538167441834005</v>
      </c>
      <c r="U98" s="345">
        <v>0.47461592861092472</v>
      </c>
      <c r="V98" s="345">
        <v>0.49125024265999473</v>
      </c>
      <c r="W98" s="345">
        <v>0.49224519940708222</v>
      </c>
      <c r="X98" s="345">
        <v>0.49224519940708222</v>
      </c>
      <c r="Y98" s="380">
        <v>0.49386146703716044</v>
      </c>
      <c r="Z98" s="296">
        <f t="shared" si="81"/>
        <v>0.15010409987750789</v>
      </c>
      <c r="AA98" s="298">
        <f t="shared" si="82"/>
        <v>0.12361692419107254</v>
      </c>
      <c r="AB98" s="949">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50">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8">
        <f t="shared" si="75"/>
        <v>0</v>
      </c>
      <c r="AE98" s="938">
        <f t="shared" si="85"/>
        <v>0.24571999678151157</v>
      </c>
      <c r="AF98" s="938">
        <f t="shared" si="86"/>
        <v>0.15010409987750789</v>
      </c>
      <c r="AG98" s="938">
        <f t="shared" si="87"/>
        <v>0.39582409665901946</v>
      </c>
      <c r="AH98" s="1174">
        <f t="shared" si="83"/>
        <v>0.62078079342699988</v>
      </c>
      <c r="AI98" s="938">
        <f t="shared" si="84"/>
        <v>0.37921920657300018</v>
      </c>
      <c r="AK98" s="1173"/>
      <c r="AL98" s="1173"/>
    </row>
    <row r="99" spans="1:38" ht="13.5" thickBot="1" x14ac:dyDescent="0.25">
      <c r="A99" s="328">
        <v>2030</v>
      </c>
      <c r="B99" s="346">
        <v>0</v>
      </c>
      <c r="C99" s="347">
        <v>5.6061627541480079E-2</v>
      </c>
      <c r="D99" s="347">
        <v>0.28153268180488761</v>
      </c>
      <c r="E99" s="347">
        <v>0.38781932685792314</v>
      </c>
      <c r="F99" s="347">
        <v>0.45120139318528474</v>
      </c>
      <c r="G99" s="347">
        <v>0.46716609751476856</v>
      </c>
      <c r="H99" s="347">
        <v>0.4841520280456727</v>
      </c>
      <c r="I99" s="347">
        <v>0.49012825071889982</v>
      </c>
      <c r="J99" s="347">
        <v>0.49413262590281998</v>
      </c>
      <c r="K99" s="347">
        <v>0.49413262590281998</v>
      </c>
      <c r="L99" s="381">
        <v>0.49575509082309605</v>
      </c>
      <c r="M99" s="310">
        <f t="shared" si="79"/>
        <v>0.25510691491614429</v>
      </c>
      <c r="N99" s="312">
        <f t="shared" si="80"/>
        <v>0.19646706519849547</v>
      </c>
      <c r="O99" s="346">
        <v>0</v>
      </c>
      <c r="P99" s="347">
        <v>9.2545853797549121E-2</v>
      </c>
      <c r="Q99" s="347">
        <v>0.28960587570536872</v>
      </c>
      <c r="R99" s="347">
        <v>0.40312595955856023</v>
      </c>
      <c r="S99" s="347">
        <v>0.4446289462017991</v>
      </c>
      <c r="T99" s="347">
        <v>0.47643575880944866</v>
      </c>
      <c r="U99" s="347">
        <v>0.4841520280456727</v>
      </c>
      <c r="V99" s="347">
        <v>0.49012825071889982</v>
      </c>
      <c r="W99" s="347">
        <v>0.49413262590281998</v>
      </c>
      <c r="X99" s="347">
        <v>0.49575509082309605</v>
      </c>
      <c r="Y99" s="381">
        <v>0.49575509082309605</v>
      </c>
      <c r="Z99" s="310">
        <f t="shared" si="81"/>
        <v>0.15501204485957776</v>
      </c>
      <c r="AA99" s="312">
        <f t="shared" si="82"/>
        <v>0.1293038255894419</v>
      </c>
      <c r="AB99" s="949">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50">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8">
        <f t="shared" si="75"/>
        <v>0</v>
      </c>
      <c r="AE99" s="938">
        <f t="shared" si="85"/>
        <v>0.25510691491614429</v>
      </c>
      <c r="AF99" s="938">
        <f t="shared" si="86"/>
        <v>0.15501204485957776</v>
      </c>
      <c r="AG99" s="938">
        <f t="shared" si="87"/>
        <v>0.41011895977572205</v>
      </c>
      <c r="AH99" s="1174">
        <f t="shared" si="83"/>
        <v>0.62203150777435956</v>
      </c>
      <c r="AI99" s="938">
        <f t="shared" si="84"/>
        <v>0.3779684922256405</v>
      </c>
      <c r="AK99" s="1173"/>
      <c r="AL99" s="1173"/>
    </row>
    <row r="100" spans="1:38" x14ac:dyDescent="0.2">
      <c r="A100" s="329">
        <v>2031</v>
      </c>
      <c r="B100" s="342">
        <v>0</v>
      </c>
      <c r="C100" s="343">
        <v>6.5625280422239973E-2</v>
      </c>
      <c r="D100" s="343">
        <v>0.27364532795415203</v>
      </c>
      <c r="E100" s="343">
        <v>0.38842643579677771</v>
      </c>
      <c r="F100" s="343">
        <v>0.44532498734523474</v>
      </c>
      <c r="G100" s="343">
        <v>0.46789741927747935</v>
      </c>
      <c r="H100" s="343">
        <v>0.48490994030954193</v>
      </c>
      <c r="I100" s="343">
        <v>0.49089551841699902</v>
      </c>
      <c r="J100" s="343">
        <v>0.49490616222086747</v>
      </c>
      <c r="K100" s="343">
        <v>0.49490616222086747</v>
      </c>
      <c r="L100" s="379">
        <v>0.49513678340750311</v>
      </c>
      <c r="M100" s="282">
        <f t="shared" si="79"/>
        <v>0.25445666938014255</v>
      </c>
      <c r="N100" s="284">
        <f t="shared" si="80"/>
        <v>0.19612468019053314</v>
      </c>
      <c r="O100" s="342">
        <v>0</v>
      </c>
      <c r="P100" s="343">
        <v>9.2690729029914765E-2</v>
      </c>
      <c r="Q100" s="343">
        <v>0.30663521032836782</v>
      </c>
      <c r="R100" s="343">
        <v>0.40375703015402348</v>
      </c>
      <c r="S100" s="343">
        <v>0.44532498734523474</v>
      </c>
      <c r="T100" s="343">
        <v>0.47718159169587721</v>
      </c>
      <c r="U100" s="343">
        <v>0.48490994030954193</v>
      </c>
      <c r="V100" s="343">
        <v>0.49089551841699902</v>
      </c>
      <c r="W100" s="343">
        <v>0.49484344985239875</v>
      </c>
      <c r="X100" s="343">
        <v>0.49599711830094745</v>
      </c>
      <c r="Y100" s="379">
        <v>0.49073012884484857</v>
      </c>
      <c r="Z100" s="282">
        <f t="shared" si="81"/>
        <v>0.15585733412481526</v>
      </c>
      <c r="AA100" s="284">
        <f t="shared" si="82"/>
        <v>0.13050699789814996</v>
      </c>
      <c r="AB100" s="949">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50">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8">
        <f t="shared" si="75"/>
        <v>0</v>
      </c>
      <c r="AE100" s="938">
        <f t="shared" si="85"/>
        <v>0.25445666938014255</v>
      </c>
      <c r="AF100" s="938">
        <f t="shared" si="86"/>
        <v>0.15585733412481526</v>
      </c>
      <c r="AG100" s="938">
        <f t="shared" si="87"/>
        <v>0.41031400350495784</v>
      </c>
      <c r="AH100" s="1174">
        <f t="shared" si="83"/>
        <v>0.62015107260912172</v>
      </c>
      <c r="AI100" s="938">
        <f t="shared" si="84"/>
        <v>0.37984892739087817</v>
      </c>
      <c r="AK100" s="1173"/>
      <c r="AL100" s="1173"/>
    </row>
    <row r="101" spans="1:38" x14ac:dyDescent="0.2">
      <c r="A101" s="330">
        <v>2032</v>
      </c>
      <c r="B101" s="344">
        <v>0</v>
      </c>
      <c r="C101" s="345">
        <v>6.2394648732764041E-2</v>
      </c>
      <c r="D101" s="345">
        <v>0.2738030095165716</v>
      </c>
      <c r="E101" s="345">
        <v>0.38865025722190277</v>
      </c>
      <c r="F101" s="345">
        <v>0.44558159519713586</v>
      </c>
      <c r="G101" s="345">
        <v>0.46816703395234099</v>
      </c>
      <c r="H101" s="345">
        <v>0.48518935804194929</v>
      </c>
      <c r="I101" s="345">
        <v>0.49117838519534845</v>
      </c>
      <c r="J101" s="345">
        <v>0.49454752936710156</v>
      </c>
      <c r="K101" s="345">
        <v>0.49286000885891251</v>
      </c>
      <c r="L101" s="380">
        <v>0.47285827551459308</v>
      </c>
      <c r="M101" s="296">
        <f t="shared" si="79"/>
        <v>0.25369524684430045</v>
      </c>
      <c r="N101" s="298">
        <f t="shared" si="80"/>
        <v>0.19566698205801972</v>
      </c>
      <c r="O101" s="344">
        <v>0</v>
      </c>
      <c r="P101" s="345">
        <v>0.10654711934319014</v>
      </c>
      <c r="Q101" s="345">
        <v>0.30681190151991466</v>
      </c>
      <c r="R101" s="345">
        <v>0.40398968546675462</v>
      </c>
      <c r="S101" s="345">
        <v>0.44558159519713586</v>
      </c>
      <c r="T101" s="345">
        <v>0.47745655615260307</v>
      </c>
      <c r="U101" s="345">
        <v>0.48518935804194929</v>
      </c>
      <c r="V101" s="345">
        <v>0.49085000703354181</v>
      </c>
      <c r="W101" s="345">
        <v>0.48844179460400217</v>
      </c>
      <c r="X101" s="345">
        <v>0.48115310250895404</v>
      </c>
      <c r="Y101" s="380">
        <v>0.45846955950584495</v>
      </c>
      <c r="Z101" s="296">
        <f t="shared" si="81"/>
        <v>0.15565673066704938</v>
      </c>
      <c r="AA101" s="298">
        <f t="shared" si="82"/>
        <v>0.13125917318466976</v>
      </c>
      <c r="AB101" s="949">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50">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8">
        <f t="shared" si="75"/>
        <v>0</v>
      </c>
      <c r="AE101" s="938">
        <f t="shared" si="85"/>
        <v>0.25369524684430045</v>
      </c>
      <c r="AF101" s="938">
        <f t="shared" si="86"/>
        <v>0.15565673066704938</v>
      </c>
      <c r="AG101" s="938">
        <f t="shared" si="87"/>
        <v>0.40935197751134983</v>
      </c>
      <c r="AH101" s="1174">
        <f t="shared" si="83"/>
        <v>0.6197484335769855</v>
      </c>
      <c r="AI101" s="938">
        <f t="shared" si="84"/>
        <v>0.3802515664230145</v>
      </c>
      <c r="AK101" s="1173"/>
      <c r="AL101" s="1173"/>
    </row>
    <row r="102" spans="1:38" x14ac:dyDescent="0.2">
      <c r="A102" s="330">
        <v>2033</v>
      </c>
      <c r="B102" s="344">
        <v>0</v>
      </c>
      <c r="C102" s="345">
        <v>7.2692538668780504E-2</v>
      </c>
      <c r="D102" s="345">
        <v>0.27386106305353325</v>
      </c>
      <c r="E102" s="345">
        <v>0.38873266143693519</v>
      </c>
      <c r="F102" s="345">
        <v>0.44567607037347462</v>
      </c>
      <c r="G102" s="345">
        <v>0.46826629784377061</v>
      </c>
      <c r="H102" s="345">
        <v>0.48512693331539247</v>
      </c>
      <c r="I102" s="345">
        <v>0.48777223076492449</v>
      </c>
      <c r="J102" s="345">
        <v>0.47933354085277269</v>
      </c>
      <c r="K102" s="345">
        <v>0.46429382961480775</v>
      </c>
      <c r="L102" s="380">
        <v>0.42996666763793351</v>
      </c>
      <c r="M102" s="296">
        <f t="shared" si="79"/>
        <v>0.25151117345799984</v>
      </c>
      <c r="N102" s="298">
        <f t="shared" si="80"/>
        <v>0.19560842341720922</v>
      </c>
      <c r="O102" s="344">
        <v>0</v>
      </c>
      <c r="P102" s="345">
        <v>0.10182775212694496</v>
      </c>
      <c r="Q102" s="345">
        <v>0.30687695382192037</v>
      </c>
      <c r="R102" s="345">
        <v>0.4040753420494882</v>
      </c>
      <c r="S102" s="345">
        <v>0.46361827287150781</v>
      </c>
      <c r="T102" s="345">
        <v>0.47741993757464696</v>
      </c>
      <c r="U102" s="345">
        <v>0.48301142714360679</v>
      </c>
      <c r="V102" s="345">
        <v>0.48126715188447555</v>
      </c>
      <c r="W102" s="345">
        <v>0.45956035486822999</v>
      </c>
      <c r="X102" s="345">
        <v>0.44286499098407789</v>
      </c>
      <c r="Y102" s="380">
        <v>0.4160855094764393</v>
      </c>
      <c r="Z102" s="296">
        <f t="shared" si="81"/>
        <v>0.15566776351732581</v>
      </c>
      <c r="AA102" s="298">
        <f t="shared" si="82"/>
        <v>0.13173069961240752</v>
      </c>
      <c r="AB102" s="949">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50">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8">
        <f>AB102*AH102+AC102*AI102</f>
        <v>0</v>
      </c>
      <c r="AE102" s="938">
        <f t="shared" si="85"/>
        <v>0.25151117345799984</v>
      </c>
      <c r="AF102" s="938">
        <f t="shared" si="86"/>
        <v>0.15566776351732581</v>
      </c>
      <c r="AG102" s="938">
        <f t="shared" si="87"/>
        <v>0.40717893697532564</v>
      </c>
      <c r="AH102" s="1174">
        <f t="shared" si="83"/>
        <v>0.61769200373260214</v>
      </c>
      <c r="AI102" s="938">
        <f t="shared" si="84"/>
        <v>0.38230799626739781</v>
      </c>
      <c r="AK102" s="1173"/>
      <c r="AL102" s="1173"/>
    </row>
    <row r="103" spans="1:38" x14ac:dyDescent="0.2">
      <c r="A103" s="330">
        <v>2034</v>
      </c>
      <c r="B103" s="344">
        <v>0</v>
      </c>
      <c r="C103" s="345">
        <v>6.9155104579194174E-2</v>
      </c>
      <c r="D103" s="345">
        <v>0.27388242595077034</v>
      </c>
      <c r="E103" s="345">
        <v>0.38876298504631002</v>
      </c>
      <c r="F103" s="345">
        <v>0.44571083592936006</v>
      </c>
      <c r="G103" s="345">
        <v>0.46810148969118442</v>
      </c>
      <c r="H103" s="345">
        <v>0.47832960191218926</v>
      </c>
      <c r="I103" s="345">
        <v>0.46391977305202214</v>
      </c>
      <c r="J103" s="345">
        <v>0.44449993795527415</v>
      </c>
      <c r="K103" s="345">
        <v>0.42437259839367891</v>
      </c>
      <c r="L103" s="380">
        <v>0.39081060165159054</v>
      </c>
      <c r="M103" s="296">
        <f t="shared" si="79"/>
        <v>0.24619436274330261</v>
      </c>
      <c r="N103" s="298">
        <f t="shared" si="80"/>
        <v>0.19292218445447468</v>
      </c>
      <c r="O103" s="344">
        <v>0</v>
      </c>
      <c r="P103" s="345">
        <v>0.10183569533646995</v>
      </c>
      <c r="Q103" s="345">
        <v>0.30690089216772176</v>
      </c>
      <c r="R103" s="345">
        <v>0.40410686248511346</v>
      </c>
      <c r="S103" s="345">
        <v>0.45757653545113186</v>
      </c>
      <c r="T103" s="345">
        <v>0.47144852188135494</v>
      </c>
      <c r="U103" s="345">
        <v>0.46516404514489301</v>
      </c>
      <c r="V103" s="345">
        <v>0.44813328676537184</v>
      </c>
      <c r="W103" s="345">
        <v>0.41809403763735292</v>
      </c>
      <c r="X103" s="345">
        <v>0.40526331009934957</v>
      </c>
      <c r="Y103" s="380">
        <v>0.38147800814763627</v>
      </c>
      <c r="Z103" s="296">
        <f t="shared" si="81"/>
        <v>0.15208474540532088</v>
      </c>
      <c r="AA103" s="298">
        <f t="shared" si="82"/>
        <v>0.12971161565745415</v>
      </c>
      <c r="AB103" s="949">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50">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8">
        <f t="shared" ref="AD103:AD119" si="88">AB103*AH103+AC103*AI103</f>
        <v>0</v>
      </c>
      <c r="AE103" s="938">
        <f t="shared" si="85"/>
        <v>0.24619436274330261</v>
      </c>
      <c r="AF103" s="938">
        <f t="shared" si="86"/>
        <v>0.15208474540532088</v>
      </c>
      <c r="AG103" s="938">
        <f t="shared" si="87"/>
        <v>0.3982791081486235</v>
      </c>
      <c r="AH103" s="1174">
        <f t="shared" si="83"/>
        <v>0.61814530992529915</v>
      </c>
      <c r="AI103" s="938">
        <f t="shared" si="84"/>
        <v>0.38185469007470085</v>
      </c>
      <c r="AK103" s="1173"/>
      <c r="AL103" s="1173"/>
    </row>
    <row r="104" spans="1:38" ht="13.5" thickBot="1" x14ac:dyDescent="0.25">
      <c r="A104" s="328">
        <v>2035</v>
      </c>
      <c r="B104" s="346">
        <v>0</v>
      </c>
      <c r="C104" s="347">
        <v>6.9157089175073877E-2</v>
      </c>
      <c r="D104" s="347">
        <v>0.29031888808094625</v>
      </c>
      <c r="E104" s="347">
        <v>0.38877414166913626</v>
      </c>
      <c r="F104" s="347">
        <v>0.44543248330197915</v>
      </c>
      <c r="G104" s="347">
        <v>0.45916889476249451</v>
      </c>
      <c r="H104" s="347">
        <v>0.44514809425579016</v>
      </c>
      <c r="I104" s="347">
        <v>0.42251779033936454</v>
      </c>
      <c r="J104" s="347">
        <v>0.40251390710676799</v>
      </c>
      <c r="K104" s="347">
        <v>0.38949227258790742</v>
      </c>
      <c r="L104" s="381">
        <v>0.36691423144225649</v>
      </c>
      <c r="M104" s="310">
        <f t="shared" si="79"/>
        <v>0.23822404380299131</v>
      </c>
      <c r="N104" s="312">
        <f t="shared" si="80"/>
        <v>0.18972551965034673</v>
      </c>
      <c r="O104" s="346">
        <v>0</v>
      </c>
      <c r="P104" s="347">
        <v>0.10183861779176229</v>
      </c>
      <c r="Q104" s="347">
        <v>0.30690969953269909</v>
      </c>
      <c r="R104" s="347">
        <v>0.42629867653889414</v>
      </c>
      <c r="S104" s="347">
        <v>0.45285516835969686</v>
      </c>
      <c r="T104" s="347">
        <v>0.44403297533945751</v>
      </c>
      <c r="U104" s="347">
        <v>0.42554719068824642</v>
      </c>
      <c r="V104" s="347">
        <v>0.40835654963366097</v>
      </c>
      <c r="W104" s="347">
        <v>0.3852250327547681</v>
      </c>
      <c r="X104" s="347">
        <v>0.37553778454259357</v>
      </c>
      <c r="Y104" s="381">
        <v>0.3590532712934047</v>
      </c>
      <c r="Z104" s="310">
        <f t="shared" si="81"/>
        <v>0.1480818681533442</v>
      </c>
      <c r="AA104" s="312">
        <f t="shared" si="82"/>
        <v>0.12798622937326501</v>
      </c>
      <c r="AB104" s="949">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50">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8">
        <f t="shared" si="88"/>
        <v>0</v>
      </c>
      <c r="AE104" s="938">
        <f t="shared" si="85"/>
        <v>0.23822404380299131</v>
      </c>
      <c r="AF104" s="938">
        <f t="shared" si="86"/>
        <v>0.1480818681533442</v>
      </c>
      <c r="AG104" s="938">
        <f t="shared" si="87"/>
        <v>0.38630591195633551</v>
      </c>
      <c r="AH104" s="1174">
        <f t="shared" si="83"/>
        <v>0.61667201155833717</v>
      </c>
      <c r="AI104" s="938">
        <f t="shared" si="84"/>
        <v>0.38332798844166283</v>
      </c>
      <c r="AK104" s="1173"/>
      <c r="AL104" s="1173"/>
    </row>
    <row r="105" spans="1:38" x14ac:dyDescent="0.2">
      <c r="A105" s="329">
        <v>2036</v>
      </c>
      <c r="B105" s="342">
        <v>0</v>
      </c>
      <c r="C105" s="343">
        <v>8.0279945989047724E-2</v>
      </c>
      <c r="D105" s="343">
        <v>0.29032195310041797</v>
      </c>
      <c r="E105" s="343">
        <v>0.40412272589244208</v>
      </c>
      <c r="F105" s="343">
        <v>0.44422498594837007</v>
      </c>
      <c r="G105" s="343">
        <v>0.44993827775277195</v>
      </c>
      <c r="H105" s="343">
        <v>0.43385496076776997</v>
      </c>
      <c r="I105" s="343">
        <v>0.40830132402666902</v>
      </c>
      <c r="J105" s="343">
        <v>0.39269521977687</v>
      </c>
      <c r="K105" s="343">
        <v>0.38000432050868277</v>
      </c>
      <c r="L105" s="379">
        <v>0.36279640598049656</v>
      </c>
      <c r="M105" s="282">
        <f t="shared" si="79"/>
        <v>0.23661200629207493</v>
      </c>
      <c r="N105" s="284">
        <f t="shared" si="80"/>
        <v>0.19024887830799697</v>
      </c>
      <c r="O105" s="342">
        <v>0</v>
      </c>
      <c r="P105" s="343">
        <v>0.11152522475514112</v>
      </c>
      <c r="Q105" s="343">
        <v>0.32357352406974743</v>
      </c>
      <c r="R105" s="343">
        <v>0.41857880647764883</v>
      </c>
      <c r="S105" s="343">
        <v>0.44729662983703122</v>
      </c>
      <c r="T105" s="343">
        <v>0.43012669296772871</v>
      </c>
      <c r="U105" s="343">
        <v>0.41197419878991298</v>
      </c>
      <c r="V105" s="343">
        <v>0.3985784464525538</v>
      </c>
      <c r="W105" s="343">
        <v>0.37545846880151229</v>
      </c>
      <c r="X105" s="343">
        <v>0.36683026328127483</v>
      </c>
      <c r="Y105" s="379">
        <v>0.35537448426026863</v>
      </c>
      <c r="Z105" s="282">
        <f t="shared" si="81"/>
        <v>0.14624574568819326</v>
      </c>
      <c r="AA105" s="284">
        <f t="shared" si="82"/>
        <v>0.12762059020818245</v>
      </c>
      <c r="AB105" s="949">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50">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8">
        <f t="shared" si="88"/>
        <v>0</v>
      </c>
      <c r="AE105" s="938">
        <f t="shared" si="85"/>
        <v>0.23661200629207493</v>
      </c>
      <c r="AF105" s="938">
        <f t="shared" si="86"/>
        <v>0.14624574568819326</v>
      </c>
      <c r="AG105" s="938">
        <f t="shared" si="87"/>
        <v>0.38285775198026817</v>
      </c>
      <c r="AH105" s="1174">
        <f t="shared" si="83"/>
        <v>0.6180154510865683</v>
      </c>
      <c r="AI105" s="938">
        <f t="shared" si="84"/>
        <v>0.38198454891343175</v>
      </c>
      <c r="AK105" s="1173"/>
      <c r="AL105" s="1173"/>
    </row>
    <row r="106" spans="1:38" x14ac:dyDescent="0.2">
      <c r="A106" s="330">
        <v>2037</v>
      </c>
      <c r="B106" s="344">
        <v>0</v>
      </c>
      <c r="C106" s="345">
        <v>8.028025778625611E-2</v>
      </c>
      <c r="D106" s="345">
        <v>0.29032308067435175</v>
      </c>
      <c r="E106" s="345">
        <v>0.40412429545425765</v>
      </c>
      <c r="F106" s="345">
        <v>0.44299794876033077</v>
      </c>
      <c r="G106" s="345">
        <v>0.44308123567504731</v>
      </c>
      <c r="H106" s="345">
        <v>0.42425548534598961</v>
      </c>
      <c r="I106" s="345">
        <v>0.39898310149393923</v>
      </c>
      <c r="J106" s="345">
        <v>0.37717043049794263</v>
      </c>
      <c r="K106" s="345">
        <v>0.35858288882506395</v>
      </c>
      <c r="L106" s="380">
        <v>0.33002602406479087</v>
      </c>
      <c r="M106" s="296">
        <f t="shared" si="79"/>
        <v>0.23262718098151725</v>
      </c>
      <c r="N106" s="298">
        <f t="shared" si="80"/>
        <v>0.18823231587041458</v>
      </c>
      <c r="O106" s="344">
        <v>0</v>
      </c>
      <c r="P106" s="345">
        <v>0.11152565790508057</v>
      </c>
      <c r="Q106" s="345">
        <v>0.32357470988448339</v>
      </c>
      <c r="R106" s="345">
        <v>0.41824579460515166</v>
      </c>
      <c r="S106" s="345">
        <v>0.44290877511981613</v>
      </c>
      <c r="T106" s="345">
        <v>0.42206657078554588</v>
      </c>
      <c r="U106" s="345">
        <v>0.40718706218830919</v>
      </c>
      <c r="V106" s="345">
        <v>0.38876294138531281</v>
      </c>
      <c r="W106" s="345">
        <v>0.37095981642020132</v>
      </c>
      <c r="X106" s="345">
        <v>0.366726450921458</v>
      </c>
      <c r="Y106" s="380">
        <v>0.35526635907067461</v>
      </c>
      <c r="Z106" s="296">
        <f t="shared" si="81"/>
        <v>0.14494460540908286</v>
      </c>
      <c r="AA106" s="298">
        <f t="shared" si="82"/>
        <v>0.12671248917621641</v>
      </c>
      <c r="AB106" s="949">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50">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8">
        <f t="shared" si="88"/>
        <v>0</v>
      </c>
      <c r="AE106" s="938">
        <f t="shared" si="85"/>
        <v>0.23262718098151725</v>
      </c>
      <c r="AF106" s="938">
        <f t="shared" si="86"/>
        <v>0.14494460540908286</v>
      </c>
      <c r="AG106" s="938">
        <f t="shared" si="87"/>
        <v>0.37757178639060007</v>
      </c>
      <c r="AH106" s="1174">
        <f t="shared" si="83"/>
        <v>0.61611378118401872</v>
      </c>
      <c r="AI106" s="938">
        <f t="shared" si="84"/>
        <v>0.38388621881598134</v>
      </c>
      <c r="AK106" s="1173"/>
      <c r="AL106" s="1173"/>
    </row>
    <row r="107" spans="1:38" x14ac:dyDescent="0.2">
      <c r="A107" s="330">
        <v>2038</v>
      </c>
      <c r="B107" s="344">
        <v>0</v>
      </c>
      <c r="C107" s="345">
        <v>7.6451798840876356E-2</v>
      </c>
      <c r="D107" s="345">
        <v>0.29032349548782427</v>
      </c>
      <c r="E107" s="345">
        <v>0.39912810987456865</v>
      </c>
      <c r="F107" s="345">
        <v>0.41238408230494583</v>
      </c>
      <c r="G107" s="345">
        <v>0.38577048193708124</v>
      </c>
      <c r="H107" s="345">
        <v>0.35194477815428271</v>
      </c>
      <c r="I107" s="345">
        <v>0.32583915697142052</v>
      </c>
      <c r="J107" s="345">
        <v>0.30654577363383151</v>
      </c>
      <c r="K107" s="345">
        <v>0.29336321340039012</v>
      </c>
      <c r="L107" s="380">
        <v>0.27587705332422269</v>
      </c>
      <c r="M107" s="296">
        <f t="shared" si="79"/>
        <v>0.20808445919921856</v>
      </c>
      <c r="N107" s="298">
        <f t="shared" si="80"/>
        <v>0.17300595954450096</v>
      </c>
      <c r="O107" s="344">
        <v>0</v>
      </c>
      <c r="P107" s="345">
        <v>0.11152579673887041</v>
      </c>
      <c r="Q107" s="345">
        <v>0.32356763517692688</v>
      </c>
      <c r="R107" s="345">
        <v>0.41643032261636881</v>
      </c>
      <c r="S107" s="345">
        <v>0.43243967160009134</v>
      </c>
      <c r="T107" s="345">
        <v>0.4088703468915223</v>
      </c>
      <c r="U107" s="345">
        <v>0.39262818721035764</v>
      </c>
      <c r="V107" s="345">
        <v>0.38385621499189676</v>
      </c>
      <c r="W107" s="345">
        <v>0.36662187071449126</v>
      </c>
      <c r="X107" s="345">
        <v>0.35875233931801565</v>
      </c>
      <c r="Y107" s="380">
        <v>0.35182413959673636</v>
      </c>
      <c r="Z107" s="296">
        <f t="shared" si="81"/>
        <v>0.14222409309402961</v>
      </c>
      <c r="AA107" s="298">
        <f t="shared" si="82"/>
        <v>0.12475585270495153</v>
      </c>
      <c r="AB107" s="949">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50">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8">
        <f t="shared" si="88"/>
        <v>0</v>
      </c>
      <c r="AE107" s="938">
        <f t="shared" si="85"/>
        <v>0.20808445919921856</v>
      </c>
      <c r="AF107" s="938">
        <f t="shared" si="86"/>
        <v>0.14222409309402961</v>
      </c>
      <c r="AG107" s="938">
        <f t="shared" si="87"/>
        <v>0.3503085522932482</v>
      </c>
      <c r="AH107" s="1174">
        <f t="shared" si="83"/>
        <v>0.59400336599555281</v>
      </c>
      <c r="AI107" s="938">
        <f t="shared" si="84"/>
        <v>0.40599663400444713</v>
      </c>
      <c r="AK107" s="1173"/>
      <c r="AL107" s="1173"/>
    </row>
    <row r="108" spans="1:38" x14ac:dyDescent="0.2">
      <c r="A108" s="330">
        <v>2039</v>
      </c>
      <c r="B108" s="344">
        <v>0</v>
      </c>
      <c r="C108" s="345">
        <v>7.6451839025947793E-2</v>
      </c>
      <c r="D108" s="345">
        <v>0.27830028967520221</v>
      </c>
      <c r="E108" s="345">
        <v>0.34702887563801799</v>
      </c>
      <c r="F108" s="345">
        <v>0.3397505377797842</v>
      </c>
      <c r="G108" s="345">
        <v>0.32340665718407124</v>
      </c>
      <c r="H108" s="345">
        <v>0.30299025774633903</v>
      </c>
      <c r="I108" s="345">
        <v>0.2885978882581649</v>
      </c>
      <c r="J108" s="345">
        <v>0.27919131139402426</v>
      </c>
      <c r="K108" s="345">
        <v>0.27199850931894254</v>
      </c>
      <c r="L108" s="380">
        <v>0.2630930833235452</v>
      </c>
      <c r="M108" s="296">
        <f t="shared" si="79"/>
        <v>0.18114035858657873</v>
      </c>
      <c r="N108" s="298">
        <f t="shared" si="80"/>
        <v>0.15164247018944405</v>
      </c>
      <c r="O108" s="344">
        <v>0</v>
      </c>
      <c r="P108" s="345">
        <v>0.11152111944441034</v>
      </c>
      <c r="Q108" s="345">
        <v>0.32350826671704969</v>
      </c>
      <c r="R108" s="345">
        <v>0.41061236007734292</v>
      </c>
      <c r="S108" s="345">
        <v>0.4173771845909815</v>
      </c>
      <c r="T108" s="345">
        <v>0.3946664937955936</v>
      </c>
      <c r="U108" s="345">
        <v>0.38279366147567806</v>
      </c>
      <c r="V108" s="345">
        <v>0.37432717103621999</v>
      </c>
      <c r="W108" s="345">
        <v>0.36242811758832899</v>
      </c>
      <c r="X108" s="345">
        <v>0.35500923196899775</v>
      </c>
      <c r="Y108" s="380">
        <v>0.3486165387269341</v>
      </c>
      <c r="Z108" s="296">
        <f t="shared" si="81"/>
        <v>0.13896497321332396</v>
      </c>
      <c r="AA108" s="298">
        <f t="shared" si="82"/>
        <v>0.12223926256831948</v>
      </c>
      <c r="AB108" s="949">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50">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8">
        <f t="shared" si="88"/>
        <v>0</v>
      </c>
      <c r="AE108" s="938">
        <f t="shared" si="85"/>
        <v>0.18114035858657873</v>
      </c>
      <c r="AF108" s="938">
        <f t="shared" si="86"/>
        <v>0.13896497321332396</v>
      </c>
      <c r="AG108" s="938">
        <f t="shared" si="87"/>
        <v>0.32010533179990269</v>
      </c>
      <c r="AH108" s="1174">
        <f t="shared" si="83"/>
        <v>0.56587735533192951</v>
      </c>
      <c r="AI108" s="938">
        <f t="shared" si="84"/>
        <v>0.43412264466807049</v>
      </c>
      <c r="AK108" s="1173"/>
      <c r="AL108" s="1173"/>
    </row>
    <row r="109" spans="1:38" ht="13.5" thickBot="1" x14ac:dyDescent="0.25">
      <c r="A109" s="328">
        <v>2040</v>
      </c>
      <c r="B109" s="346">
        <v>0</v>
      </c>
      <c r="C109" s="347">
        <v>7.4650079144059384E-2</v>
      </c>
      <c r="D109" s="347">
        <v>0.24027524813021181</v>
      </c>
      <c r="E109" s="347">
        <v>0.30379322991311908</v>
      </c>
      <c r="F109" s="347">
        <v>0.29976632046813745</v>
      </c>
      <c r="G109" s="347">
        <v>0.29821954529828115</v>
      </c>
      <c r="H109" s="347">
        <v>0.28160332123654352</v>
      </c>
      <c r="I109" s="347">
        <v>0.27273269354855834</v>
      </c>
      <c r="J109" s="347">
        <v>0.26984526876633058</v>
      </c>
      <c r="K109" s="347">
        <v>0.2656985866431345</v>
      </c>
      <c r="L109" s="381">
        <v>0.25936194672695839</v>
      </c>
      <c r="M109" s="310">
        <f t="shared" si="79"/>
        <v>0.16491869758770822</v>
      </c>
      <c r="N109" s="312">
        <f t="shared" si="80"/>
        <v>0.13652895954106484</v>
      </c>
      <c r="O109" s="346">
        <v>0</v>
      </c>
      <c r="P109" s="347">
        <v>0.11147244183489917</v>
      </c>
      <c r="Q109" s="347">
        <v>0.32284242931754581</v>
      </c>
      <c r="R109" s="347">
        <v>0.39808309148175608</v>
      </c>
      <c r="S109" s="347">
        <v>0.39775596484892761</v>
      </c>
      <c r="T109" s="347">
        <v>0.37999176728249279</v>
      </c>
      <c r="U109" s="347">
        <v>0.38054238591767914</v>
      </c>
      <c r="V109" s="347">
        <v>0.36521882381120252</v>
      </c>
      <c r="W109" s="347">
        <v>0.35838941831605103</v>
      </c>
      <c r="X109" s="347">
        <v>0.35146577415617297</v>
      </c>
      <c r="Y109" s="381">
        <v>0.34565482783689755</v>
      </c>
      <c r="Z109" s="310">
        <f t="shared" si="81"/>
        <v>0.13520245402223005</v>
      </c>
      <c r="AA109" s="312">
        <f t="shared" si="82"/>
        <v>0.11908035330897648</v>
      </c>
      <c r="AB109" s="949">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50">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8">
        <f t="shared" si="88"/>
        <v>0</v>
      </c>
      <c r="AE109" s="938">
        <f t="shared" si="85"/>
        <v>0.16491869758770822</v>
      </c>
      <c r="AF109" s="938">
        <f t="shared" si="86"/>
        <v>0.13520245402223005</v>
      </c>
      <c r="AG109" s="938">
        <f t="shared" si="87"/>
        <v>0.30012115160993824</v>
      </c>
      <c r="AH109" s="1174">
        <f t="shared" si="83"/>
        <v>0.54950707973441981</v>
      </c>
      <c r="AI109" s="938">
        <f t="shared" si="84"/>
        <v>0.4504929202655803</v>
      </c>
      <c r="AK109" s="1173"/>
      <c r="AL109" s="1173"/>
    </row>
    <row r="110" spans="1:38" x14ac:dyDescent="0.2">
      <c r="A110" s="329">
        <v>2041</v>
      </c>
      <c r="B110" s="342">
        <v>0</v>
      </c>
      <c r="C110" s="343">
        <v>6.4480747129231561E-2</v>
      </c>
      <c r="D110" s="343">
        <v>0.21296171085075169</v>
      </c>
      <c r="E110" s="343">
        <v>0.27190846309538785</v>
      </c>
      <c r="F110" s="343">
        <v>0.27500174895704127</v>
      </c>
      <c r="G110" s="343">
        <v>0.28073601892851091</v>
      </c>
      <c r="H110" s="343">
        <v>0.27124260283474594</v>
      </c>
      <c r="I110" s="343">
        <v>0.26539641485897308</v>
      </c>
      <c r="J110" s="343">
        <v>0.26343598248589939</v>
      </c>
      <c r="K110" s="343">
        <v>0.26218464459672819</v>
      </c>
      <c r="L110" s="379">
        <v>0.25693747138076883</v>
      </c>
      <c r="M110" s="282">
        <f t="shared" si="79"/>
        <v>0.15417024089584527</v>
      </c>
      <c r="N110" s="284">
        <f t="shared" si="80"/>
        <v>0.12567501293266134</v>
      </c>
      <c r="O110" s="342">
        <v>0</v>
      </c>
      <c r="P110" s="343">
        <v>0.11130404431477248</v>
      </c>
      <c r="Q110" s="343">
        <v>0.31677249373240701</v>
      </c>
      <c r="R110" s="343">
        <v>0.37486343041196241</v>
      </c>
      <c r="S110" s="343">
        <v>0.37946283326899982</v>
      </c>
      <c r="T110" s="343">
        <v>0.37011155170992233</v>
      </c>
      <c r="U110" s="343">
        <v>0.37097026348071266</v>
      </c>
      <c r="V110" s="343">
        <v>0.35668371254387576</v>
      </c>
      <c r="W110" s="343">
        <v>0.3511627105479142</v>
      </c>
      <c r="X110" s="343">
        <v>0.34811052920524244</v>
      </c>
      <c r="Y110" s="379">
        <v>0.34292587853249523</v>
      </c>
      <c r="Z110" s="282">
        <f t="shared" si="81"/>
        <v>0.13049234409710356</v>
      </c>
      <c r="AA110" s="284">
        <f t="shared" si="82"/>
        <v>0.11487651199619954</v>
      </c>
      <c r="AB110" s="949">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50">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8">
        <f t="shared" si="88"/>
        <v>0</v>
      </c>
      <c r="AE110" s="938">
        <f t="shared" si="85"/>
        <v>0.15417024089584527</v>
      </c>
      <c r="AF110" s="938">
        <f t="shared" si="86"/>
        <v>0.13049234409710356</v>
      </c>
      <c r="AG110" s="938">
        <f t="shared" si="87"/>
        <v>0.28466258499294883</v>
      </c>
      <c r="AH110" s="1174">
        <f t="shared" si="83"/>
        <v>0.54158940803430178</v>
      </c>
      <c r="AI110" s="938">
        <f t="shared" si="84"/>
        <v>0.45841059196569822</v>
      </c>
      <c r="AK110" s="1173"/>
      <c r="AL110" s="1173"/>
    </row>
    <row r="111" spans="1:38" x14ac:dyDescent="0.2">
      <c r="A111" s="330">
        <v>2042</v>
      </c>
      <c r="B111" s="344">
        <v>0</v>
      </c>
      <c r="C111" s="345">
        <v>6.1512873096878459E-2</v>
      </c>
      <c r="D111" s="345">
        <v>0.1959887237615239</v>
      </c>
      <c r="E111" s="345">
        <v>0.24810342085760889</v>
      </c>
      <c r="F111" s="345">
        <v>0.26230558171774904</v>
      </c>
      <c r="G111" s="345">
        <v>0.26733716302519761</v>
      </c>
      <c r="H111" s="345">
        <v>0.26278594734847566</v>
      </c>
      <c r="I111" s="345">
        <v>0.26047738434183842</v>
      </c>
      <c r="J111" s="345">
        <v>0.25896334426721845</v>
      </c>
      <c r="K111" s="345">
        <v>0.25831999170836123</v>
      </c>
      <c r="L111" s="380">
        <v>0.2554516675570615</v>
      </c>
      <c r="M111" s="296">
        <f t="shared" si="79"/>
        <v>0.14719796356099529</v>
      </c>
      <c r="N111" s="298">
        <f t="shared" si="80"/>
        <v>0.11889685709962015</v>
      </c>
      <c r="O111" s="344">
        <v>0</v>
      </c>
      <c r="P111" s="345">
        <v>0.12040197614743693</v>
      </c>
      <c r="Q111" s="345">
        <v>0.29500366734651012</v>
      </c>
      <c r="R111" s="345">
        <v>0.35024085714139674</v>
      </c>
      <c r="S111" s="345">
        <v>0.36005129456120349</v>
      </c>
      <c r="T111" s="345">
        <v>0.35593040572886581</v>
      </c>
      <c r="U111" s="345">
        <v>0.35621674240583318</v>
      </c>
      <c r="V111" s="345">
        <v>0.35356267051166645</v>
      </c>
      <c r="W111" s="345">
        <v>0.34766361530684126</v>
      </c>
      <c r="X111" s="345">
        <v>0.34491555716216793</v>
      </c>
      <c r="Y111" s="380">
        <v>0.34040362538113189</v>
      </c>
      <c r="Z111" s="296">
        <f t="shared" si="81"/>
        <v>0.12484597591070457</v>
      </c>
      <c r="AA111" s="298">
        <f t="shared" si="82"/>
        <v>0.10989165660154931</v>
      </c>
      <c r="AB111" s="949">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50">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8">
        <f t="shared" si="88"/>
        <v>0</v>
      </c>
      <c r="AE111" s="938">
        <f t="shared" si="85"/>
        <v>0.14719796356099529</v>
      </c>
      <c r="AF111" s="938">
        <f t="shared" si="86"/>
        <v>0.12484597591070457</v>
      </c>
      <c r="AG111" s="938">
        <f t="shared" si="87"/>
        <v>0.27204393947169986</v>
      </c>
      <c r="AH111" s="1174">
        <f t="shared" si="83"/>
        <v>0.54108157618526176</v>
      </c>
      <c r="AI111" s="938">
        <f t="shared" si="84"/>
        <v>0.4589184238147383</v>
      </c>
      <c r="AK111" s="1173"/>
      <c r="AL111" s="1173"/>
    </row>
    <row r="112" spans="1:38" x14ac:dyDescent="0.2">
      <c r="A112" s="330">
        <v>2043</v>
      </c>
      <c r="B112" s="344">
        <v>0</v>
      </c>
      <c r="C112" s="345">
        <v>8.1983471083009601E-2</v>
      </c>
      <c r="D112" s="345">
        <v>0.20165439405002142</v>
      </c>
      <c r="E112" s="345">
        <v>0.24935073603665073</v>
      </c>
      <c r="F112" s="345">
        <v>0.25813315951463101</v>
      </c>
      <c r="G112" s="345">
        <v>0.26211339708525749</v>
      </c>
      <c r="H112" s="345">
        <v>0.26123067036230274</v>
      </c>
      <c r="I112" s="345">
        <v>0.25935912460366856</v>
      </c>
      <c r="J112" s="345">
        <v>0.25693715575204751</v>
      </c>
      <c r="K112" s="345">
        <v>0.25666758616437085</v>
      </c>
      <c r="L112" s="380">
        <v>0.25415865759221284</v>
      </c>
      <c r="M112" s="296">
        <f t="shared" si="79"/>
        <v>0.14713330170236569</v>
      </c>
      <c r="N112" s="298">
        <f t="shared" si="80"/>
        <v>0.12048801854629584</v>
      </c>
      <c r="O112" s="344">
        <v>0</v>
      </c>
      <c r="P112" s="345">
        <v>0.1096381860534788</v>
      </c>
      <c r="Q112" s="345">
        <v>0.25346557363380351</v>
      </c>
      <c r="R112" s="345">
        <v>0.3224174484044916</v>
      </c>
      <c r="S112" s="345">
        <v>0.34093582751631202</v>
      </c>
      <c r="T112" s="345">
        <v>0.34285816558034932</v>
      </c>
      <c r="U112" s="345">
        <v>0.34818267056859797</v>
      </c>
      <c r="V112" s="345">
        <v>0.34954652442695822</v>
      </c>
      <c r="W112" s="345">
        <v>0.34425668658824793</v>
      </c>
      <c r="X112" s="345">
        <v>0.34183634105286409</v>
      </c>
      <c r="Y112" s="380">
        <v>0.33975821774013337</v>
      </c>
      <c r="Z112" s="296">
        <f t="shared" si="81"/>
        <v>0.11805739531245707</v>
      </c>
      <c r="AA112" s="298">
        <f t="shared" si="82"/>
        <v>0.10239143132794025</v>
      </c>
      <c r="AB112" s="949">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50">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8">
        <f t="shared" si="88"/>
        <v>0</v>
      </c>
      <c r="AE112" s="938">
        <f t="shared" si="85"/>
        <v>0.14713330170236569</v>
      </c>
      <c r="AF112" s="938">
        <f t="shared" si="86"/>
        <v>0.11805739531245707</v>
      </c>
      <c r="AG112" s="938">
        <f t="shared" si="87"/>
        <v>0.26519069701482278</v>
      </c>
      <c r="AH112" s="1174">
        <f t="shared" si="83"/>
        <v>0.55482075109950668</v>
      </c>
      <c r="AI112" s="938">
        <f t="shared" si="84"/>
        <v>0.44517924890049321</v>
      </c>
      <c r="AK112" s="1173"/>
      <c r="AL112" s="1173"/>
    </row>
    <row r="113" spans="1:39" x14ac:dyDescent="0.2">
      <c r="A113" s="330">
        <v>2044</v>
      </c>
      <c r="B113" s="344">
        <v>0</v>
      </c>
      <c r="C113" s="345">
        <v>8.1605759768392586E-2</v>
      </c>
      <c r="D113" s="345">
        <v>0.19259320522260168</v>
      </c>
      <c r="E113" s="345">
        <v>0.24188312485309468</v>
      </c>
      <c r="F113" s="345">
        <v>0.25397580942316222</v>
      </c>
      <c r="G113" s="345">
        <v>0.25790305772094052</v>
      </c>
      <c r="H113" s="345">
        <v>0.25802562402731932</v>
      </c>
      <c r="I113" s="345">
        <v>0.25605015542553111</v>
      </c>
      <c r="J113" s="345">
        <v>0.25554125859401622</v>
      </c>
      <c r="K113" s="345">
        <v>0.25519332682162804</v>
      </c>
      <c r="L113" s="380">
        <v>0.25307408830589107</v>
      </c>
      <c r="M113" s="296">
        <f t="shared" si="79"/>
        <v>0.1445314368883138</v>
      </c>
      <c r="N113" s="298">
        <f t="shared" si="80"/>
        <v>0.11795210755766396</v>
      </c>
      <c r="O113" s="344">
        <v>0</v>
      </c>
      <c r="P113" s="345">
        <v>9.1280658941151255E-2</v>
      </c>
      <c r="Q113" s="345">
        <v>0.21127916237732866</v>
      </c>
      <c r="R113" s="345">
        <v>0.30856465355521712</v>
      </c>
      <c r="S113" s="345">
        <v>0.32787584695035588</v>
      </c>
      <c r="T113" s="345">
        <v>0.3351563984373096</v>
      </c>
      <c r="U113" s="345">
        <v>0.3444002698518428</v>
      </c>
      <c r="V113" s="345">
        <v>0.34138945740113497</v>
      </c>
      <c r="W113" s="345">
        <v>0.34135911261289664</v>
      </c>
      <c r="X113" s="345">
        <v>0.33928508926687106</v>
      </c>
      <c r="Y113" s="380">
        <v>0.33757775143844798</v>
      </c>
      <c r="Z113" s="296">
        <f t="shared" si="81"/>
        <v>0.11289797527021032</v>
      </c>
      <c r="AA113" s="298">
        <f t="shared" si="82"/>
        <v>9.6062328961215041E-2</v>
      </c>
      <c r="AB113" s="949">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50">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8">
        <f t="shared" si="88"/>
        <v>0</v>
      </c>
      <c r="AE113" s="938">
        <f t="shared" si="85"/>
        <v>0.1445314368883138</v>
      </c>
      <c r="AF113" s="938">
        <f t="shared" si="86"/>
        <v>0.11289797527021032</v>
      </c>
      <c r="AG113" s="938">
        <f t="shared" si="87"/>
        <v>0.25742941215852411</v>
      </c>
      <c r="AH113" s="1174">
        <f t="shared" si="83"/>
        <v>0.56144103999783779</v>
      </c>
      <c r="AI113" s="938">
        <f t="shared" si="84"/>
        <v>0.43855896000216227</v>
      </c>
      <c r="AK113" s="1173"/>
      <c r="AL113" s="1173"/>
    </row>
    <row r="114" spans="1:39" ht="13.5" thickBot="1" x14ac:dyDescent="0.25">
      <c r="A114" s="328">
        <v>2045</v>
      </c>
      <c r="B114" s="346">
        <v>0</v>
      </c>
      <c r="C114" s="347">
        <v>8.3014788889210794E-2</v>
      </c>
      <c r="D114" s="347">
        <v>0.17926943129333436</v>
      </c>
      <c r="E114" s="347">
        <v>0.24193872271105649</v>
      </c>
      <c r="F114" s="347">
        <v>0.2517753946743399</v>
      </c>
      <c r="G114" s="347">
        <v>0.25753898035789902</v>
      </c>
      <c r="H114" s="347">
        <v>0.25637213550519178</v>
      </c>
      <c r="I114" s="347">
        <v>0.25469820117134745</v>
      </c>
      <c r="J114" s="347">
        <v>0.2543612405978547</v>
      </c>
      <c r="K114" s="347">
        <v>0.25391162593984046</v>
      </c>
      <c r="L114" s="381">
        <v>0.25295342700564311</v>
      </c>
      <c r="M114" s="310">
        <f t="shared" si="79"/>
        <v>0.14318577827611192</v>
      </c>
      <c r="N114" s="312">
        <f t="shared" si="80"/>
        <v>0.1164423897614003</v>
      </c>
      <c r="O114" s="346">
        <v>0</v>
      </c>
      <c r="P114" s="347">
        <v>8.0401638280866911E-2</v>
      </c>
      <c r="Q114" s="347">
        <v>0.18559410294624704</v>
      </c>
      <c r="R114" s="347">
        <v>0.29501586068426833</v>
      </c>
      <c r="S114" s="347">
        <v>0.32283379950143293</v>
      </c>
      <c r="T114" s="347">
        <v>0.33075882245717647</v>
      </c>
      <c r="U114" s="347">
        <v>0.34022024507454796</v>
      </c>
      <c r="V114" s="347">
        <v>0.33752130748919984</v>
      </c>
      <c r="W114" s="347">
        <v>0.33815051098956428</v>
      </c>
      <c r="X114" s="347">
        <v>0.33645317737818609</v>
      </c>
      <c r="Y114" s="381">
        <v>0.33515026225471672</v>
      </c>
      <c r="Z114" s="310">
        <f t="shared" si="81"/>
        <v>0.10959524854389707</v>
      </c>
      <c r="AA114" s="312">
        <f t="shared" si="82"/>
        <v>9.2047964573934923E-2</v>
      </c>
      <c r="AB114" s="949">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50">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8">
        <f t="shared" si="88"/>
        <v>0</v>
      </c>
      <c r="AE114" s="938">
        <f t="shared" si="85"/>
        <v>0.14318577827611192</v>
      </c>
      <c r="AF114" s="938">
        <f t="shared" si="86"/>
        <v>0.10959524854389707</v>
      </c>
      <c r="AG114" s="938">
        <f t="shared" si="87"/>
        <v>0.25278102682000902</v>
      </c>
      <c r="AH114" s="1174">
        <f t="shared" si="83"/>
        <v>0.56644195206179915</v>
      </c>
      <c r="AI114" s="938">
        <f t="shared" si="84"/>
        <v>0.43355804793820069</v>
      </c>
      <c r="AK114" s="1173"/>
      <c r="AL114" s="1173"/>
    </row>
    <row r="115" spans="1:39" x14ac:dyDescent="0.2">
      <c r="A115" s="329">
        <v>2046</v>
      </c>
      <c r="B115" s="342">
        <v>0</v>
      </c>
      <c r="C115" s="343">
        <v>7.7704449487337957E-2</v>
      </c>
      <c r="D115" s="343">
        <v>0.17278941079641777</v>
      </c>
      <c r="E115" s="343">
        <v>0.24241183932945407</v>
      </c>
      <c r="F115" s="343">
        <v>0.25121625327984232</v>
      </c>
      <c r="G115" s="343">
        <v>0.25764645949625453</v>
      </c>
      <c r="H115" s="343">
        <v>0.25484536920969003</v>
      </c>
      <c r="I115" s="343">
        <v>0.25350105419968949</v>
      </c>
      <c r="J115" s="343">
        <v>0.25335083610799009</v>
      </c>
      <c r="K115" s="343">
        <v>0.25379625983361437</v>
      </c>
      <c r="L115" s="379">
        <v>0.25210107658568376</v>
      </c>
      <c r="M115" s="282">
        <f t="shared" si="79"/>
        <v>0.14231241434186032</v>
      </c>
      <c r="N115" s="284">
        <f t="shared" si="80"/>
        <v>0.11521321349751754</v>
      </c>
      <c r="O115" s="342">
        <v>0</v>
      </c>
      <c r="P115" s="343">
        <v>8.4369677953325825E-2</v>
      </c>
      <c r="Q115" s="343">
        <v>0.17069599110671038</v>
      </c>
      <c r="R115" s="343">
        <v>0.28959744015548655</v>
      </c>
      <c r="S115" s="343">
        <v>0.31422252319404032</v>
      </c>
      <c r="T115" s="343">
        <v>0.32619721442561783</v>
      </c>
      <c r="U115" s="343">
        <v>0.33730099939948971</v>
      </c>
      <c r="V115" s="343">
        <v>0.33353237638092359</v>
      </c>
      <c r="W115" s="343">
        <v>0.3365518143736988</v>
      </c>
      <c r="X115" s="343">
        <v>0.33486910686110311</v>
      </c>
      <c r="Y115" s="379">
        <v>0.33357737407941057</v>
      </c>
      <c r="Z115" s="282">
        <f t="shared" si="81"/>
        <v>0.10744627804445056</v>
      </c>
      <c r="AA115" s="284">
        <f t="shared" si="82"/>
        <v>9.0032410392400147E-2</v>
      </c>
      <c r="AB115" s="949">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50">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8">
        <f t="shared" si="88"/>
        <v>0</v>
      </c>
      <c r="AE115" s="938">
        <f t="shared" si="85"/>
        <v>0.14231241434186032</v>
      </c>
      <c r="AF115" s="938">
        <f t="shared" si="86"/>
        <v>0.10744627804445056</v>
      </c>
      <c r="AG115" s="938">
        <f t="shared" si="87"/>
        <v>0.24975869238631088</v>
      </c>
      <c r="AH115" s="1174">
        <f t="shared" si="83"/>
        <v>0.56979964533823113</v>
      </c>
      <c r="AI115" s="938">
        <f t="shared" si="84"/>
        <v>0.43020035466176881</v>
      </c>
      <c r="AK115" s="1173"/>
      <c r="AL115" s="1173"/>
    </row>
    <row r="116" spans="1:39" x14ac:dyDescent="0.2">
      <c r="A116" s="330">
        <v>2047</v>
      </c>
      <c r="B116" s="344">
        <v>0</v>
      </c>
      <c r="C116" s="345">
        <v>7.4264710931899042E-2</v>
      </c>
      <c r="D116" s="345">
        <v>0.16929159894645934</v>
      </c>
      <c r="E116" s="345">
        <v>0.24227799544535891</v>
      </c>
      <c r="F116" s="345">
        <v>0.24927228243438612</v>
      </c>
      <c r="G116" s="345">
        <v>0.25222260946004438</v>
      </c>
      <c r="H116" s="345">
        <v>0.25345963161172397</v>
      </c>
      <c r="I116" s="345">
        <v>0.25363570844028532</v>
      </c>
      <c r="J116" s="345">
        <v>0.25348544451457267</v>
      </c>
      <c r="K116" s="345">
        <v>0.25293409008280171</v>
      </c>
      <c r="L116" s="380">
        <v>0.25219645697764265</v>
      </c>
      <c r="M116" s="296">
        <f t="shared" si="79"/>
        <v>0.14123922164821817</v>
      </c>
      <c r="N116" s="298">
        <f t="shared" si="80"/>
        <v>0.11402820744916509</v>
      </c>
      <c r="O116" s="344">
        <v>0</v>
      </c>
      <c r="P116" s="345">
        <v>8.5200615709924474E-2</v>
      </c>
      <c r="Q116" s="345">
        <v>0.16160895144788381</v>
      </c>
      <c r="R116" s="345">
        <v>0.28380144759937687</v>
      </c>
      <c r="S116" s="345">
        <v>0.31199229026756803</v>
      </c>
      <c r="T116" s="345">
        <v>0.32398513627299008</v>
      </c>
      <c r="U116" s="345">
        <v>0.32830767950205869</v>
      </c>
      <c r="V116" s="345">
        <v>0.33134269419032863</v>
      </c>
      <c r="W116" s="345">
        <v>0.33270849024665811</v>
      </c>
      <c r="X116" s="345">
        <v>0.33270849024665811</v>
      </c>
      <c r="Y116" s="380">
        <v>0.33143232681330498</v>
      </c>
      <c r="Z116" s="296">
        <f t="shared" si="81"/>
        <v>0.10581236225391726</v>
      </c>
      <c r="AA116" s="298">
        <f t="shared" si="82"/>
        <v>8.8537742911846143E-2</v>
      </c>
      <c r="AB116" s="949">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50">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8">
        <f t="shared" si="88"/>
        <v>0</v>
      </c>
      <c r="AE116" s="938">
        <f t="shared" si="85"/>
        <v>0.14123922164821817</v>
      </c>
      <c r="AF116" s="938">
        <f t="shared" si="86"/>
        <v>0.10581236225391726</v>
      </c>
      <c r="AG116" s="938">
        <f t="shared" si="87"/>
        <v>0.24705158390213544</v>
      </c>
      <c r="AH116" s="1174">
        <f t="shared" si="83"/>
        <v>0.57169931646407612</v>
      </c>
      <c r="AI116" s="938">
        <f t="shared" si="84"/>
        <v>0.42830068353592388</v>
      </c>
      <c r="AK116" s="1173"/>
      <c r="AL116" s="1173"/>
    </row>
    <row r="117" spans="1:39" x14ac:dyDescent="0.2">
      <c r="A117" s="330">
        <v>2048</v>
      </c>
      <c r="B117" s="344">
        <v>0</v>
      </c>
      <c r="C117" s="345">
        <v>7.67659056591702E-2</v>
      </c>
      <c r="D117" s="345">
        <v>0.17108678920296064</v>
      </c>
      <c r="E117" s="345">
        <v>0.24149593943501671</v>
      </c>
      <c r="F117" s="345">
        <v>0.24801645946039461</v>
      </c>
      <c r="G117" s="345">
        <v>0.25065877918732465</v>
      </c>
      <c r="H117" s="345">
        <v>0.25357965712846087</v>
      </c>
      <c r="I117" s="345">
        <v>0.25375596072361761</v>
      </c>
      <c r="J117" s="345">
        <v>0.25360561879030102</v>
      </c>
      <c r="K117" s="345">
        <v>0.25305381420291473</v>
      </c>
      <c r="L117" s="380">
        <v>0.2523155533572608</v>
      </c>
      <c r="M117" s="296">
        <f t="shared" si="79"/>
        <v>0.14113165702306552</v>
      </c>
      <c r="N117" s="298">
        <f t="shared" si="80"/>
        <v>0.11414717033654453</v>
      </c>
      <c r="O117" s="344">
        <v>0</v>
      </c>
      <c r="P117" s="345">
        <v>8.4816208351513697E-2</v>
      </c>
      <c r="Q117" s="345">
        <v>0.15891871768430807</v>
      </c>
      <c r="R117" s="345">
        <v>0.27909771352072599</v>
      </c>
      <c r="S117" s="345">
        <v>0.30754769373004237</v>
      </c>
      <c r="T117" s="345">
        <v>0.32000655596787686</v>
      </c>
      <c r="U117" s="345">
        <v>0.32461100169236817</v>
      </c>
      <c r="V117" s="345">
        <v>0.3279613942552424</v>
      </c>
      <c r="W117" s="345">
        <v>0.33133331568344948</v>
      </c>
      <c r="X117" s="345">
        <v>0.33006666094567466</v>
      </c>
      <c r="Y117" s="380">
        <v>0.32922334219787319</v>
      </c>
      <c r="Z117" s="296">
        <f t="shared" si="81"/>
        <v>0.10446962807501629</v>
      </c>
      <c r="AA117" s="298">
        <f t="shared" si="82"/>
        <v>8.7364665327830993E-2</v>
      </c>
      <c r="AB117" s="949">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50">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8">
        <f t="shared" si="88"/>
        <v>0</v>
      </c>
      <c r="AE117" s="938">
        <f t="shared" si="85"/>
        <v>0.14113165702306552</v>
      </c>
      <c r="AF117" s="938">
        <f t="shared" si="86"/>
        <v>0.10446962807501629</v>
      </c>
      <c r="AG117" s="938">
        <f t="shared" si="87"/>
        <v>0.24560128509808182</v>
      </c>
      <c r="AH117" s="1174">
        <f t="shared" si="83"/>
        <v>0.57463729054473001</v>
      </c>
      <c r="AI117" s="938">
        <f t="shared" si="84"/>
        <v>0.42536270945526994</v>
      </c>
      <c r="AK117" s="1173"/>
      <c r="AL117" s="1173"/>
    </row>
    <row r="118" spans="1:39" x14ac:dyDescent="0.2">
      <c r="A118" s="330">
        <v>2049</v>
      </c>
      <c r="B118" s="344">
        <v>0</v>
      </c>
      <c r="C118" s="345">
        <v>7.6917223726433434E-2</v>
      </c>
      <c r="D118" s="345">
        <v>0.16972725689464066</v>
      </c>
      <c r="E118" s="345">
        <v>0.23940864399177159</v>
      </c>
      <c r="F118" s="345">
        <v>0.2481175413247993</v>
      </c>
      <c r="G118" s="345">
        <v>0.25076204292879695</v>
      </c>
      <c r="H118" s="345">
        <v>0.25368532996102694</v>
      </c>
      <c r="I118" s="345">
        <v>0.25269810481260391</v>
      </c>
      <c r="J118" s="345">
        <v>0.2527508803582828</v>
      </c>
      <c r="K118" s="345">
        <v>0.25315909486466942</v>
      </c>
      <c r="L118" s="380">
        <v>0.25242023676372549</v>
      </c>
      <c r="M118" s="296">
        <f t="shared" si="79"/>
        <v>0.14081685485597056</v>
      </c>
      <c r="N118" s="298">
        <f t="shared" si="80"/>
        <v>0.11381785003573117</v>
      </c>
      <c r="O118" s="344">
        <v>0</v>
      </c>
      <c r="P118" s="345">
        <v>8.1503042678761947E-2</v>
      </c>
      <c r="Q118" s="345">
        <v>0.16100988381245937</v>
      </c>
      <c r="R118" s="345">
        <v>0.27589844033706429</v>
      </c>
      <c r="S118" s="345">
        <v>0.30428636336090858</v>
      </c>
      <c r="T118" s="345">
        <v>0.31675914212459194</v>
      </c>
      <c r="U118" s="345">
        <v>0.32137278866561075</v>
      </c>
      <c r="V118" s="345">
        <v>0.32473412670539442</v>
      </c>
      <c r="W118" s="345">
        <v>0.32811203117870658</v>
      </c>
      <c r="X118" s="345">
        <v>0.32686886671457421</v>
      </c>
      <c r="Y118" s="380">
        <v>0.32604114027897207</v>
      </c>
      <c r="Z118" s="296">
        <f t="shared" si="81"/>
        <v>0.10347019846796901</v>
      </c>
      <c r="AA118" s="298">
        <f t="shared" si="82"/>
        <v>8.6512740629394083E-2</v>
      </c>
      <c r="AB118" s="949">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50">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8">
        <f t="shared" si="88"/>
        <v>0</v>
      </c>
      <c r="AE118" s="938">
        <f t="shared" si="85"/>
        <v>0.14081685485597056</v>
      </c>
      <c r="AF118" s="938">
        <f t="shared" si="86"/>
        <v>0.10347019846796901</v>
      </c>
      <c r="AG118" s="938">
        <f t="shared" si="87"/>
        <v>0.24428705332393957</v>
      </c>
      <c r="AH118" s="1174">
        <f t="shared" si="83"/>
        <v>0.57644010576867866</v>
      </c>
      <c r="AI118" s="938">
        <f t="shared" si="84"/>
        <v>0.4235598942313214</v>
      </c>
      <c r="AK118" s="1173"/>
      <c r="AL118" s="1173"/>
    </row>
    <row r="119" spans="1:39" ht="13.5" thickBot="1" x14ac:dyDescent="0.25">
      <c r="A119" s="328">
        <v>2050</v>
      </c>
      <c r="B119" s="346">
        <v>0</v>
      </c>
      <c r="C119" s="347">
        <v>7.5397437276857965E-2</v>
      </c>
      <c r="D119" s="347">
        <v>0.16957161433052539</v>
      </c>
      <c r="E119" s="347">
        <v>0.2400429412653336</v>
      </c>
      <c r="F119" s="347">
        <v>0.24820489595167095</v>
      </c>
      <c r="G119" s="347">
        <v>0.25085123300368023</v>
      </c>
      <c r="H119" s="347">
        <v>0.25242436675047636</v>
      </c>
      <c r="I119" s="347">
        <v>0.25278861488072035</v>
      </c>
      <c r="J119" s="347">
        <v>0.25284140430258079</v>
      </c>
      <c r="K119" s="347">
        <v>0.25324992145806779</v>
      </c>
      <c r="L119" s="381">
        <v>0.25201745537989212</v>
      </c>
      <c r="M119" s="310">
        <f t="shared" si="79"/>
        <v>0.14071037986949628</v>
      </c>
      <c r="N119" s="312">
        <f>SUMPRODUCT($B$73:$L$73,$B119:$L119)</f>
        <v>0.11367373979343415</v>
      </c>
      <c r="O119" s="346">
        <v>0</v>
      </c>
      <c r="P119" s="347">
        <v>8.0581331939346121E-2</v>
      </c>
      <c r="Q119" s="347">
        <v>0.15991498724618819</v>
      </c>
      <c r="R119" s="347">
        <v>0.27397323140221969</v>
      </c>
      <c r="S119" s="347">
        <v>0.30231929611186675</v>
      </c>
      <c r="T119" s="347">
        <v>0.31479747808274022</v>
      </c>
      <c r="U119" s="347">
        <v>0.31941547779169177</v>
      </c>
      <c r="V119" s="347">
        <v>0.3227824334340702</v>
      </c>
      <c r="W119" s="347">
        <v>0.32616310914225144</v>
      </c>
      <c r="X119" s="347">
        <v>0.32493368639696957</v>
      </c>
      <c r="Y119" s="381">
        <v>0.32411508282139179</v>
      </c>
      <c r="Z119" s="310">
        <f>SUMPRODUCT($O$74:$Y$74,$O119:$Y119)</f>
        <v>0.10279800285416676</v>
      </c>
      <c r="AA119" s="312">
        <f t="shared" si="82"/>
        <v>8.5924188384389755E-2</v>
      </c>
      <c r="AB119" s="951">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2">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9">
        <f t="shared" si="88"/>
        <v>0</v>
      </c>
      <c r="AE119" s="938">
        <f t="shared" si="85"/>
        <v>0.14071037986949628</v>
      </c>
      <c r="AF119" s="938">
        <f t="shared" si="86"/>
        <v>0.10279800285416676</v>
      </c>
      <c r="AG119" s="938">
        <f t="shared" si="87"/>
        <v>0.24350838272366304</v>
      </c>
      <c r="AH119" s="1174">
        <f t="shared" si="83"/>
        <v>0.57784614351111074</v>
      </c>
      <c r="AI119" s="938">
        <f t="shared" si="84"/>
        <v>0.42215385648888926</v>
      </c>
      <c r="AK119" s="1173"/>
      <c r="AL119" s="1173"/>
    </row>
    <row r="120" spans="1:39" x14ac:dyDescent="0.2">
      <c r="B120" s="227" t="str">
        <f>"Output generated: "&amp; TEXT($L$4,"m/dd/yyyy hh:mm")</f>
        <v>Output generated: 4/26/2020 19:05</v>
      </c>
      <c r="O120" s="227" t="str">
        <f>"Output generated: "&amp; TEXT($L$5,"m/dd/yyyy hh:mm")</f>
        <v>Output generated: 4/26/2020 19:05</v>
      </c>
      <c r="AB120"/>
      <c r="AC120"/>
      <c r="AD120"/>
      <c r="AE120" s="938"/>
      <c r="AF120" s="938"/>
      <c r="AG120" s="938"/>
      <c r="AH120" s="938"/>
      <c r="AI120" s="938"/>
    </row>
    <row r="121" spans="1:39" ht="13.5" thickBot="1" x14ac:dyDescent="0.25">
      <c r="AE121" s="938"/>
      <c r="AF121" s="938"/>
      <c r="AG121" s="938"/>
      <c r="AH121" s="938"/>
      <c r="AI121" s="938"/>
    </row>
    <row r="122" spans="1:39" ht="15" x14ac:dyDescent="0.25">
      <c r="A122" s="333"/>
      <c r="B122" s="1559" t="s">
        <v>254</v>
      </c>
      <c r="C122" s="1560"/>
      <c r="D122" s="1560"/>
      <c r="E122" s="1560"/>
      <c r="F122" s="1560"/>
      <c r="G122" s="1560"/>
      <c r="H122" s="1560"/>
      <c r="I122" s="1560"/>
      <c r="J122" s="1560"/>
      <c r="K122" s="1560"/>
      <c r="L122" s="1560"/>
      <c r="M122" s="1560"/>
      <c r="N122" s="1561"/>
      <c r="O122" s="1559" t="s">
        <v>255</v>
      </c>
      <c r="P122" s="1560"/>
      <c r="Q122" s="1560"/>
      <c r="R122" s="1560"/>
      <c r="S122" s="1560"/>
      <c r="T122" s="1560"/>
      <c r="U122" s="1560"/>
      <c r="V122" s="1560"/>
      <c r="W122" s="1560"/>
      <c r="X122" s="1560"/>
      <c r="Y122" s="1560"/>
      <c r="Z122" s="1560"/>
      <c r="AA122" s="1561"/>
      <c r="AE122" s="938"/>
      <c r="AF122" s="938"/>
      <c r="AG122" s="938"/>
      <c r="AH122" s="938"/>
      <c r="AI122" s="938"/>
    </row>
    <row r="123" spans="1:39" x14ac:dyDescent="0.2">
      <c r="A123" s="324"/>
      <c r="B123" s="1556" t="s">
        <v>121</v>
      </c>
      <c r="C123" s="1557"/>
      <c r="D123" s="1557"/>
      <c r="E123" s="1557"/>
      <c r="F123" s="1557"/>
      <c r="G123" s="1557"/>
      <c r="H123" s="1557"/>
      <c r="I123" s="1557"/>
      <c r="J123" s="1557"/>
      <c r="K123" s="1557"/>
      <c r="L123" s="1557"/>
      <c r="M123" s="382"/>
      <c r="N123" s="325"/>
      <c r="O123" s="1556" t="s">
        <v>121</v>
      </c>
      <c r="P123" s="1557"/>
      <c r="Q123" s="1557"/>
      <c r="R123" s="1557"/>
      <c r="S123" s="1557"/>
      <c r="T123" s="1557"/>
      <c r="U123" s="1557"/>
      <c r="V123" s="1557"/>
      <c r="W123" s="1557"/>
      <c r="X123" s="1557"/>
      <c r="Y123" s="1557"/>
      <c r="Z123" s="382"/>
      <c r="AA123" s="325"/>
      <c r="AC123" s="955" t="s">
        <v>268</v>
      </c>
      <c r="AD123" s="234" t="b">
        <f>INDEX(TECH_OPT_FUEL2_Cls1,MATCH(RIGHT(O122),TECH_OPT_ROWS_Cls1,0))&lt;&gt;"N/A"</f>
        <v>0</v>
      </c>
      <c r="AE123" s="938"/>
      <c r="AF123" s="938"/>
      <c r="AG123" s="938"/>
      <c r="AH123" s="938"/>
      <c r="AI123" s="938"/>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7"/>
      <c r="AC124" s="955" t="s">
        <v>269</v>
      </c>
      <c r="AD124" s="234">
        <f>MATCH(RIGHT(O122),TECH_OPT_ROWS_Cls1,0)</f>
        <v>3</v>
      </c>
      <c r="AE124" s="938"/>
      <c r="AF124" s="938"/>
      <c r="AG124" s="938"/>
      <c r="AH124" s="938"/>
      <c r="AI124" s="938"/>
    </row>
    <row r="125" spans="1:39" ht="14.25"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11">
        <v>5.2963907111801883E-3</v>
      </c>
      <c r="Z125" s="1216"/>
      <c r="AA125" s="1217"/>
    </row>
    <row r="126" spans="1:39" x14ac:dyDescent="0.2">
      <c r="A126" s="331" t="s">
        <v>125</v>
      </c>
      <c r="B126" s="924">
        <f t="array" ref="B126:L126">TRANSPOSE(Cls2CentVMTShr)</f>
        <v>6.3375455551975849E-3</v>
      </c>
      <c r="C126" s="925">
        <v>3.496913005496359E-2</v>
      </c>
      <c r="D126" s="925">
        <v>5.9955127131675522E-2</v>
      </c>
      <c r="E126" s="925">
        <v>8.4599669387910512E-2</v>
      </c>
      <c r="F126" s="925">
        <v>0.12702701008436962</v>
      </c>
      <c r="G126" s="925">
        <v>6.7204731283582092E-2</v>
      </c>
      <c r="H126" s="925">
        <v>8.8708982453757024E-2</v>
      </c>
      <c r="I126" s="925">
        <v>6.4694225377098208E-2</v>
      </c>
      <c r="J126" s="925">
        <v>3.2526447027526634E-2</v>
      </c>
      <c r="K126" s="925">
        <v>1.589064319454132E-2</v>
      </c>
      <c r="L126" s="1212">
        <v>3.2608183213810787E-2</v>
      </c>
      <c r="M126" s="1213"/>
      <c r="N126" s="1214"/>
      <c r="O126" s="924">
        <f t="array" ref="O126:Y126">TRANSPOSE(Cls2NCentVMTShr)</f>
        <v>8.1228463417563086E-3</v>
      </c>
      <c r="P126" s="925">
        <v>2.7563836768431361E-2</v>
      </c>
      <c r="Q126" s="925">
        <v>4.1883113088337191E-2</v>
      </c>
      <c r="R126" s="925">
        <v>6.4289357588678764E-2</v>
      </c>
      <c r="S126" s="925">
        <v>9.1183275251204537E-2</v>
      </c>
      <c r="T126" s="925">
        <v>5.1984283219922628E-2</v>
      </c>
      <c r="U126" s="925">
        <v>5.0286059545109812E-2</v>
      </c>
      <c r="V126" s="925">
        <v>1.5542287574292338E-2</v>
      </c>
      <c r="W126" s="925">
        <v>1.4506257462625264E-2</v>
      </c>
      <c r="X126" s="925">
        <v>4.9330966304706684E-3</v>
      </c>
      <c r="Y126" s="926">
        <v>1.5183891764738403E-2</v>
      </c>
      <c r="Z126" s="1213"/>
      <c r="AA126" s="1214"/>
      <c r="AB126" s="1572" t="str">
        <f>"% of miles on f2 for Tech "&amp; RIGHT(O121)&amp;" adopters"</f>
        <v>% of miles on f2 for Tech  adopters</v>
      </c>
      <c r="AC126" s="1573"/>
      <c r="AD126" s="1574"/>
      <c r="AE126" s="938" t="s">
        <v>306</v>
      </c>
      <c r="AF126" s="938"/>
      <c r="AG126" s="938"/>
      <c r="AH126" s="1174" t="s">
        <v>307</v>
      </c>
      <c r="AI126" s="938"/>
    </row>
    <row r="127" spans="1:39" ht="13.5" thickBot="1" x14ac:dyDescent="0.25">
      <c r="A127" s="943" t="s">
        <v>267</v>
      </c>
      <c r="B127" s="934">
        <f t="array" ref="B127:L127">TRANSPOSE(Cls2CentVMT/OPDAYS_Cls2)</f>
        <v>49.332453271995263</v>
      </c>
      <c r="C127" s="935">
        <v>120.11441047790339</v>
      </c>
      <c r="D127" s="935">
        <v>200.99157969807086</v>
      </c>
      <c r="E127" s="935">
        <v>280.98421424125928</v>
      </c>
      <c r="F127" s="935">
        <v>358.20644524895255</v>
      </c>
      <c r="G127" s="935">
        <v>432.82805471770689</v>
      </c>
      <c r="H127" s="935">
        <v>517.10615118099815</v>
      </c>
      <c r="I127" s="935">
        <v>597.8087063838957</v>
      </c>
      <c r="J127" s="935">
        <v>676.93419409560215</v>
      </c>
      <c r="K127" s="935">
        <v>746.82245226325631</v>
      </c>
      <c r="L127" s="936">
        <v>895.92826380844349</v>
      </c>
      <c r="M127" s="932"/>
      <c r="N127" s="933"/>
      <c r="O127" s="934">
        <f t="array" ref="O127:Y127">TRANSPOSE(Cls2NCentVMT/OPDAYS_Cls2)</f>
        <v>54.31462614952413</v>
      </c>
      <c r="P127" s="935">
        <v>126.62311644744663</v>
      </c>
      <c r="Q127" s="935">
        <v>206.96826351576016</v>
      </c>
      <c r="R127" s="935">
        <v>286.46600131499179</v>
      </c>
      <c r="S127" s="935">
        <v>358.9638908170715</v>
      </c>
      <c r="T127" s="935">
        <v>450.55545819643328</v>
      </c>
      <c r="U127" s="935">
        <v>511.93098482414172</v>
      </c>
      <c r="V127" s="935">
        <v>579.22933632093111</v>
      </c>
      <c r="W127" s="935">
        <v>695.25665569614875</v>
      </c>
      <c r="X127" s="935">
        <v>759.80682330760794</v>
      </c>
      <c r="Y127" s="1215">
        <v>882.81167173661356</v>
      </c>
      <c r="Z127" s="944"/>
      <c r="AA127" s="933"/>
      <c r="AB127" s="946" t="s">
        <v>187</v>
      </c>
      <c r="AC127" s="947" t="s">
        <v>15</v>
      </c>
      <c r="AD127" s="948" t="s">
        <v>18</v>
      </c>
      <c r="AE127" s="938" t="s">
        <v>187</v>
      </c>
      <c r="AF127" s="938" t="s">
        <v>15</v>
      </c>
      <c r="AG127" s="938" t="s">
        <v>18</v>
      </c>
      <c r="AH127" s="1174" t="s">
        <v>187</v>
      </c>
      <c r="AI127" s="938" t="s">
        <v>15</v>
      </c>
      <c r="AJ127" s="323"/>
      <c r="AK127" s="323"/>
      <c r="AL127" s="323"/>
      <c r="AM127" s="323"/>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9">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50">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8">
        <f>AB128*AH128+AC128*AI128</f>
        <v>0</v>
      </c>
      <c r="AE128" s="938">
        <f t="shared" ref="AE128" si="91">SUMPRODUCT($B$74:$L$74,B128:L128)</f>
        <v>0</v>
      </c>
      <c r="AF128" s="938">
        <f t="shared" ref="AF128" si="92">SUMPRODUCT($O$74:$Y$74,O128:Y128)</f>
        <v>0</v>
      </c>
      <c r="AG128" s="938">
        <f t="shared" ref="AG128" si="93">SUM(AE128:AF128)</f>
        <v>0</v>
      </c>
      <c r="AH128" s="1174">
        <f>IF(AG128&gt;0,AE128/AG128,0)</f>
        <v>0</v>
      </c>
      <c r="AI128" s="938">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9">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50">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8">
        <f t="shared" ref="AD129:AD153" si="96">AB129*AH129+AC129*AI129</f>
        <v>0</v>
      </c>
      <c r="AE129" s="938">
        <f t="shared" ref="AE129:AE143" si="97">SUMPRODUCT($B$74:$L$74,B129:L129)</f>
        <v>0</v>
      </c>
      <c r="AF129" s="938">
        <f t="shared" ref="AF129:AF143" si="98">SUMPRODUCT($O$74:$Y$74,O129:Y129)</f>
        <v>0</v>
      </c>
      <c r="AG129" s="938">
        <f t="shared" ref="AG129:AG143" si="99">SUM(AE129:AF129)</f>
        <v>0</v>
      </c>
      <c r="AH129" s="1174">
        <f>IF(AG129&gt;0,AE129/AG129,0)</f>
        <v>0</v>
      </c>
      <c r="AI129" s="938">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9">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50">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8">
        <f t="shared" si="96"/>
        <v>0</v>
      </c>
      <c r="AE130" s="938">
        <f t="shared" si="97"/>
        <v>0</v>
      </c>
      <c r="AF130" s="938">
        <f t="shared" si="98"/>
        <v>0</v>
      </c>
      <c r="AG130" s="938">
        <f t="shared" si="99"/>
        <v>0</v>
      </c>
      <c r="AH130" s="1174">
        <f t="shared" ref="AH130:AH172" si="100">IF(AG130&gt;0,AE130/AG130,0)</f>
        <v>0</v>
      </c>
      <c r="AI130" s="938">
        <f t="shared" ref="AI130:AI172" si="101">IF(AG130&gt;0,AF130/AG130,0)</f>
        <v>0</v>
      </c>
    </row>
    <row r="131" spans="1:35"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9">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50">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8">
        <f t="shared" si="96"/>
        <v>0</v>
      </c>
      <c r="AE131" s="938">
        <f t="shared" si="97"/>
        <v>0</v>
      </c>
      <c r="AF131" s="938">
        <f t="shared" si="98"/>
        <v>0</v>
      </c>
      <c r="AG131" s="938">
        <f t="shared" si="99"/>
        <v>0</v>
      </c>
      <c r="AH131" s="1174">
        <f t="shared" si="100"/>
        <v>0</v>
      </c>
      <c r="AI131" s="938">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9">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50">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8">
        <f t="shared" si="96"/>
        <v>0</v>
      </c>
      <c r="AE132" s="938">
        <f t="shared" si="97"/>
        <v>0</v>
      </c>
      <c r="AF132" s="938">
        <f t="shared" si="98"/>
        <v>0</v>
      </c>
      <c r="AG132" s="938">
        <f t="shared" si="99"/>
        <v>0</v>
      </c>
      <c r="AH132" s="1174">
        <f t="shared" si="100"/>
        <v>0</v>
      </c>
      <c r="AI132" s="938">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9">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50">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8">
        <f t="shared" si="96"/>
        <v>0</v>
      </c>
      <c r="AE133" s="938">
        <f t="shared" si="97"/>
        <v>0</v>
      </c>
      <c r="AF133" s="938">
        <f t="shared" si="98"/>
        <v>0</v>
      </c>
      <c r="AG133" s="938">
        <f t="shared" si="99"/>
        <v>0</v>
      </c>
      <c r="AH133" s="1174">
        <f t="shared" si="100"/>
        <v>0</v>
      </c>
      <c r="AI133" s="938">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9">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50">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8">
        <f t="shared" si="96"/>
        <v>0</v>
      </c>
      <c r="AE134" s="938">
        <f t="shared" si="97"/>
        <v>0</v>
      </c>
      <c r="AF134" s="938">
        <f t="shared" si="98"/>
        <v>0</v>
      </c>
      <c r="AG134" s="938">
        <f t="shared" si="99"/>
        <v>0</v>
      </c>
      <c r="AH134" s="1174">
        <f t="shared" si="100"/>
        <v>0</v>
      </c>
      <c r="AI134" s="938">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9">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50">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8">
        <f t="shared" si="96"/>
        <v>0</v>
      </c>
      <c r="AE135" s="938">
        <f t="shared" si="97"/>
        <v>0</v>
      </c>
      <c r="AF135" s="938">
        <f t="shared" si="98"/>
        <v>0</v>
      </c>
      <c r="AG135" s="938">
        <f t="shared" si="99"/>
        <v>0</v>
      </c>
      <c r="AH135" s="1174">
        <f t="shared" si="100"/>
        <v>0</v>
      </c>
      <c r="AI135" s="938">
        <f t="shared" si="101"/>
        <v>0</v>
      </c>
    </row>
    <row r="136" spans="1:35"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9">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50">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8">
        <f t="shared" si="96"/>
        <v>0</v>
      </c>
      <c r="AE136" s="938">
        <f t="shared" si="97"/>
        <v>0</v>
      </c>
      <c r="AF136" s="938">
        <f t="shared" si="98"/>
        <v>0</v>
      </c>
      <c r="AG136" s="938">
        <f t="shared" si="99"/>
        <v>0</v>
      </c>
      <c r="AH136" s="1174">
        <f t="shared" si="100"/>
        <v>0</v>
      </c>
      <c r="AI136" s="938">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9">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50">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8">
        <f t="shared" si="96"/>
        <v>0</v>
      </c>
      <c r="AE137" s="938">
        <f t="shared" si="97"/>
        <v>0</v>
      </c>
      <c r="AF137" s="938">
        <f t="shared" si="98"/>
        <v>0</v>
      </c>
      <c r="AG137" s="938">
        <f t="shared" si="99"/>
        <v>0</v>
      </c>
      <c r="AH137" s="1174">
        <f t="shared" si="100"/>
        <v>0</v>
      </c>
      <c r="AI137" s="938">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9">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50">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8">
        <f t="shared" si="96"/>
        <v>0</v>
      </c>
      <c r="AE138" s="938">
        <f t="shared" si="97"/>
        <v>0</v>
      </c>
      <c r="AF138" s="938">
        <f t="shared" si="98"/>
        <v>0</v>
      </c>
      <c r="AG138" s="938">
        <f t="shared" si="99"/>
        <v>0</v>
      </c>
      <c r="AH138" s="1174">
        <f t="shared" si="100"/>
        <v>0</v>
      </c>
      <c r="AI138" s="938">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9">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50">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8">
        <f t="shared" si="96"/>
        <v>0</v>
      </c>
      <c r="AE139" s="938">
        <f t="shared" si="97"/>
        <v>0</v>
      </c>
      <c r="AF139" s="938">
        <f t="shared" si="98"/>
        <v>0</v>
      </c>
      <c r="AG139" s="938">
        <f t="shared" si="99"/>
        <v>0</v>
      </c>
      <c r="AH139" s="1174">
        <f t="shared" si="100"/>
        <v>0</v>
      </c>
      <c r="AI139" s="938">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9">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50">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8">
        <f t="shared" si="96"/>
        <v>0</v>
      </c>
      <c r="AE140" s="938">
        <f t="shared" si="97"/>
        <v>0</v>
      </c>
      <c r="AF140" s="938">
        <f t="shared" si="98"/>
        <v>0</v>
      </c>
      <c r="AG140" s="938">
        <f t="shared" si="99"/>
        <v>0</v>
      </c>
      <c r="AH140" s="1174">
        <f t="shared" si="100"/>
        <v>0</v>
      </c>
      <c r="AI140" s="938">
        <f t="shared" si="101"/>
        <v>0</v>
      </c>
    </row>
    <row r="141" spans="1:35"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9">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50">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8">
        <f t="shared" si="96"/>
        <v>0</v>
      </c>
      <c r="AE141" s="938">
        <f t="shared" si="97"/>
        <v>0</v>
      </c>
      <c r="AF141" s="938">
        <f t="shared" si="98"/>
        <v>0</v>
      </c>
      <c r="AG141" s="938">
        <f t="shared" si="99"/>
        <v>0</v>
      </c>
      <c r="AH141" s="1174">
        <f t="shared" si="100"/>
        <v>0</v>
      </c>
      <c r="AI141" s="938">
        <f t="shared" si="101"/>
        <v>0</v>
      </c>
    </row>
    <row r="142" spans="1:35" x14ac:dyDescent="0.2">
      <c r="A142" s="329">
        <v>2021</v>
      </c>
      <c r="B142" s="342">
        <v>1.1537312339601806E-2</v>
      </c>
      <c r="C142" s="343">
        <v>1.1537312339601806E-2</v>
      </c>
      <c r="D142" s="343">
        <v>1.1537312339601806E-2</v>
      </c>
      <c r="E142" s="343">
        <v>1.2716143884260232E-2</v>
      </c>
      <c r="F142" s="343">
        <v>1.3995953876690788E-2</v>
      </c>
      <c r="G142" s="343">
        <v>1.4553820173558395E-2</v>
      </c>
      <c r="H142" s="343">
        <v>1.4839232967160111E-2</v>
      </c>
      <c r="I142" s="343">
        <v>1.7218605023263774E-2</v>
      </c>
      <c r="J142" s="343">
        <v>1.9073324702149834E-2</v>
      </c>
      <c r="K142" s="343">
        <v>2.0218198285950315E-2</v>
      </c>
      <c r="L142" s="379">
        <v>2.1642720032339035E-2</v>
      </c>
      <c r="M142" s="282">
        <f t="shared" si="94"/>
        <v>9.0777353745363932E-3</v>
      </c>
      <c r="N142" s="284">
        <f t="shared" si="95"/>
        <v>7.9687249517841532E-3</v>
      </c>
      <c r="O142" s="342">
        <v>1.1537312339601806E-2</v>
      </c>
      <c r="P142" s="343">
        <v>1.1537312339601806E-2</v>
      </c>
      <c r="Q142" s="343">
        <v>1.1537312339601806E-2</v>
      </c>
      <c r="R142" s="343">
        <v>1.3280473590760358E-2</v>
      </c>
      <c r="S142" s="343">
        <v>1.4199383290848664E-2</v>
      </c>
      <c r="T142" s="343">
        <v>1.4704862887569357E-2</v>
      </c>
      <c r="U142" s="343">
        <v>1.5208243537809295E-2</v>
      </c>
      <c r="V142" s="343">
        <v>1.7218605023263774E-2</v>
      </c>
      <c r="W142" s="343">
        <v>1.970811530854617E-2</v>
      </c>
      <c r="X142" s="343">
        <v>2.0698204146004404E-2</v>
      </c>
      <c r="Y142" s="379">
        <v>2.1642720032339035E-2</v>
      </c>
      <c r="Z142" s="282">
        <f t="shared" si="89"/>
        <v>5.5569052199318054E-3</v>
      </c>
      <c r="AA142" s="284">
        <f t="shared" si="90"/>
        <v>5.4595603361822361E-3</v>
      </c>
      <c r="AB142" s="949">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50">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8">
        <f t="shared" si="96"/>
        <v>0</v>
      </c>
      <c r="AE142" s="938">
        <f t="shared" si="97"/>
        <v>9.0777353745363932E-3</v>
      </c>
      <c r="AF142" s="938">
        <f t="shared" si="98"/>
        <v>5.5569052199318054E-3</v>
      </c>
      <c r="AG142" s="938">
        <f t="shared" si="99"/>
        <v>1.4634640594468198E-2</v>
      </c>
      <c r="AH142" s="1174">
        <f t="shared" si="100"/>
        <v>0.62029096758055813</v>
      </c>
      <c r="AI142" s="938">
        <f t="shared" si="101"/>
        <v>0.37970903241944193</v>
      </c>
    </row>
    <row r="143" spans="1:35" x14ac:dyDescent="0.2">
      <c r="A143" s="330">
        <v>2022</v>
      </c>
      <c r="B143" s="344">
        <v>2.3872676274455978E-2</v>
      </c>
      <c r="C143" s="345">
        <v>2.3872676274455978E-2</v>
      </c>
      <c r="D143" s="345">
        <v>2.3872676274455978E-2</v>
      </c>
      <c r="E143" s="345">
        <v>2.5468394045130464E-2</v>
      </c>
      <c r="F143" s="345">
        <v>3.2309845635414683E-2</v>
      </c>
      <c r="G143" s="345">
        <v>4.1069964768412591E-2</v>
      </c>
      <c r="H143" s="345">
        <v>4.8015122780454854E-2</v>
      </c>
      <c r="I143" s="345">
        <v>5.1962939281151171E-2</v>
      </c>
      <c r="J143" s="345">
        <v>5.4799223963464545E-2</v>
      </c>
      <c r="K143" s="345">
        <v>5.5657042139668003E-2</v>
      </c>
      <c r="L143" s="380">
        <v>5.7665204780615008E-2</v>
      </c>
      <c r="M143" s="296">
        <f t="shared" si="94"/>
        <v>2.3604609590532399E-2</v>
      </c>
      <c r="N143" s="298">
        <f t="shared" si="95"/>
        <v>1.9220702182196694E-2</v>
      </c>
      <c r="O143" s="344">
        <v>2.3872676274455978E-2</v>
      </c>
      <c r="P143" s="345">
        <v>2.3872676274455978E-2</v>
      </c>
      <c r="Q143" s="345">
        <v>2.3872676274455978E-2</v>
      </c>
      <c r="R143" s="345">
        <v>2.6463766851277399E-2</v>
      </c>
      <c r="S143" s="345">
        <v>3.5711753483041092E-2</v>
      </c>
      <c r="T143" s="345">
        <v>4.4905603061415514E-2</v>
      </c>
      <c r="U143" s="345">
        <v>4.9219717961793127E-2</v>
      </c>
      <c r="V143" s="345">
        <v>5.1962939281151171E-2</v>
      </c>
      <c r="W143" s="345">
        <v>5.5657042139668003E-2</v>
      </c>
      <c r="X143" s="345">
        <v>5.6758652298056919E-2</v>
      </c>
      <c r="Y143" s="380">
        <v>5.8248051926990264E-2</v>
      </c>
      <c r="Z143" s="296">
        <f t="shared" si="89"/>
        <v>1.4398329467808927E-2</v>
      </c>
      <c r="AA143" s="298">
        <f t="shared" si="90"/>
        <v>1.3102870205806118E-2</v>
      </c>
      <c r="AB143" s="949">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50">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8">
        <f t="shared" si="96"/>
        <v>0</v>
      </c>
      <c r="AE143" s="938">
        <f t="shared" si="97"/>
        <v>2.3604609590532399E-2</v>
      </c>
      <c r="AF143" s="938">
        <f t="shared" si="98"/>
        <v>1.4398329467808927E-2</v>
      </c>
      <c r="AG143" s="938">
        <f t="shared" si="99"/>
        <v>3.8002939058341324E-2</v>
      </c>
      <c r="AH143" s="1174">
        <f t="shared" si="100"/>
        <v>0.62112589645487926</v>
      </c>
      <c r="AI143" s="938">
        <f t="shared" si="101"/>
        <v>0.3788741035451208</v>
      </c>
    </row>
    <row r="144" spans="1:35" x14ac:dyDescent="0.2">
      <c r="A144" s="330">
        <v>2023</v>
      </c>
      <c r="B144" s="344">
        <v>1.7263826294576002E-2</v>
      </c>
      <c r="C144" s="345">
        <v>1.7263826294576002E-2</v>
      </c>
      <c r="D144" s="345">
        <v>2.1684965511082822E-2</v>
      </c>
      <c r="E144" s="345">
        <v>5.6506731726877042E-2</v>
      </c>
      <c r="F144" s="345">
        <v>8.364552582113173E-2</v>
      </c>
      <c r="G144" s="345">
        <v>0.10400608898295469</v>
      </c>
      <c r="H144" s="345">
        <v>0.11443886881459134</v>
      </c>
      <c r="I144" s="345">
        <v>0.12143722495180051</v>
      </c>
      <c r="J144" s="345">
        <v>0.126185989243639</v>
      </c>
      <c r="K144" s="345">
        <v>0.12868875391829424</v>
      </c>
      <c r="L144" s="380">
        <v>0.13236564724879815</v>
      </c>
      <c r="M144" s="296">
        <f t="shared" si="94"/>
        <v>5.2882204321858459E-2</v>
      </c>
      <c r="N144" s="298">
        <f t="shared" si="95"/>
        <v>3.7854824109360329E-2</v>
      </c>
      <c r="O144" s="344">
        <v>1.7263826294576002E-2</v>
      </c>
      <c r="P144" s="345">
        <v>1.7263826294576002E-2</v>
      </c>
      <c r="Q144" s="345">
        <v>2.7619495908173971E-2</v>
      </c>
      <c r="R144" s="345">
        <v>6.474048788399947E-2</v>
      </c>
      <c r="S144" s="345">
        <v>9.0897477096648763E-2</v>
      </c>
      <c r="T144" s="345">
        <v>0.10814846766884391</v>
      </c>
      <c r="U144" s="345">
        <v>0.11587211987489639</v>
      </c>
      <c r="V144" s="345">
        <v>0.12143722495180051</v>
      </c>
      <c r="W144" s="345">
        <v>0.12868875391829424</v>
      </c>
      <c r="X144" s="345">
        <v>0.12946348407830802</v>
      </c>
      <c r="Y144" s="380">
        <v>0.13236564724879815</v>
      </c>
      <c r="Z144" s="296">
        <f t="shared" si="89"/>
        <v>3.2074792118916604E-2</v>
      </c>
      <c r="AA144" s="298">
        <f t="shared" si="90"/>
        <v>2.5395283447270527E-2</v>
      </c>
      <c r="AB144" s="949">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50">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8">
        <f t="shared" si="96"/>
        <v>0</v>
      </c>
      <c r="AE144" s="938">
        <f>SUMPRODUCT($B$74:$L$74,B144:L144)</f>
        <v>5.2882204321858459E-2</v>
      </c>
      <c r="AF144" s="938">
        <f>SUMPRODUCT($O$74:$Y$74,O144:Y144)</f>
        <v>3.2074792118916604E-2</v>
      </c>
      <c r="AG144" s="938">
        <f>SUM(AE144:AF144)</f>
        <v>8.4956996440775062E-2</v>
      </c>
      <c r="AH144" s="1174">
        <f t="shared" si="100"/>
        <v>0.6224584970906254</v>
      </c>
      <c r="AI144" s="938">
        <f t="shared" si="101"/>
        <v>0.37754150290937455</v>
      </c>
    </row>
    <row r="145" spans="1:35" x14ac:dyDescent="0.2">
      <c r="A145" s="330">
        <v>2024</v>
      </c>
      <c r="B145" s="344">
        <v>0</v>
      </c>
      <c r="C145" s="345">
        <v>6.0816122595492498E-4</v>
      </c>
      <c r="D145" s="345">
        <v>4.4223454711346442E-2</v>
      </c>
      <c r="E145" s="345">
        <v>0.11641261959074543</v>
      </c>
      <c r="F145" s="345">
        <v>0.16538547592352842</v>
      </c>
      <c r="G145" s="345">
        <v>0.19444370088331717</v>
      </c>
      <c r="H145" s="345">
        <v>0.21648071332662416</v>
      </c>
      <c r="I145" s="345">
        <v>0.22895754541519592</v>
      </c>
      <c r="J145" s="345">
        <v>0.23706838414680165</v>
      </c>
      <c r="K145" s="345">
        <v>0.24134385090524824</v>
      </c>
      <c r="L145" s="380">
        <v>0.24479088051096456</v>
      </c>
      <c r="M145" s="296">
        <f t="shared" si="94"/>
        <v>0.10014142002047995</v>
      </c>
      <c r="N145" s="298">
        <f t="shared" si="95"/>
        <v>6.9165887842306997E-2</v>
      </c>
      <c r="O145" s="344">
        <v>0</v>
      </c>
      <c r="P145" s="345">
        <v>2.5551148425618378E-3</v>
      </c>
      <c r="Q145" s="345">
        <v>5.6618572051138488E-2</v>
      </c>
      <c r="R145" s="345">
        <v>0.13227214485458644</v>
      </c>
      <c r="S145" s="345">
        <v>0.17368952165214194</v>
      </c>
      <c r="T145" s="345">
        <v>0.20950500464970484</v>
      </c>
      <c r="U145" s="345">
        <v>0.22013251831503339</v>
      </c>
      <c r="V145" s="345">
        <v>0.22895754541519592</v>
      </c>
      <c r="W145" s="345">
        <v>0.23895279091848354</v>
      </c>
      <c r="X145" s="345">
        <v>0.24134385090524824</v>
      </c>
      <c r="Y145" s="380">
        <v>0.2473040337677469</v>
      </c>
      <c r="Z145" s="296">
        <f t="shared" si="89"/>
        <v>6.0714070865726152E-2</v>
      </c>
      <c r="AA145" s="298">
        <f t="shared" si="90"/>
        <v>4.574870292061791E-2</v>
      </c>
      <c r="AB145" s="949">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50">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8">
        <f t="shared" si="96"/>
        <v>0</v>
      </c>
      <c r="AE145" s="938">
        <f t="shared" ref="AE145:AE172" si="102">SUMPRODUCT($B$74:$L$74,B145:L145)</f>
        <v>0.10014142002047995</v>
      </c>
      <c r="AF145" s="938">
        <f t="shared" ref="AF145:AF172" si="103">SUMPRODUCT($O$74:$Y$74,O145:Y145)</f>
        <v>6.0714070865726152E-2</v>
      </c>
      <c r="AG145" s="938">
        <f t="shared" ref="AG145:AG172" si="104">SUM(AE145:AF145)</f>
        <v>0.1608554908862061</v>
      </c>
      <c r="AH145" s="1174">
        <f t="shared" si="100"/>
        <v>0.62255518583026137</v>
      </c>
      <c r="AI145" s="938">
        <f t="shared" si="101"/>
        <v>0.37744481416973868</v>
      </c>
    </row>
    <row r="146" spans="1:35" ht="13.5" thickBot="1" x14ac:dyDescent="0.25">
      <c r="A146" s="328">
        <v>2025</v>
      </c>
      <c r="B146" s="346">
        <v>0</v>
      </c>
      <c r="C146" s="347">
        <v>1.0471235312880113E-3</v>
      </c>
      <c r="D146" s="347">
        <v>6.7510443497742711E-2</v>
      </c>
      <c r="E146" s="347">
        <v>0.17113984258141363</v>
      </c>
      <c r="F146" s="347">
        <v>0.24272776398392007</v>
      </c>
      <c r="G146" s="347">
        <v>0.29001987665960327</v>
      </c>
      <c r="H146" s="347">
        <v>0.31668856971562714</v>
      </c>
      <c r="I146" s="347">
        <v>0.33049277248046721</v>
      </c>
      <c r="J146" s="347">
        <v>0.34609297664483274</v>
      </c>
      <c r="K146" s="347">
        <v>0.35233461200708244</v>
      </c>
      <c r="L146" s="381">
        <v>0.35957344957103898</v>
      </c>
      <c r="M146" s="310">
        <f t="shared" si="94"/>
        <v>0.14694140840513262</v>
      </c>
      <c r="N146" s="312">
        <f t="shared" si="95"/>
        <v>0.10173821878615862</v>
      </c>
      <c r="O146" s="346">
        <v>0</v>
      </c>
      <c r="P146" s="347">
        <v>3.6752909582019907E-3</v>
      </c>
      <c r="Q146" s="347">
        <v>8.8716572553579467E-2</v>
      </c>
      <c r="R146" s="347">
        <v>0.19433667986664344</v>
      </c>
      <c r="S146" s="347">
        <v>0.2548558864019404</v>
      </c>
      <c r="T146" s="347">
        <v>0.30102636688682083</v>
      </c>
      <c r="U146" s="347">
        <v>0.32136868737970287</v>
      </c>
      <c r="V146" s="347">
        <v>0.33491077915778233</v>
      </c>
      <c r="W146" s="347">
        <v>0.34952820826555742</v>
      </c>
      <c r="X146" s="347">
        <v>0.35518910527163361</v>
      </c>
      <c r="Y146" s="381">
        <v>0.35957344957103898</v>
      </c>
      <c r="Z146" s="310">
        <f t="shared" si="89"/>
        <v>8.8845943306365555E-2</v>
      </c>
      <c r="AA146" s="312">
        <f t="shared" si="90"/>
        <v>6.7184288505984402E-2</v>
      </c>
      <c r="AB146" s="949">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50">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8">
        <f t="shared" si="96"/>
        <v>0</v>
      </c>
      <c r="AE146" s="938">
        <f t="shared" si="102"/>
        <v>0.14694140840513262</v>
      </c>
      <c r="AF146" s="938">
        <f t="shared" si="103"/>
        <v>8.8845943306365555E-2</v>
      </c>
      <c r="AG146" s="938">
        <f t="shared" si="104"/>
        <v>0.23578735171149817</v>
      </c>
      <c r="AH146" s="1174">
        <f t="shared" si="100"/>
        <v>0.62319461726227543</v>
      </c>
      <c r="AI146" s="938">
        <f t="shared" si="101"/>
        <v>0.37680538273772463</v>
      </c>
    </row>
    <row r="147" spans="1:35" x14ac:dyDescent="0.2">
      <c r="A147" s="329">
        <v>2026</v>
      </c>
      <c r="B147" s="342">
        <v>0</v>
      </c>
      <c r="C147" s="343">
        <v>4.8895859080309552E-3</v>
      </c>
      <c r="D147" s="343">
        <v>0.11648358197464256</v>
      </c>
      <c r="E147" s="343">
        <v>0.24845386136880226</v>
      </c>
      <c r="F147" s="343">
        <v>0.32140342597566329</v>
      </c>
      <c r="G147" s="343">
        <v>0.36258029157115934</v>
      </c>
      <c r="H147" s="343">
        <v>0.39807191382254498</v>
      </c>
      <c r="I147" s="343">
        <v>0.41280840009634889</v>
      </c>
      <c r="J147" s="343">
        <v>0.42099947832066498</v>
      </c>
      <c r="K147" s="343">
        <v>0.42781791136849046</v>
      </c>
      <c r="L147" s="379">
        <v>0.43486004327262212</v>
      </c>
      <c r="M147" s="282">
        <f t="shared" si="94"/>
        <v>0.19005870342526357</v>
      </c>
      <c r="N147" s="284">
        <f t="shared" si="95"/>
        <v>0.1352993599828794</v>
      </c>
      <c r="O147" s="342">
        <v>0</v>
      </c>
      <c r="P147" s="343">
        <v>1.2338353481316143E-2</v>
      </c>
      <c r="Q147" s="343">
        <v>0.14868987474232401</v>
      </c>
      <c r="R147" s="343">
        <v>0.26301440500205836</v>
      </c>
      <c r="S147" s="343">
        <v>0.33555867819561241</v>
      </c>
      <c r="T147" s="343">
        <v>0.38144481471750358</v>
      </c>
      <c r="U147" s="343">
        <v>0.39807191382254498</v>
      </c>
      <c r="V147" s="343">
        <v>0.41280840009634889</v>
      </c>
      <c r="W147" s="343">
        <v>0.42781791136849046</v>
      </c>
      <c r="X147" s="343">
        <v>0.43309876315435109</v>
      </c>
      <c r="Y147" s="379">
        <v>0.43663720423955282</v>
      </c>
      <c r="Z147" s="282">
        <f t="shared" si="89"/>
        <v>0.11530905062965138</v>
      </c>
      <c r="AA147" s="284">
        <f t="shared" si="90"/>
        <v>8.9449218955805987E-2</v>
      </c>
      <c r="AB147" s="949">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50">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8">
        <f t="shared" si="96"/>
        <v>0</v>
      </c>
      <c r="AE147" s="938">
        <f t="shared" si="102"/>
        <v>0.19005870342526357</v>
      </c>
      <c r="AF147" s="938">
        <f t="shared" si="103"/>
        <v>0.11530905062965138</v>
      </c>
      <c r="AG147" s="938">
        <f t="shared" si="104"/>
        <v>0.30536775405491495</v>
      </c>
      <c r="AH147" s="1174">
        <f t="shared" si="100"/>
        <v>0.6223928391308956</v>
      </c>
      <c r="AI147" s="938">
        <f t="shared" si="101"/>
        <v>0.3776071608691044</v>
      </c>
    </row>
    <row r="148" spans="1:35" x14ac:dyDescent="0.2">
      <c r="A148" s="330">
        <v>2027</v>
      </c>
      <c r="B148" s="344">
        <v>0</v>
      </c>
      <c r="C148" s="345">
        <v>1.441960601426294E-2</v>
      </c>
      <c r="D148" s="345">
        <v>0.16759752270516384</v>
      </c>
      <c r="E148" s="345">
        <v>0.3002195345304271</v>
      </c>
      <c r="F148" s="345">
        <v>0.37767998175758671</v>
      </c>
      <c r="G148" s="345">
        <v>0.41850397564404945</v>
      </c>
      <c r="H148" s="345">
        <v>0.44116784896857592</v>
      </c>
      <c r="I148" s="345">
        <v>0.45517426223064217</v>
      </c>
      <c r="J148" s="345">
        <v>0.46254618403086117</v>
      </c>
      <c r="K148" s="345">
        <v>0.46825571085775103</v>
      </c>
      <c r="L148" s="380">
        <v>0.47208138616934014</v>
      </c>
      <c r="M148" s="296">
        <f t="shared" si="94"/>
        <v>0.21851433328918674</v>
      </c>
      <c r="N148" s="298">
        <f t="shared" si="95"/>
        <v>0.15945308033916616</v>
      </c>
      <c r="O148" s="344">
        <v>0</v>
      </c>
      <c r="P148" s="345">
        <v>3.0391935775194511E-2</v>
      </c>
      <c r="Q148" s="345">
        <v>0.19424905972346923</v>
      </c>
      <c r="R148" s="345">
        <v>0.32421921105673451</v>
      </c>
      <c r="S148" s="345">
        <v>0.38513599753010042</v>
      </c>
      <c r="T148" s="345">
        <v>0.43038580061658904</v>
      </c>
      <c r="U148" s="345">
        <v>0.4463182702885648</v>
      </c>
      <c r="V148" s="345">
        <v>0.45517426223064217</v>
      </c>
      <c r="W148" s="345">
        <v>0.46825571085775103</v>
      </c>
      <c r="X148" s="345">
        <v>0.47016004986846544</v>
      </c>
      <c r="Y148" s="380">
        <v>0.47285485585128612</v>
      </c>
      <c r="Z148" s="296">
        <f t="shared" si="89"/>
        <v>0.13311837371956961</v>
      </c>
      <c r="AA148" s="298">
        <f t="shared" si="90"/>
        <v>0.10568030731560622</v>
      </c>
      <c r="AB148" s="949">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50">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8">
        <f t="shared" si="96"/>
        <v>0</v>
      </c>
      <c r="AE148" s="938">
        <f t="shared" si="102"/>
        <v>0.21851433328918674</v>
      </c>
      <c r="AF148" s="938">
        <f t="shared" si="103"/>
        <v>0.13311837371956961</v>
      </c>
      <c r="AG148" s="938">
        <f t="shared" si="104"/>
        <v>0.35163270700875637</v>
      </c>
      <c r="AH148" s="1174">
        <f t="shared" si="100"/>
        <v>0.62142778226755024</v>
      </c>
      <c r="AI148" s="938">
        <f t="shared" si="101"/>
        <v>0.3785722177324497</v>
      </c>
    </row>
    <row r="149" spans="1:35" x14ac:dyDescent="0.2">
      <c r="A149" s="330">
        <v>2028</v>
      </c>
      <c r="B149" s="344">
        <v>0</v>
      </c>
      <c r="C149" s="345">
        <v>2.4646653488052624E-2</v>
      </c>
      <c r="D149" s="345">
        <v>0.20019321353656513</v>
      </c>
      <c r="E149" s="345">
        <v>0.33413997278527768</v>
      </c>
      <c r="F149" s="345">
        <v>0.40400872260339238</v>
      </c>
      <c r="G149" s="345">
        <v>0.43778488999754872</v>
      </c>
      <c r="H149" s="345">
        <v>0.45997513287914565</v>
      </c>
      <c r="I149" s="345">
        <v>0.47669960345736784</v>
      </c>
      <c r="J149" s="345">
        <v>0.48258383570978658</v>
      </c>
      <c r="K149" s="345">
        <v>0.48454653950431054</v>
      </c>
      <c r="L149" s="380">
        <v>0.48812406334699332</v>
      </c>
      <c r="M149" s="296">
        <f t="shared" si="94"/>
        <v>0.23283081900190011</v>
      </c>
      <c r="N149" s="298">
        <f t="shared" si="95"/>
        <v>0.17259994057692266</v>
      </c>
      <c r="O149" s="344">
        <v>0</v>
      </c>
      <c r="P149" s="345">
        <v>4.687636061669876E-2</v>
      </c>
      <c r="Q149" s="345">
        <v>0.23753984385565272</v>
      </c>
      <c r="R149" s="345">
        <v>0.35812713336622259</v>
      </c>
      <c r="S149" s="345">
        <v>0.41135933649234974</v>
      </c>
      <c r="T149" s="345">
        <v>0.44948404455147334</v>
      </c>
      <c r="U149" s="345">
        <v>0.46910210872017477</v>
      </c>
      <c r="V149" s="345">
        <v>0.47669960345736784</v>
      </c>
      <c r="W149" s="345">
        <v>0.48258383570978658</v>
      </c>
      <c r="X149" s="345">
        <v>0.48652657260169768</v>
      </c>
      <c r="Y149" s="380">
        <v>0.48812406334699332</v>
      </c>
      <c r="Z149" s="296">
        <f t="shared" si="89"/>
        <v>0.14295045112104668</v>
      </c>
      <c r="AA149" s="298">
        <f t="shared" si="90"/>
        <v>0.11562883098584023</v>
      </c>
      <c r="AB149" s="949">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50">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8">
        <f t="shared" si="96"/>
        <v>0</v>
      </c>
      <c r="AE149" s="938">
        <f t="shared" si="102"/>
        <v>0.23283081900190011</v>
      </c>
      <c r="AF149" s="938">
        <f t="shared" si="103"/>
        <v>0.14295045112104668</v>
      </c>
      <c r="AG149" s="938">
        <f t="shared" si="104"/>
        <v>0.37578127012294682</v>
      </c>
      <c r="AH149" s="1174">
        <f t="shared" si="100"/>
        <v>0.61959133547481848</v>
      </c>
      <c r="AI149" s="938">
        <f t="shared" si="101"/>
        <v>0.38040866452518146</v>
      </c>
    </row>
    <row r="150" spans="1:35" x14ac:dyDescent="0.2">
      <c r="A150" s="330">
        <v>2029</v>
      </c>
      <c r="B150" s="344">
        <v>0</v>
      </c>
      <c r="C150" s="345">
        <v>4.2435706754313171E-2</v>
      </c>
      <c r="D150" s="345">
        <v>0.2401989310984414</v>
      </c>
      <c r="E150" s="345">
        <v>0.37037910883373493</v>
      </c>
      <c r="F150" s="345">
        <v>0.42978588355367275</v>
      </c>
      <c r="G150" s="345">
        <v>0.45451569427096278</v>
      </c>
      <c r="H150" s="345">
        <v>0.47435336851986171</v>
      </c>
      <c r="I150" s="345">
        <v>0.48203591173147015</v>
      </c>
      <c r="J150" s="345">
        <v>0.48798601372035944</v>
      </c>
      <c r="K150" s="345">
        <v>0.49197288670834932</v>
      </c>
      <c r="L150" s="380">
        <v>0.49358826021045882</v>
      </c>
      <c r="M150" s="296">
        <f t="shared" si="94"/>
        <v>0.24540864602579981</v>
      </c>
      <c r="N150" s="298">
        <f t="shared" si="95"/>
        <v>0.18597155874369986</v>
      </c>
      <c r="O150" s="344">
        <v>0</v>
      </c>
      <c r="P150" s="345">
        <v>6.8685714692974395E-2</v>
      </c>
      <c r="Q150" s="345">
        <v>0.27202345051378851</v>
      </c>
      <c r="R150" s="345">
        <v>0.38612425845587617</v>
      </c>
      <c r="S150" s="345">
        <v>0.42978588355367275</v>
      </c>
      <c r="T150" s="345">
        <v>0.46512422276649196</v>
      </c>
      <c r="U150" s="345">
        <v>0.47435336851986171</v>
      </c>
      <c r="V150" s="345">
        <v>0.4849918906990181</v>
      </c>
      <c r="W150" s="345">
        <v>0.49197288670834932</v>
      </c>
      <c r="X150" s="345">
        <v>0.49197288670834932</v>
      </c>
      <c r="Y150" s="380">
        <v>0.49358826021045882</v>
      </c>
      <c r="Z150" s="296">
        <f t="shared" si="89"/>
        <v>0.14992801618166293</v>
      </c>
      <c r="AA150" s="298">
        <f t="shared" si="90"/>
        <v>0.12349907240595846</v>
      </c>
      <c r="AB150" s="949">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50">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8">
        <f t="shared" si="96"/>
        <v>0</v>
      </c>
      <c r="AE150" s="938">
        <f t="shared" si="102"/>
        <v>0.24540864602579981</v>
      </c>
      <c r="AF150" s="938">
        <f t="shared" si="103"/>
        <v>0.14992801618166293</v>
      </c>
      <c r="AG150" s="938">
        <f t="shared" si="104"/>
        <v>0.39533666220746277</v>
      </c>
      <c r="AH150" s="1174">
        <f t="shared" si="100"/>
        <v>0.62075863304834478</v>
      </c>
      <c r="AI150" s="938">
        <f t="shared" si="101"/>
        <v>0.37924136695165517</v>
      </c>
    </row>
    <row r="151" spans="1:35" ht="13.5" thickBot="1" x14ac:dyDescent="0.25">
      <c r="A151" s="328">
        <v>2030</v>
      </c>
      <c r="B151" s="346">
        <v>0</v>
      </c>
      <c r="C151" s="347">
        <v>5.6036507199959923E-2</v>
      </c>
      <c r="D151" s="347">
        <v>0.2647801364770937</v>
      </c>
      <c r="E151" s="347">
        <v>0.38764555106214221</v>
      </c>
      <c r="F151" s="347">
        <v>0.43785726791754387</v>
      </c>
      <c r="G151" s="347">
        <v>0.46695676766776167</v>
      </c>
      <c r="H151" s="347">
        <v>0.48393508706793908</v>
      </c>
      <c r="I151" s="347">
        <v>0.48990863188893224</v>
      </c>
      <c r="J151" s="347">
        <v>0.49391121277474498</v>
      </c>
      <c r="K151" s="347">
        <v>0.49391121277474498</v>
      </c>
      <c r="L151" s="381">
        <v>0.49553295069377812</v>
      </c>
      <c r="M151" s="310">
        <f t="shared" si="94"/>
        <v>0.25232638537990232</v>
      </c>
      <c r="N151" s="312">
        <f t="shared" si="95"/>
        <v>0.19341665900009433</v>
      </c>
      <c r="O151" s="346">
        <v>0</v>
      </c>
      <c r="P151" s="347">
        <v>9.2504385442889789E-2</v>
      </c>
      <c r="Q151" s="347">
        <v>0.28947610782628624</v>
      </c>
      <c r="R151" s="347">
        <v>0.40294532509923675</v>
      </c>
      <c r="S151" s="347">
        <v>0.44442971490102962</v>
      </c>
      <c r="T151" s="347">
        <v>0.47622227537169332</v>
      </c>
      <c r="U151" s="347">
        <v>0.48393508706793908</v>
      </c>
      <c r="V151" s="347">
        <v>0.48990863188893224</v>
      </c>
      <c r="W151" s="347">
        <v>0.49391121277474498</v>
      </c>
      <c r="X151" s="347">
        <v>0.49553295069377812</v>
      </c>
      <c r="Y151" s="381">
        <v>0.49553295069377812</v>
      </c>
      <c r="Z151" s="310">
        <f t="shared" si="89"/>
        <v>0.15494258637830677</v>
      </c>
      <c r="AA151" s="312">
        <f t="shared" si="90"/>
        <v>0.1292458865605354</v>
      </c>
      <c r="AB151" s="949">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50">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8">
        <f t="shared" si="96"/>
        <v>0</v>
      </c>
      <c r="AE151" s="938">
        <f t="shared" si="102"/>
        <v>0.25232638537990232</v>
      </c>
      <c r="AF151" s="938">
        <f t="shared" si="103"/>
        <v>0.15494258637830677</v>
      </c>
      <c r="AG151" s="938">
        <f t="shared" si="104"/>
        <v>0.40726897175820909</v>
      </c>
      <c r="AH151" s="1174">
        <f t="shared" si="100"/>
        <v>0.61955710569010791</v>
      </c>
      <c r="AI151" s="938">
        <f t="shared" si="101"/>
        <v>0.38044289430989209</v>
      </c>
    </row>
    <row r="152" spans="1:35" x14ac:dyDescent="0.2">
      <c r="A152" s="329">
        <v>2031</v>
      </c>
      <c r="B152" s="342">
        <v>0</v>
      </c>
      <c r="C152" s="343">
        <v>5.9064209643168657E-2</v>
      </c>
      <c r="D152" s="343">
        <v>0.2735227117477545</v>
      </c>
      <c r="E152" s="343">
        <v>0.38825238796494377</v>
      </c>
      <c r="F152" s="343">
        <v>0.44512544415927746</v>
      </c>
      <c r="G152" s="343">
        <v>0.46768776173658905</v>
      </c>
      <c r="H152" s="343">
        <v>0.48469265972313569</v>
      </c>
      <c r="I152" s="343">
        <v>0.49067555578633454</v>
      </c>
      <c r="J152" s="343">
        <v>0.49468440248322471</v>
      </c>
      <c r="K152" s="343">
        <v>0.49468440248322471</v>
      </c>
      <c r="L152" s="379">
        <v>0.49491492033210105</v>
      </c>
      <c r="M152" s="282">
        <f t="shared" si="94"/>
        <v>0.25411424466573762</v>
      </c>
      <c r="N152" s="284">
        <f t="shared" si="95"/>
        <v>0.19545123006466794</v>
      </c>
      <c r="O152" s="342">
        <v>0</v>
      </c>
      <c r="P152" s="343">
        <v>9.2649195758921832E-2</v>
      </c>
      <c r="Q152" s="343">
        <v>0.30649781186986141</v>
      </c>
      <c r="R152" s="343">
        <v>0.40357611292180201</v>
      </c>
      <c r="S152" s="343">
        <v>0.44512544415927746</v>
      </c>
      <c r="T152" s="343">
        <v>0.47696777406203017</v>
      </c>
      <c r="U152" s="343">
        <v>0.48469265972313569</v>
      </c>
      <c r="V152" s="343">
        <v>0.49067555578633454</v>
      </c>
      <c r="W152" s="343">
        <v>0.49462171821519085</v>
      </c>
      <c r="X152" s="343">
        <v>0.49577486972288892</v>
      </c>
      <c r="Y152" s="379">
        <v>0.4905102403226736</v>
      </c>
      <c r="Z152" s="282">
        <f t="shared" si="89"/>
        <v>0.15578749688259927</v>
      </c>
      <c r="AA152" s="284">
        <f t="shared" si="90"/>
        <v>0.13044851974648469</v>
      </c>
      <c r="AB152" s="949">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50">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8">
        <f t="shared" si="96"/>
        <v>0</v>
      </c>
      <c r="AE152" s="938">
        <f t="shared" si="102"/>
        <v>0.25411424466573762</v>
      </c>
      <c r="AF152" s="938">
        <f t="shared" si="103"/>
        <v>0.15578749688259927</v>
      </c>
      <c r="AG152" s="938">
        <f t="shared" si="104"/>
        <v>0.40990174154833692</v>
      </c>
      <c r="AH152" s="1174">
        <f t="shared" si="100"/>
        <v>0.61993941207925229</v>
      </c>
      <c r="AI152" s="938">
        <f t="shared" si="101"/>
        <v>0.38006058792074759</v>
      </c>
    </row>
    <row r="153" spans="1:35" x14ac:dyDescent="0.2">
      <c r="A153" s="330">
        <v>2032</v>
      </c>
      <c r="B153" s="344">
        <v>0</v>
      </c>
      <c r="C153" s="345">
        <v>6.2366690663155047E-2</v>
      </c>
      <c r="D153" s="345">
        <v>0.27368032265552367</v>
      </c>
      <c r="E153" s="345">
        <v>0.38847610909917679</v>
      </c>
      <c r="F153" s="345">
        <v>0.44538193702919965</v>
      </c>
      <c r="G153" s="345">
        <v>0.46795725560131712</v>
      </c>
      <c r="H153" s="345">
        <v>0.4849719522528122</v>
      </c>
      <c r="I153" s="345">
        <v>0.49095829581648942</v>
      </c>
      <c r="J153" s="345">
        <v>0.49432593032725092</v>
      </c>
      <c r="K153" s="345">
        <v>0.49263916597069968</v>
      </c>
      <c r="L153" s="380">
        <v>0.47264639509134321</v>
      </c>
      <c r="M153" s="296">
        <f t="shared" si="94"/>
        <v>0.25358156995830461</v>
      </c>
      <c r="N153" s="298">
        <f t="shared" si="95"/>
        <v>0.19557930673304133</v>
      </c>
      <c r="O153" s="344">
        <v>0</v>
      </c>
      <c r="P153" s="345">
        <v>9.7019595911823714E-2</v>
      </c>
      <c r="Q153" s="345">
        <v>0.30667442388883925</v>
      </c>
      <c r="R153" s="345">
        <v>0.40380866398531373</v>
      </c>
      <c r="S153" s="345">
        <v>0.44538193702919965</v>
      </c>
      <c r="T153" s="345">
        <v>0.4772426153114685</v>
      </c>
      <c r="U153" s="345">
        <v>0.4849719522528122</v>
      </c>
      <c r="V153" s="345">
        <v>0.490630064795819</v>
      </c>
      <c r="W153" s="345">
        <v>0.48822293144873435</v>
      </c>
      <c r="X153" s="345">
        <v>0.48093750530301188</v>
      </c>
      <c r="Y153" s="380">
        <v>0.45826412644197484</v>
      </c>
      <c r="Z153" s="296">
        <f t="shared" si="89"/>
        <v>0.1553256841669951</v>
      </c>
      <c r="AA153" s="298">
        <f t="shared" si="90"/>
        <v>0.13056489542769545</v>
      </c>
      <c r="AB153" s="949">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50">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8">
        <f t="shared" si="96"/>
        <v>0</v>
      </c>
      <c r="AE153" s="938">
        <f t="shared" si="102"/>
        <v>0.25358156995830461</v>
      </c>
      <c r="AF153" s="938">
        <f t="shared" si="103"/>
        <v>0.1553256841669951</v>
      </c>
      <c r="AG153" s="938">
        <f t="shared" si="104"/>
        <v>0.40890725412529971</v>
      </c>
      <c r="AH153" s="1174">
        <f t="shared" si="100"/>
        <v>0.62014446405639134</v>
      </c>
      <c r="AI153" s="938">
        <f t="shared" si="101"/>
        <v>0.37985553594360866</v>
      </c>
    </row>
    <row r="154" spans="1:35" x14ac:dyDescent="0.2">
      <c r="A154" s="330">
        <v>2033</v>
      </c>
      <c r="B154" s="344">
        <v>0</v>
      </c>
      <c r="C154" s="345">
        <v>6.5575897351461326E-2</v>
      </c>
      <c r="D154" s="345">
        <v>0.27373835017960013</v>
      </c>
      <c r="E154" s="345">
        <v>0.38855847639016483</v>
      </c>
      <c r="F154" s="345">
        <v>0.44547636987268441</v>
      </c>
      <c r="G154" s="345">
        <v>0.46805647501414416</v>
      </c>
      <c r="H154" s="345">
        <v>0.48490955549780235</v>
      </c>
      <c r="I154" s="345">
        <v>0.48755366763077718</v>
      </c>
      <c r="J154" s="345">
        <v>0.47911875896404887</v>
      </c>
      <c r="K154" s="345">
        <v>0.46408578678627954</v>
      </c>
      <c r="L154" s="380">
        <v>0.42977400627566109</v>
      </c>
      <c r="M154" s="296">
        <f t="shared" si="94"/>
        <v>0.25115075149373484</v>
      </c>
      <c r="N154" s="298">
        <f t="shared" si="95"/>
        <v>0.19488568111436333</v>
      </c>
      <c r="O154" s="344">
        <v>0</v>
      </c>
      <c r="P154" s="345">
        <v>0.10178212469831266</v>
      </c>
      <c r="Q154" s="345">
        <v>0.30673944704192235</v>
      </c>
      <c r="R154" s="345">
        <v>0.40389428218666762</v>
      </c>
      <c r="S154" s="345">
        <v>0.45134890006130318</v>
      </c>
      <c r="T154" s="345">
        <v>0.47720601314172645</v>
      </c>
      <c r="U154" s="345">
        <v>0.48279499725135983</v>
      </c>
      <c r="V154" s="345">
        <v>0.48105150357478582</v>
      </c>
      <c r="W154" s="345">
        <v>0.45935443303595924</v>
      </c>
      <c r="X154" s="345">
        <v>0.44266655008414835</v>
      </c>
      <c r="Y154" s="380">
        <v>0.41589906804478616</v>
      </c>
      <c r="Z154" s="296">
        <f t="shared" si="89"/>
        <v>0.15449819204536422</v>
      </c>
      <c r="AA154" s="298">
        <f t="shared" si="90"/>
        <v>0.13072818704188929</v>
      </c>
      <c r="AB154" s="949">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50">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8">
        <f>AB154*AH154+AC154*AI154</f>
        <v>0</v>
      </c>
      <c r="AE154" s="938">
        <f t="shared" si="102"/>
        <v>0.25115075149373484</v>
      </c>
      <c r="AF154" s="938">
        <f t="shared" si="103"/>
        <v>0.15449819204536422</v>
      </c>
      <c r="AG154" s="938">
        <f t="shared" si="104"/>
        <v>0.40564894353909908</v>
      </c>
      <c r="AH154" s="1174">
        <f t="shared" si="100"/>
        <v>0.61913325670852459</v>
      </c>
      <c r="AI154" s="938">
        <f t="shared" si="101"/>
        <v>0.38086674329147535</v>
      </c>
    </row>
    <row r="155" spans="1:35" x14ac:dyDescent="0.2">
      <c r="A155" s="330">
        <v>2034</v>
      </c>
      <c r="B155" s="344">
        <v>0</v>
      </c>
      <c r="C155" s="345">
        <v>6.9124117254689435E-2</v>
      </c>
      <c r="D155" s="345">
        <v>0.27375970350445594</v>
      </c>
      <c r="E155" s="345">
        <v>0.3885887864120029</v>
      </c>
      <c r="F155" s="345">
        <v>0.4455111198506661</v>
      </c>
      <c r="G155" s="345">
        <v>0.46789174070952239</v>
      </c>
      <c r="H155" s="345">
        <v>0.47811526987285718</v>
      </c>
      <c r="I155" s="345">
        <v>0.46371189783240957</v>
      </c>
      <c r="J155" s="345">
        <v>0.44430076446108924</v>
      </c>
      <c r="K155" s="345">
        <v>0.4241824436466452</v>
      </c>
      <c r="L155" s="380">
        <v>0.3906354855121969</v>
      </c>
      <c r="M155" s="296">
        <f t="shared" si="94"/>
        <v>0.2460840468865631</v>
      </c>
      <c r="N155" s="298">
        <f t="shared" si="95"/>
        <v>0.19283573903052176</v>
      </c>
      <c r="O155" s="344">
        <v>0</v>
      </c>
      <c r="P155" s="345">
        <v>0.10179006434860927</v>
      </c>
      <c r="Q155" s="345">
        <v>0.3067633746613242</v>
      </c>
      <c r="R155" s="345">
        <v>0.40392578849847693</v>
      </c>
      <c r="S155" s="345">
        <v>0.45737150253742193</v>
      </c>
      <c r="T155" s="345">
        <v>0.47123727314673564</v>
      </c>
      <c r="U155" s="345">
        <v>0.46495561238634886</v>
      </c>
      <c r="V155" s="345">
        <v>0.4479324852242148</v>
      </c>
      <c r="W155" s="345">
        <v>0.41790669621553594</v>
      </c>
      <c r="X155" s="345">
        <v>0.40508171792656156</v>
      </c>
      <c r="Y155" s="380">
        <v>0.38130707379793316</v>
      </c>
      <c r="Z155" s="296">
        <f t="shared" si="89"/>
        <v>0.1520165986013102</v>
      </c>
      <c r="AA155" s="298">
        <f t="shared" si="90"/>
        <v>0.12965349390417408</v>
      </c>
      <c r="AB155" s="949">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50">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8">
        <f t="shared" ref="AD155:AD171" si="105">AB155*AH155+AC155*AI155</f>
        <v>0</v>
      </c>
      <c r="AE155" s="938">
        <f t="shared" si="102"/>
        <v>0.2460840468865631</v>
      </c>
      <c r="AF155" s="938">
        <f t="shared" si="103"/>
        <v>0.1520165986013102</v>
      </c>
      <c r="AG155" s="938">
        <f t="shared" si="104"/>
        <v>0.39810064548787327</v>
      </c>
      <c r="AH155" s="1174">
        <f t="shared" si="100"/>
        <v>0.61814530992529926</v>
      </c>
      <c r="AI155" s="938">
        <f t="shared" si="101"/>
        <v>0.38185469007470085</v>
      </c>
    </row>
    <row r="156" spans="1:35" ht="13.5" thickBot="1" x14ac:dyDescent="0.25">
      <c r="A156" s="328">
        <v>2035</v>
      </c>
      <c r="B156" s="346">
        <v>0</v>
      </c>
      <c r="C156" s="347">
        <v>6.9126100961302658E-2</v>
      </c>
      <c r="D156" s="347">
        <v>0.29018880071213138</v>
      </c>
      <c r="E156" s="347">
        <v>0.38859993803572035</v>
      </c>
      <c r="F156" s="347">
        <v>0.44523289194875915</v>
      </c>
      <c r="G156" s="347">
        <v>0.45896314833739588</v>
      </c>
      <c r="H156" s="347">
        <v>0.44494863033286924</v>
      </c>
      <c r="I156" s="347">
        <v>0.42232846670291074</v>
      </c>
      <c r="J156" s="347">
        <v>0.40233354689860851</v>
      </c>
      <c r="K156" s="347">
        <v>0.38931774717121964</v>
      </c>
      <c r="L156" s="381">
        <v>0.36674982289390284</v>
      </c>
      <c r="M156" s="310">
        <f t="shared" si="94"/>
        <v>0.23811729932194284</v>
      </c>
      <c r="N156" s="312">
        <f t="shared" si="95"/>
        <v>0.18964050660206913</v>
      </c>
      <c r="O156" s="346">
        <v>0</v>
      </c>
      <c r="P156" s="347">
        <v>0.10179298549439494</v>
      </c>
      <c r="Q156" s="347">
        <v>0.30677217807985846</v>
      </c>
      <c r="R156" s="347">
        <v>0.41115140848367904</v>
      </c>
      <c r="S156" s="347">
        <v>0.45265225101699308</v>
      </c>
      <c r="T156" s="347">
        <v>0.44383401108394266</v>
      </c>
      <c r="U156" s="347">
        <v>0.42535650962471278</v>
      </c>
      <c r="V156" s="347">
        <v>0.40817357142844912</v>
      </c>
      <c r="W156" s="347">
        <v>0.38379225274963991</v>
      </c>
      <c r="X156" s="347">
        <v>0.37536951191450313</v>
      </c>
      <c r="Y156" s="381">
        <v>0.35889238511877219</v>
      </c>
      <c r="Z156" s="310">
        <f t="shared" si="89"/>
        <v>0.14703570695273258</v>
      </c>
      <c r="AA156" s="312">
        <f t="shared" si="90"/>
        <v>0.1268871812603441</v>
      </c>
      <c r="AB156" s="949">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50">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8">
        <f t="shared" si="105"/>
        <v>0</v>
      </c>
      <c r="AE156" s="938">
        <f t="shared" si="102"/>
        <v>0.23811729932194284</v>
      </c>
      <c r="AF156" s="938">
        <f t="shared" si="103"/>
        <v>0.14703570695273258</v>
      </c>
      <c r="AG156" s="938">
        <f t="shared" si="104"/>
        <v>0.38515300627467541</v>
      </c>
      <c r="AH156" s="1174">
        <f t="shared" si="100"/>
        <v>0.61824079117307285</v>
      </c>
      <c r="AI156" s="938">
        <f t="shared" si="101"/>
        <v>0.3817592088269271</v>
      </c>
    </row>
    <row r="157" spans="1:35" x14ac:dyDescent="0.2">
      <c r="A157" s="329">
        <v>2036</v>
      </c>
      <c r="B157" s="342">
        <v>0</v>
      </c>
      <c r="C157" s="343">
        <v>7.258858269177329E-2</v>
      </c>
      <c r="D157" s="343">
        <v>0.29019186435821565</v>
      </c>
      <c r="E157" s="343">
        <v>0.40394164479765993</v>
      </c>
      <c r="F157" s="343">
        <v>0.44402593565589404</v>
      </c>
      <c r="G157" s="343">
        <v>0.44973666742328622</v>
      </c>
      <c r="H157" s="343">
        <v>0.43366055712194934</v>
      </c>
      <c r="I157" s="343">
        <v>0.40811837056719097</v>
      </c>
      <c r="J157" s="343">
        <v>0.39251925916946817</v>
      </c>
      <c r="K157" s="343">
        <v>0.37983404649544161</v>
      </c>
      <c r="L157" s="379">
        <v>0.36263384256555153</v>
      </c>
      <c r="M157" s="282">
        <f t="shared" si="94"/>
        <v>0.23623828177274697</v>
      </c>
      <c r="N157" s="284">
        <f t="shared" si="95"/>
        <v>0.18947731798103118</v>
      </c>
      <c r="O157" s="342">
        <v>0</v>
      </c>
      <c r="P157" s="343">
        <v>0.11147525204016973</v>
      </c>
      <c r="Q157" s="343">
        <v>0.32342853581685554</v>
      </c>
      <c r="R157" s="343">
        <v>0.41839124783847015</v>
      </c>
      <c r="S157" s="343">
        <v>0.44709620318880361</v>
      </c>
      <c r="T157" s="343">
        <v>0.42993395990060018</v>
      </c>
      <c r="U157" s="343">
        <v>0.41178959957249928</v>
      </c>
      <c r="V157" s="343">
        <v>0.39839984966297515</v>
      </c>
      <c r="W157" s="343">
        <v>0.37529023171356907</v>
      </c>
      <c r="X157" s="343">
        <v>0.36666589235774533</v>
      </c>
      <c r="Y157" s="379">
        <v>0.35521524649276776</v>
      </c>
      <c r="Z157" s="282">
        <f t="shared" si="89"/>
        <v>0.14618021524894867</v>
      </c>
      <c r="AA157" s="284">
        <f t="shared" si="90"/>
        <v>0.12756340541081526</v>
      </c>
      <c r="AB157" s="949">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50">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8">
        <f t="shared" si="105"/>
        <v>0</v>
      </c>
      <c r="AE157" s="938">
        <f t="shared" si="102"/>
        <v>0.23623828177274697</v>
      </c>
      <c r="AF157" s="938">
        <f t="shared" si="103"/>
        <v>0.14618021524894867</v>
      </c>
      <c r="AG157" s="938">
        <f t="shared" si="104"/>
        <v>0.38241849702169561</v>
      </c>
      <c r="AH157" s="1174">
        <f t="shared" si="100"/>
        <v>0.61774805249376985</v>
      </c>
      <c r="AI157" s="938">
        <f t="shared" si="101"/>
        <v>0.38225194750623026</v>
      </c>
    </row>
    <row r="158" spans="1:35" x14ac:dyDescent="0.2">
      <c r="A158" s="330">
        <v>2037</v>
      </c>
      <c r="B158" s="344">
        <v>0</v>
      </c>
      <c r="C158" s="345">
        <v>7.2588864616694462E-2</v>
      </c>
      <c r="D158" s="345">
        <v>0.29019299142690119</v>
      </c>
      <c r="E158" s="345">
        <v>0.40394321365617941</v>
      </c>
      <c r="F158" s="345">
        <v>0.44279944828409401</v>
      </c>
      <c r="G158" s="345">
        <v>0.44288269787924223</v>
      </c>
      <c r="H158" s="345">
        <v>0.42406538307548725</v>
      </c>
      <c r="I158" s="345">
        <v>0.39880432338474342</v>
      </c>
      <c r="J158" s="345">
        <v>0.37700142630664613</v>
      </c>
      <c r="K158" s="345">
        <v>0.358422213421484</v>
      </c>
      <c r="L158" s="380">
        <v>0.32987814454722036</v>
      </c>
      <c r="M158" s="296">
        <f t="shared" si="94"/>
        <v>0.23225524096058084</v>
      </c>
      <c r="N158" s="298">
        <f t="shared" si="95"/>
        <v>0.18746165646809435</v>
      </c>
      <c r="O158" s="344">
        <v>0</v>
      </c>
      <c r="P158" s="345">
        <v>0.11147568499602145</v>
      </c>
      <c r="Q158" s="345">
        <v>0.32342972110024643</v>
      </c>
      <c r="R158" s="345">
        <v>0.41805838518340266</v>
      </c>
      <c r="S158" s="345">
        <v>0.44271031460089777</v>
      </c>
      <c r="T158" s="345">
        <v>0.42187744933354132</v>
      </c>
      <c r="U158" s="345">
        <v>0.40700460801219396</v>
      </c>
      <c r="V158" s="345">
        <v>0.38858874277056937</v>
      </c>
      <c r="W158" s="345">
        <v>0.37079359510827375</v>
      </c>
      <c r="X158" s="345">
        <v>0.36656212651462888</v>
      </c>
      <c r="Y158" s="380">
        <v>0.35510716975238593</v>
      </c>
      <c r="Z158" s="296">
        <f t="shared" si="89"/>
        <v>0.14487965799051764</v>
      </c>
      <c r="AA158" s="298">
        <f t="shared" si="90"/>
        <v>0.12665571128476791</v>
      </c>
      <c r="AB158" s="949">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50">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8">
        <f t="shared" si="105"/>
        <v>0</v>
      </c>
      <c r="AE158" s="938">
        <f t="shared" si="102"/>
        <v>0.23225524096058084</v>
      </c>
      <c r="AF158" s="938">
        <f t="shared" si="103"/>
        <v>0.14487965799051764</v>
      </c>
      <c r="AG158" s="938">
        <f t="shared" si="104"/>
        <v>0.37713489895109847</v>
      </c>
      <c r="AH158" s="1174">
        <f t="shared" si="100"/>
        <v>0.61584128545657724</v>
      </c>
      <c r="AI158" s="938">
        <f t="shared" si="101"/>
        <v>0.38415871454342276</v>
      </c>
    </row>
    <row r="159" spans="1:35" x14ac:dyDescent="0.2">
      <c r="A159" s="330">
        <v>2038</v>
      </c>
      <c r="B159" s="344">
        <v>0</v>
      </c>
      <c r="C159" s="345">
        <v>7.6417541981399828E-2</v>
      </c>
      <c r="D159" s="345">
        <v>0.29019340605450228</v>
      </c>
      <c r="E159" s="345">
        <v>0.39894926678937764</v>
      </c>
      <c r="F159" s="345">
        <v>0.41219929942511746</v>
      </c>
      <c r="G159" s="345">
        <v>0.38559762419677596</v>
      </c>
      <c r="H159" s="345">
        <v>0.35178707718463226</v>
      </c>
      <c r="I159" s="345">
        <v>0.32569315352373773</v>
      </c>
      <c r="J159" s="345">
        <v>0.30640841525051404</v>
      </c>
      <c r="K159" s="345">
        <v>0.29323176191684874</v>
      </c>
      <c r="L159" s="380">
        <v>0.27575343711647071</v>
      </c>
      <c r="M159" s="296">
        <f t="shared" si="94"/>
        <v>0.20799121979627302</v>
      </c>
      <c r="N159" s="298">
        <f t="shared" si="95"/>
        <v>0.17292843827051432</v>
      </c>
      <c r="O159" s="344">
        <v>0</v>
      </c>
      <c r="P159" s="345">
        <v>0.11147582376760201</v>
      </c>
      <c r="Q159" s="345">
        <v>0.32342264956275618</v>
      </c>
      <c r="R159" s="345">
        <v>0.41624372667932191</v>
      </c>
      <c r="S159" s="345">
        <v>0.43224590212328795</v>
      </c>
      <c r="T159" s="345">
        <v>0.4086871384617673</v>
      </c>
      <c r="U159" s="345">
        <v>0.39245225663920419</v>
      </c>
      <c r="V159" s="345">
        <v>0.38368421500477362</v>
      </c>
      <c r="W159" s="345">
        <v>0.36645759316842297</v>
      </c>
      <c r="X159" s="345">
        <v>0.35859158798631097</v>
      </c>
      <c r="Y159" s="380">
        <v>0.35166649268334327</v>
      </c>
      <c r="Z159" s="296">
        <f t="shared" si="89"/>
        <v>0.1421603646946307</v>
      </c>
      <c r="AA159" s="298">
        <f t="shared" si="90"/>
        <v>0.12469995155180952</v>
      </c>
      <c r="AB159" s="949">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50">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8">
        <f t="shared" si="105"/>
        <v>0</v>
      </c>
      <c r="AE159" s="938">
        <f t="shared" si="102"/>
        <v>0.20799121979627302</v>
      </c>
      <c r="AF159" s="938">
        <f t="shared" si="103"/>
        <v>0.1421603646946307</v>
      </c>
      <c r="AG159" s="938">
        <f t="shared" si="104"/>
        <v>0.35015158449090372</v>
      </c>
      <c r="AH159" s="1174">
        <f t="shared" si="100"/>
        <v>0.59400336599555281</v>
      </c>
      <c r="AI159" s="938">
        <f t="shared" si="101"/>
        <v>0.40599663400444719</v>
      </c>
    </row>
    <row r="160" spans="1:35" x14ac:dyDescent="0.2">
      <c r="A160" s="330">
        <v>2039</v>
      </c>
      <c r="B160" s="344">
        <v>0</v>
      </c>
      <c r="C160" s="345">
        <v>7.6417582148464946E-2</v>
      </c>
      <c r="D160" s="345">
        <v>0.27817558765301009</v>
      </c>
      <c r="E160" s="345">
        <v>0.34687337740766538</v>
      </c>
      <c r="F160" s="345">
        <v>0.33959830085918519</v>
      </c>
      <c r="G160" s="345">
        <v>0.32326174370162997</v>
      </c>
      <c r="H160" s="345">
        <v>0.3028544925342741</v>
      </c>
      <c r="I160" s="345">
        <v>0.28846857204254694</v>
      </c>
      <c r="J160" s="345">
        <v>0.27906621011888755</v>
      </c>
      <c r="K160" s="345">
        <v>0.27187663102630799</v>
      </c>
      <c r="L160" s="380">
        <v>0.26297519541349856</v>
      </c>
      <c r="M160" s="296">
        <f t="shared" si="94"/>
        <v>0.18105919241516474</v>
      </c>
      <c r="N160" s="298">
        <f t="shared" si="95"/>
        <v>0.15157452156206427</v>
      </c>
      <c r="O160" s="344">
        <v>0</v>
      </c>
      <c r="P160" s="345">
        <v>0.11147114856896471</v>
      </c>
      <c r="Q160" s="345">
        <v>0.32336330770496047</v>
      </c>
      <c r="R160" s="345">
        <v>0.41042837107863051</v>
      </c>
      <c r="S160" s="345">
        <v>0.41719016437984163</v>
      </c>
      <c r="T160" s="345">
        <v>0.39448964989102842</v>
      </c>
      <c r="U160" s="345">
        <v>0.38262213760222452</v>
      </c>
      <c r="V160" s="345">
        <v>0.37415944086517294</v>
      </c>
      <c r="W160" s="345">
        <v>0.36226571919767231</v>
      </c>
      <c r="X160" s="345">
        <v>0.35485015786535573</v>
      </c>
      <c r="Y160" s="380">
        <v>0.34846032908949681</v>
      </c>
      <c r="Z160" s="296">
        <f t="shared" si="89"/>
        <v>0.13890270517474662</v>
      </c>
      <c r="AA160" s="298">
        <f t="shared" si="90"/>
        <v>0.12218448905999388</v>
      </c>
      <c r="AB160" s="949">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50">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8">
        <f t="shared" si="105"/>
        <v>0</v>
      </c>
      <c r="AE160" s="938">
        <f t="shared" si="102"/>
        <v>0.18105919241516474</v>
      </c>
      <c r="AF160" s="938">
        <f t="shared" si="103"/>
        <v>0.13890270517474662</v>
      </c>
      <c r="AG160" s="938">
        <f t="shared" si="104"/>
        <v>0.31996189758991134</v>
      </c>
      <c r="AH160" s="1174">
        <f t="shared" si="100"/>
        <v>0.56587735533192962</v>
      </c>
      <c r="AI160" s="938">
        <f t="shared" si="101"/>
        <v>0.43412264466807043</v>
      </c>
    </row>
    <row r="161" spans="1:35" ht="13.5" thickBot="1" x14ac:dyDescent="0.25">
      <c r="A161" s="328">
        <v>2040</v>
      </c>
      <c r="B161" s="346">
        <v>0</v>
      </c>
      <c r="C161" s="347">
        <v>7.4616629607097237E-2</v>
      </c>
      <c r="D161" s="347">
        <v>0.24016758453647458</v>
      </c>
      <c r="E161" s="347">
        <v>0.30365710490174153</v>
      </c>
      <c r="F161" s="347">
        <v>0.29963199985211836</v>
      </c>
      <c r="G161" s="347">
        <v>0.2980859177681075</v>
      </c>
      <c r="H161" s="347">
        <v>0.2814771391773902</v>
      </c>
      <c r="I161" s="347">
        <v>0.27261048627941359</v>
      </c>
      <c r="J161" s="347">
        <v>0.26972435530722716</v>
      </c>
      <c r="K161" s="347">
        <v>0.26557953124765987</v>
      </c>
      <c r="L161" s="381">
        <v>0.25924573068106682</v>
      </c>
      <c r="M161" s="310">
        <f t="shared" si="94"/>
        <v>0.16484480008975569</v>
      </c>
      <c r="N161" s="312">
        <f t="shared" si="95"/>
        <v>0.13646778304224616</v>
      </c>
      <c r="O161" s="346">
        <v>0</v>
      </c>
      <c r="P161" s="347">
        <v>0.11142249277113166</v>
      </c>
      <c r="Q161" s="347">
        <v>0.32269776865681749</v>
      </c>
      <c r="R161" s="347">
        <v>0.39790471665301913</v>
      </c>
      <c r="S161" s="347">
        <v>0.39757773660053625</v>
      </c>
      <c r="T161" s="347">
        <v>0.37982149889415667</v>
      </c>
      <c r="U161" s="347">
        <v>0.37573392758323609</v>
      </c>
      <c r="V161" s="347">
        <v>0.36505517494858358</v>
      </c>
      <c r="W161" s="347">
        <v>0.35822882960359081</v>
      </c>
      <c r="X161" s="347">
        <v>0.3513082878207483</v>
      </c>
      <c r="Y161" s="381">
        <v>0.34549994529594857</v>
      </c>
      <c r="Z161" s="310">
        <f t="shared" si="89"/>
        <v>0.1349086480208069</v>
      </c>
      <c r="AA161" s="312">
        <f t="shared" si="90"/>
        <v>0.1188867052961614</v>
      </c>
      <c r="AB161" s="949">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50">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8">
        <f t="shared" si="105"/>
        <v>0</v>
      </c>
      <c r="AE161" s="938">
        <f t="shared" si="102"/>
        <v>0.16484480008975569</v>
      </c>
      <c r="AF161" s="938">
        <f t="shared" si="103"/>
        <v>0.1349086480208069</v>
      </c>
      <c r="AG161" s="938">
        <f t="shared" si="104"/>
        <v>0.29975344811056259</v>
      </c>
      <c r="AH161" s="1174">
        <f t="shared" si="100"/>
        <v>0.54993462503541746</v>
      </c>
      <c r="AI161" s="938">
        <f t="shared" si="101"/>
        <v>0.4500653749645826</v>
      </c>
    </row>
    <row r="162" spans="1:35" x14ac:dyDescent="0.2">
      <c r="A162" s="329">
        <v>2041</v>
      </c>
      <c r="B162" s="342">
        <v>0</v>
      </c>
      <c r="C162" s="343">
        <v>6.445185431144522E-2</v>
      </c>
      <c r="D162" s="343">
        <v>0.21286628602735835</v>
      </c>
      <c r="E162" s="343">
        <v>0.27178662515106267</v>
      </c>
      <c r="F162" s="343">
        <v>0.27487852495953363</v>
      </c>
      <c r="G162" s="343">
        <v>0.28061022549400388</v>
      </c>
      <c r="H162" s="343">
        <v>0.2711210632520254</v>
      </c>
      <c r="I162" s="343">
        <v>0.26527749486196528</v>
      </c>
      <c r="J162" s="343">
        <v>0.26331794092808253</v>
      </c>
      <c r="K162" s="343">
        <v>0.26206716374391603</v>
      </c>
      <c r="L162" s="379">
        <v>0.25682234170449175</v>
      </c>
      <c r="M162" s="282">
        <f t="shared" si="94"/>
        <v>0.15410115961380999</v>
      </c>
      <c r="N162" s="284">
        <f t="shared" si="95"/>
        <v>0.12561869991814739</v>
      </c>
      <c r="O162" s="342">
        <v>0</v>
      </c>
      <c r="P162" s="343">
        <v>0.11125417070730907</v>
      </c>
      <c r="Q162" s="343">
        <v>0.31663055291520781</v>
      </c>
      <c r="R162" s="343">
        <v>0.37469545995144732</v>
      </c>
      <c r="S162" s="343">
        <v>0.37929280188775116</v>
      </c>
      <c r="T162" s="343">
        <v>0.36994571049219038</v>
      </c>
      <c r="U162" s="343">
        <v>0.36628275659245169</v>
      </c>
      <c r="V162" s="343">
        <v>0.3565238881315867</v>
      </c>
      <c r="W162" s="343">
        <v>0.35100536001056881</v>
      </c>
      <c r="X162" s="343">
        <v>0.34795454630278511</v>
      </c>
      <c r="Y162" s="379">
        <v>0.3427722187911959</v>
      </c>
      <c r="Z162" s="282">
        <f t="shared" si="89"/>
        <v>0.13020651511126352</v>
      </c>
      <c r="AA162" s="284">
        <f t="shared" si="90"/>
        <v>0.11468827649785331</v>
      </c>
      <c r="AB162" s="949">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50">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8">
        <f t="shared" si="105"/>
        <v>0</v>
      </c>
      <c r="AE162" s="938">
        <f t="shared" si="102"/>
        <v>0.15410115961380999</v>
      </c>
      <c r="AF162" s="938">
        <f t="shared" si="103"/>
        <v>0.13020651511126352</v>
      </c>
      <c r="AG162" s="938">
        <f t="shared" si="104"/>
        <v>0.28430767472507351</v>
      </c>
      <c r="AH162" s="1174">
        <f t="shared" si="100"/>
        <v>0.54202251051726391</v>
      </c>
      <c r="AI162" s="938">
        <f t="shared" si="101"/>
        <v>0.45797748948273614</v>
      </c>
    </row>
    <row r="163" spans="1:35" x14ac:dyDescent="0.2">
      <c r="A163" s="330">
        <v>2042</v>
      </c>
      <c r="B163" s="344">
        <v>0</v>
      </c>
      <c r="C163" s="345">
        <v>5.5749368399750927E-2</v>
      </c>
      <c r="D163" s="345">
        <v>0.19590090426910281</v>
      </c>
      <c r="E163" s="345">
        <v>0.24799224958168303</v>
      </c>
      <c r="F163" s="345">
        <v>0.26218804667489776</v>
      </c>
      <c r="G163" s="345">
        <v>0.26721737340918522</v>
      </c>
      <c r="H163" s="345">
        <v>0.26266819706127237</v>
      </c>
      <c r="I163" s="345">
        <v>0.26036066848573697</v>
      </c>
      <c r="J163" s="345">
        <v>0.25884730682887647</v>
      </c>
      <c r="K163" s="345">
        <v>0.25820424254627361</v>
      </c>
      <c r="L163" s="380">
        <v>0.25533720364632007</v>
      </c>
      <c r="M163" s="296">
        <f t="shared" si="94"/>
        <v>0.14693142555515906</v>
      </c>
      <c r="N163" s="298">
        <f t="shared" si="95"/>
        <v>0.11832934888145055</v>
      </c>
      <c r="O163" s="344">
        <v>0</v>
      </c>
      <c r="P163" s="345">
        <v>0.12034802589852044</v>
      </c>
      <c r="Q163" s="345">
        <v>0.2948714808011238</v>
      </c>
      <c r="R163" s="345">
        <v>0.35008391967219465</v>
      </c>
      <c r="S163" s="345">
        <v>0.35988996118789995</v>
      </c>
      <c r="T163" s="345">
        <v>0.35577091886161943</v>
      </c>
      <c r="U163" s="345">
        <v>0.35605712723558475</v>
      </c>
      <c r="V163" s="345">
        <v>0.35054031067244967</v>
      </c>
      <c r="W163" s="345">
        <v>0.34750783265953616</v>
      </c>
      <c r="X163" s="345">
        <v>0.34476100587688602</v>
      </c>
      <c r="Y163" s="380">
        <v>0.34025109582215768</v>
      </c>
      <c r="Z163" s="296">
        <f t="shared" si="89"/>
        <v>0.12474552229022354</v>
      </c>
      <c r="AA163" s="298">
        <f t="shared" si="90"/>
        <v>0.10981875163365258</v>
      </c>
      <c r="AB163" s="949">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50">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8">
        <f t="shared" si="105"/>
        <v>0</v>
      </c>
      <c r="AE163" s="938">
        <f t="shared" si="102"/>
        <v>0.14693142555515906</v>
      </c>
      <c r="AF163" s="938">
        <f t="shared" si="103"/>
        <v>0.12474552229022354</v>
      </c>
      <c r="AG163" s="938">
        <f t="shared" si="104"/>
        <v>0.2716769478453826</v>
      </c>
      <c r="AH163" s="1174">
        <f t="shared" si="100"/>
        <v>0.54083140553677378</v>
      </c>
      <c r="AI163" s="938">
        <f t="shared" si="101"/>
        <v>0.45916859446322622</v>
      </c>
    </row>
    <row r="164" spans="1:35" x14ac:dyDescent="0.2">
      <c r="A164" s="330">
        <v>2043</v>
      </c>
      <c r="B164" s="344">
        <v>0</v>
      </c>
      <c r="C164" s="345">
        <v>7.4301955054168409E-2</v>
      </c>
      <c r="D164" s="345">
        <v>0.20156403585904969</v>
      </c>
      <c r="E164" s="345">
        <v>0.24923900585823394</v>
      </c>
      <c r="F164" s="345">
        <v>0.25801749406913732</v>
      </c>
      <c r="G164" s="345">
        <v>0.26199594815734473</v>
      </c>
      <c r="H164" s="345">
        <v>0.26111361697047625</v>
      </c>
      <c r="I164" s="345">
        <v>0.2592429098223264</v>
      </c>
      <c r="J164" s="345">
        <v>0.25682202621719885</v>
      </c>
      <c r="K164" s="345">
        <v>0.25655257741945281</v>
      </c>
      <c r="L164" s="380">
        <v>0.25404477305908368</v>
      </c>
      <c r="M164" s="296">
        <f t="shared" si="94"/>
        <v>0.14680004223909521</v>
      </c>
      <c r="N164" s="298">
        <f t="shared" si="95"/>
        <v>0.11974866822245959</v>
      </c>
      <c r="O164" s="344">
        <v>0</v>
      </c>
      <c r="P164" s="345">
        <v>0.1095890588911381</v>
      </c>
      <c r="Q164" s="345">
        <v>0.25335199966079364</v>
      </c>
      <c r="R164" s="345">
        <v>0.32227297817108663</v>
      </c>
      <c r="S164" s="345">
        <v>0.34078305948585608</v>
      </c>
      <c r="T164" s="345">
        <v>0.3427045361801685</v>
      </c>
      <c r="U164" s="345">
        <v>0.34802665534072014</v>
      </c>
      <c r="V164" s="345">
        <v>0.34655849581003156</v>
      </c>
      <c r="W164" s="345">
        <v>0.34410243053260092</v>
      </c>
      <c r="X164" s="345">
        <v>0.34168316951632782</v>
      </c>
      <c r="Y164" s="380">
        <v>0.33960597737826376</v>
      </c>
      <c r="Z164" s="296">
        <f t="shared" si="89"/>
        <v>0.11796048916539159</v>
      </c>
      <c r="AA164" s="298">
        <f t="shared" si="90"/>
        <v>0.10232215589792537</v>
      </c>
      <c r="AB164" s="949">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50">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8">
        <f t="shared" si="105"/>
        <v>0</v>
      </c>
      <c r="AE164" s="938">
        <f t="shared" si="102"/>
        <v>0.14680004223909521</v>
      </c>
      <c r="AF164" s="938">
        <f t="shared" si="103"/>
        <v>0.11796048916539159</v>
      </c>
      <c r="AG164" s="938">
        <f t="shared" si="104"/>
        <v>0.2647605314044868</v>
      </c>
      <c r="AH164" s="1174">
        <f t="shared" si="100"/>
        <v>0.55446346727119256</v>
      </c>
      <c r="AI164" s="938">
        <f t="shared" si="101"/>
        <v>0.4455365327288075</v>
      </c>
    </row>
    <row r="165" spans="1:35" x14ac:dyDescent="0.2">
      <c r="A165" s="330">
        <v>2044</v>
      </c>
      <c r="B165" s="344">
        <v>0</v>
      </c>
      <c r="C165" s="345">
        <v>8.1569193499354473E-2</v>
      </c>
      <c r="D165" s="345">
        <v>0.19250690720911509</v>
      </c>
      <c r="E165" s="345">
        <v>0.24177474079485844</v>
      </c>
      <c r="F165" s="345">
        <v>0.25386200682144777</v>
      </c>
      <c r="G165" s="345">
        <v>0.25778749538047424</v>
      </c>
      <c r="H165" s="345">
        <v>0.25791000676680143</v>
      </c>
      <c r="I165" s="345">
        <v>0.25593542334170388</v>
      </c>
      <c r="J165" s="345">
        <v>0.25542675453892744</v>
      </c>
      <c r="K165" s="345">
        <v>0.25507897866934359</v>
      </c>
      <c r="L165" s="380">
        <v>0.25296068975135488</v>
      </c>
      <c r="M165" s="296">
        <f t="shared" si="94"/>
        <v>0.14446667460412307</v>
      </c>
      <c r="N165" s="298">
        <f t="shared" si="95"/>
        <v>0.11789925505667873</v>
      </c>
      <c r="O165" s="344">
        <v>0</v>
      </c>
      <c r="P165" s="345">
        <v>8.3515380864165475E-2</v>
      </c>
      <c r="Q165" s="345">
        <v>0.21118449147768192</v>
      </c>
      <c r="R165" s="345">
        <v>0.30842639054327325</v>
      </c>
      <c r="S165" s="345">
        <v>0.32772893089363753</v>
      </c>
      <c r="T165" s="345">
        <v>0.33500622007894526</v>
      </c>
      <c r="U165" s="345">
        <v>0.3442459494587734</v>
      </c>
      <c r="V165" s="345">
        <v>0.34123648610619789</v>
      </c>
      <c r="W165" s="345">
        <v>0.34120615491498624</v>
      </c>
      <c r="X165" s="345">
        <v>0.33913306090649609</v>
      </c>
      <c r="Y165" s="380">
        <v>0.33742648810954323</v>
      </c>
      <c r="Z165" s="296">
        <f t="shared" si="89"/>
        <v>0.11263447399038473</v>
      </c>
      <c r="AA165" s="298">
        <f t="shared" si="90"/>
        <v>9.5501493216321717E-2</v>
      </c>
      <c r="AB165" s="949">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50">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8">
        <f t="shared" si="105"/>
        <v>0</v>
      </c>
      <c r="AE165" s="938">
        <f t="shared" si="102"/>
        <v>0.14446667460412307</v>
      </c>
      <c r="AF165" s="938">
        <f t="shared" si="103"/>
        <v>0.11263447399038473</v>
      </c>
      <c r="AG165" s="938">
        <f t="shared" si="104"/>
        <v>0.25710114859450783</v>
      </c>
      <c r="AH165" s="1174">
        <f t="shared" si="100"/>
        <v>0.56190598678332448</v>
      </c>
      <c r="AI165" s="938">
        <f t="shared" si="101"/>
        <v>0.43809401321667535</v>
      </c>
    </row>
    <row r="166" spans="1:35" ht="13.5" thickBot="1" x14ac:dyDescent="0.25">
      <c r="A166" s="328">
        <v>2045</v>
      </c>
      <c r="B166" s="346">
        <v>0</v>
      </c>
      <c r="C166" s="347">
        <v>8.2977591256184924E-2</v>
      </c>
      <c r="D166" s="347">
        <v>0.17918910345528005</v>
      </c>
      <c r="E166" s="347">
        <v>0.24183031374028663</v>
      </c>
      <c r="F166" s="347">
        <v>0.25166257804417852</v>
      </c>
      <c r="G166" s="347">
        <v>0.2574235811548245</v>
      </c>
      <c r="H166" s="347">
        <v>0.25625725914710928</v>
      </c>
      <c r="I166" s="347">
        <v>0.25458407487714985</v>
      </c>
      <c r="J166" s="347">
        <v>0.25424726529043823</v>
      </c>
      <c r="K166" s="347">
        <v>0.25379785209774447</v>
      </c>
      <c r="L166" s="381">
        <v>0.25284008251755491</v>
      </c>
      <c r="M166" s="310">
        <f t="shared" si="94"/>
        <v>0.14312161896057182</v>
      </c>
      <c r="N166" s="312">
        <f t="shared" si="95"/>
        <v>0.11639021374142897</v>
      </c>
      <c r="O166" s="346">
        <v>0</v>
      </c>
      <c r="P166" s="347">
        <v>7.3561842355437945E-2</v>
      </c>
      <c r="Q166" s="347">
        <v>0.1855109411214019</v>
      </c>
      <c r="R166" s="347">
        <v>0.29488366867523735</v>
      </c>
      <c r="S166" s="347">
        <v>0.32268914270759069</v>
      </c>
      <c r="T166" s="347">
        <v>0.33061061458406776</v>
      </c>
      <c r="U166" s="347">
        <v>0.34006779768543099</v>
      </c>
      <c r="V166" s="347">
        <v>0.33737006945194897</v>
      </c>
      <c r="W166" s="347">
        <v>0.33799899101603176</v>
      </c>
      <c r="X166" s="347">
        <v>0.33630241795339</v>
      </c>
      <c r="Y166" s="381">
        <v>0.3350000866458801</v>
      </c>
      <c r="Z166" s="310">
        <f t="shared" si="89"/>
        <v>0.10935860263742329</v>
      </c>
      <c r="AA166" s="312">
        <f t="shared" si="90"/>
        <v>9.1550639107033427E-2</v>
      </c>
      <c r="AB166" s="949">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50">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8">
        <f t="shared" si="105"/>
        <v>0</v>
      </c>
      <c r="AE166" s="938">
        <f t="shared" si="102"/>
        <v>0.14312161896057182</v>
      </c>
      <c r="AF166" s="938">
        <f t="shared" si="103"/>
        <v>0.10935860263742329</v>
      </c>
      <c r="AG166" s="938">
        <f t="shared" si="104"/>
        <v>0.2524802215979951</v>
      </c>
      <c r="AH166" s="1174">
        <f t="shared" si="100"/>
        <v>0.56686269544096568</v>
      </c>
      <c r="AI166" s="938">
        <f t="shared" si="101"/>
        <v>0.43313730455903438</v>
      </c>
    </row>
    <row r="167" spans="1:35" x14ac:dyDescent="0.2">
      <c r="A167" s="329">
        <v>2046</v>
      </c>
      <c r="B167" s="342">
        <v>0</v>
      </c>
      <c r="C167" s="343">
        <v>7.7669631334630673E-2</v>
      </c>
      <c r="D167" s="343">
        <v>0.17271198655454995</v>
      </c>
      <c r="E167" s="343">
        <v>0.24230321836250152</v>
      </c>
      <c r="F167" s="343">
        <v>0.25110368719222492</v>
      </c>
      <c r="G167" s="343">
        <v>0.25252042002063912</v>
      </c>
      <c r="H167" s="343">
        <v>0.25473117697178821</v>
      </c>
      <c r="I167" s="343">
        <v>0.25338746432839104</v>
      </c>
      <c r="J167" s="343">
        <v>0.25323731354707724</v>
      </c>
      <c r="K167" s="343">
        <v>0.25368253768527244</v>
      </c>
      <c r="L167" s="379">
        <v>0.25198811402253402</v>
      </c>
      <c r="M167" s="282">
        <f t="shared" si="94"/>
        <v>0.14191191087057348</v>
      </c>
      <c r="N167" s="284">
        <f t="shared" si="95"/>
        <v>0.1149220149170939</v>
      </c>
      <c r="O167" s="342">
        <v>0</v>
      </c>
      <c r="P167" s="343">
        <v>8.4331873215627726E-2</v>
      </c>
      <c r="Q167" s="343">
        <v>0.17061950489357738</v>
      </c>
      <c r="R167" s="343">
        <v>0.28946767605624263</v>
      </c>
      <c r="S167" s="343">
        <v>0.31408172497889536</v>
      </c>
      <c r="T167" s="343">
        <v>0.32605105053797051</v>
      </c>
      <c r="U167" s="343">
        <v>0.33303893067390683</v>
      </c>
      <c r="V167" s="343">
        <v>0.33338292572153061</v>
      </c>
      <c r="W167" s="343">
        <v>0.33640101075120238</v>
      </c>
      <c r="X167" s="343">
        <v>0.33471905723361628</v>
      </c>
      <c r="Y167" s="379">
        <v>0.33342790325725014</v>
      </c>
      <c r="Z167" s="282">
        <f t="shared" si="89"/>
        <v>0.10719141060108221</v>
      </c>
      <c r="AA167" s="284">
        <f t="shared" si="90"/>
        <v>8.9867719589450112E-2</v>
      </c>
      <c r="AB167" s="949">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50">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8">
        <f t="shared" si="105"/>
        <v>0</v>
      </c>
      <c r="AE167" s="938">
        <f t="shared" si="102"/>
        <v>0.14191191087057348</v>
      </c>
      <c r="AF167" s="938">
        <f t="shared" si="103"/>
        <v>0.10719141060108221</v>
      </c>
      <c r="AG167" s="938">
        <f t="shared" si="104"/>
        <v>0.2491033214716557</v>
      </c>
      <c r="AH167" s="1174">
        <f t="shared" si="100"/>
        <v>0.56969096209630821</v>
      </c>
      <c r="AI167" s="938">
        <f t="shared" si="101"/>
        <v>0.43030903790369179</v>
      </c>
    </row>
    <row r="168" spans="1:35" x14ac:dyDescent="0.2">
      <c r="A168" s="330">
        <v>2047</v>
      </c>
      <c r="B168" s="344">
        <v>0</v>
      </c>
      <c r="C168" s="345">
        <v>7.4231434072426397E-2</v>
      </c>
      <c r="D168" s="345">
        <v>0.16921574201956432</v>
      </c>
      <c r="E168" s="345">
        <v>0.24216943445176475</v>
      </c>
      <c r="F168" s="345">
        <v>0.24916058740980571</v>
      </c>
      <c r="G168" s="345">
        <v>0.25210959243990788</v>
      </c>
      <c r="H168" s="345">
        <v>0.25334606030124157</v>
      </c>
      <c r="I168" s="345">
        <v>0.25352205823252044</v>
      </c>
      <c r="J168" s="345">
        <v>0.2533718616377309</v>
      </c>
      <c r="K168" s="345">
        <v>0.25282075425928729</v>
      </c>
      <c r="L168" s="380">
        <v>0.2520834516760258</v>
      </c>
      <c r="M168" s="296">
        <f t="shared" si="94"/>
        <v>0.14117593455436381</v>
      </c>
      <c r="N168" s="298">
        <f t="shared" si="95"/>
        <v>0.11397711318666019</v>
      </c>
      <c r="O168" s="344">
        <v>0</v>
      </c>
      <c r="P168" s="345">
        <v>8.5162438641968707E-2</v>
      </c>
      <c r="Q168" s="345">
        <v>0.16153653699559056</v>
      </c>
      <c r="R168" s="345">
        <v>0.28367428059406047</v>
      </c>
      <c r="S168" s="345">
        <v>0.31185249138503679</v>
      </c>
      <c r="T168" s="345">
        <v>0.32383996358308526</v>
      </c>
      <c r="U168" s="345">
        <v>0.32816056994790449</v>
      </c>
      <c r="V168" s="345">
        <v>0.33119422469339671</v>
      </c>
      <c r="W168" s="345">
        <v>0.33255940875780071</v>
      </c>
      <c r="X168" s="345">
        <v>0.33255940875780071</v>
      </c>
      <c r="Y168" s="380">
        <v>0.33128381715339161</v>
      </c>
      <c r="Z168" s="296">
        <f t="shared" si="89"/>
        <v>0.1057649493835915</v>
      </c>
      <c r="AA168" s="298">
        <f t="shared" si="90"/>
        <v>8.8498070529203943E-2</v>
      </c>
      <c r="AB168" s="949">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50">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8">
        <f t="shared" si="105"/>
        <v>0</v>
      </c>
      <c r="AE168" s="938">
        <f t="shared" si="102"/>
        <v>0.14117593455436381</v>
      </c>
      <c r="AF168" s="938">
        <f t="shared" si="103"/>
        <v>0.1057649493835915</v>
      </c>
      <c r="AG168" s="938">
        <f t="shared" si="104"/>
        <v>0.24694088393795532</v>
      </c>
      <c r="AH168" s="1174">
        <f t="shared" si="100"/>
        <v>0.57169931646407612</v>
      </c>
      <c r="AI168" s="938">
        <f t="shared" si="101"/>
        <v>0.42830068353592382</v>
      </c>
    </row>
    <row r="169" spans="1:35" x14ac:dyDescent="0.2">
      <c r="A169" s="330">
        <v>2048</v>
      </c>
      <c r="B169" s="344">
        <v>0</v>
      </c>
      <c r="C169" s="345">
        <v>7.6731508053324099E-2</v>
      </c>
      <c r="D169" s="345">
        <v>0.17101012787929165</v>
      </c>
      <c r="E169" s="345">
        <v>0.2413877288685316</v>
      </c>
      <c r="F169" s="345">
        <v>0.24790532715051547</v>
      </c>
      <c r="G169" s="345">
        <v>0.25054646289515936</v>
      </c>
      <c r="H169" s="345">
        <v>0.25346603203641516</v>
      </c>
      <c r="I169" s="345">
        <v>0.25364225663267886</v>
      </c>
      <c r="J169" s="345">
        <v>0.25349198206523932</v>
      </c>
      <c r="K169" s="345">
        <v>0.25294042473288814</v>
      </c>
      <c r="L169" s="380">
        <v>0.2522024946904125</v>
      </c>
      <c r="M169" s="296">
        <f t="shared" si="94"/>
        <v>0.14106841812724319</v>
      </c>
      <c r="N169" s="298">
        <f t="shared" si="95"/>
        <v>0.114096022768624</v>
      </c>
      <c r="O169" s="344">
        <v>0</v>
      </c>
      <c r="P169" s="345">
        <v>8.4778203530503846E-2</v>
      </c>
      <c r="Q169" s="345">
        <v>0.15884750868383404</v>
      </c>
      <c r="R169" s="345">
        <v>0.27897265418533745</v>
      </c>
      <c r="S169" s="345">
        <v>0.30740988640194572</v>
      </c>
      <c r="T169" s="345">
        <v>0.3198631660177963</v>
      </c>
      <c r="U169" s="345">
        <v>0.32446554856192383</v>
      </c>
      <c r="V169" s="345">
        <v>0.32781443986611014</v>
      </c>
      <c r="W169" s="345">
        <v>0.33118485038888024</v>
      </c>
      <c r="X169" s="345">
        <v>0.32991876321935126</v>
      </c>
      <c r="Y169" s="380">
        <v>0.32907582234953658</v>
      </c>
      <c r="Z169" s="296">
        <f t="shared" si="89"/>
        <v>0.10442281686294816</v>
      </c>
      <c r="AA169" s="298">
        <f t="shared" si="90"/>
        <v>8.7325518582970496E-2</v>
      </c>
      <c r="AB169" s="949">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50">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8">
        <f t="shared" si="105"/>
        <v>0</v>
      </c>
      <c r="AE169" s="938">
        <f t="shared" si="102"/>
        <v>0.14106841812724319</v>
      </c>
      <c r="AF169" s="938">
        <f t="shared" si="103"/>
        <v>0.10442281686294816</v>
      </c>
      <c r="AG169" s="938">
        <f t="shared" si="104"/>
        <v>0.24549123499019135</v>
      </c>
      <c r="AH169" s="1174">
        <f t="shared" si="100"/>
        <v>0.57463729054473012</v>
      </c>
      <c r="AI169" s="938">
        <f t="shared" si="101"/>
        <v>0.42536270945526994</v>
      </c>
    </row>
    <row r="170" spans="1:35" x14ac:dyDescent="0.2">
      <c r="A170" s="330">
        <v>2049</v>
      </c>
      <c r="B170" s="344">
        <v>0</v>
      </c>
      <c r="C170" s="345">
        <v>7.688275831731986E-2</v>
      </c>
      <c r="D170" s="345">
        <v>0.16965120475620929</v>
      </c>
      <c r="E170" s="345">
        <v>0.23930136870984184</v>
      </c>
      <c r="F170" s="345">
        <v>0.2480063637217122</v>
      </c>
      <c r="G170" s="345">
        <v>0.25064968036575852</v>
      </c>
      <c r="H170" s="345">
        <v>0.25357165751863192</v>
      </c>
      <c r="I170" s="345">
        <v>0.25258487473041102</v>
      </c>
      <c r="J170" s="345">
        <v>0.25263762662819039</v>
      </c>
      <c r="K170" s="345">
        <v>0.25304565822001912</v>
      </c>
      <c r="L170" s="380">
        <v>0.25230713118987436</v>
      </c>
      <c r="M170" s="296">
        <f t="shared" si="94"/>
        <v>0.14075375701809276</v>
      </c>
      <c r="N170" s="298">
        <f t="shared" si="95"/>
        <v>0.11376685003110461</v>
      </c>
      <c r="O170" s="344">
        <v>0</v>
      </c>
      <c r="P170" s="345">
        <v>8.1466522435650779E-2</v>
      </c>
      <c r="Q170" s="345">
        <v>0.16093773779303641</v>
      </c>
      <c r="R170" s="345">
        <v>0.27577481454612518</v>
      </c>
      <c r="S170" s="345">
        <v>0.30415001738411895</v>
      </c>
      <c r="T170" s="345">
        <v>0.31661720729004011</v>
      </c>
      <c r="U170" s="345">
        <v>0.32122878652795261</v>
      </c>
      <c r="V170" s="345">
        <v>0.32458861840455072</v>
      </c>
      <c r="W170" s="345">
        <v>0.32796500929151667</v>
      </c>
      <c r="X170" s="345">
        <v>0.32672240187000468</v>
      </c>
      <c r="Y170" s="380">
        <v>0.32589504632571731</v>
      </c>
      <c r="Z170" s="296">
        <f t="shared" si="89"/>
        <v>0.1034238350847306</v>
      </c>
      <c r="AA170" s="298">
        <f t="shared" si="90"/>
        <v>8.6473975618712784E-2</v>
      </c>
      <c r="AB170" s="949">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50">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8">
        <f t="shared" si="105"/>
        <v>0</v>
      </c>
      <c r="AE170" s="938">
        <f t="shared" si="102"/>
        <v>0.14075375701809276</v>
      </c>
      <c r="AF170" s="938">
        <f t="shared" si="103"/>
        <v>0.1034238350847306</v>
      </c>
      <c r="AG170" s="938">
        <f t="shared" si="104"/>
        <v>0.24417759210282336</v>
      </c>
      <c r="AH170" s="1174">
        <f t="shared" si="100"/>
        <v>0.57644010576867855</v>
      </c>
      <c r="AI170" s="938">
        <f t="shared" si="101"/>
        <v>0.4235598942313214</v>
      </c>
    </row>
    <row r="171" spans="1:35" ht="13.5" thickBot="1" x14ac:dyDescent="0.25">
      <c r="A171" s="328">
        <v>2050</v>
      </c>
      <c r="B171" s="346">
        <v>0</v>
      </c>
      <c r="C171" s="347">
        <v>7.5363652860364894E-2</v>
      </c>
      <c r="D171" s="347">
        <v>0.16949563193310113</v>
      </c>
      <c r="E171" s="347">
        <v>0.23993538176468177</v>
      </c>
      <c r="F171" s="347">
        <v>0.2480936792063371</v>
      </c>
      <c r="G171" s="347">
        <v>0.25073883047595935</v>
      </c>
      <c r="H171" s="347">
        <v>0.25231125932604259</v>
      </c>
      <c r="I171" s="347">
        <v>0.25267534424237664</v>
      </c>
      <c r="J171" s="347">
        <v>0.25272811001011986</v>
      </c>
      <c r="K171" s="347">
        <v>0.25313644411543668</v>
      </c>
      <c r="L171" s="381">
        <v>0.25190453028610138</v>
      </c>
      <c r="M171" s="310">
        <f t="shared" si="94"/>
        <v>0.1406473297414004</v>
      </c>
      <c r="N171" s="312">
        <f t="shared" si="95"/>
        <v>0.11362280436236104</v>
      </c>
      <c r="O171" s="346">
        <v>0</v>
      </c>
      <c r="P171" s="347">
        <v>8.0545224700451418E-2</v>
      </c>
      <c r="Q171" s="347">
        <v>0.15984333183285146</v>
      </c>
      <c r="R171" s="347">
        <v>0.27385046826739784</v>
      </c>
      <c r="S171" s="347">
        <v>0.30218383154725265</v>
      </c>
      <c r="T171" s="347">
        <v>0.31465642223927087</v>
      </c>
      <c r="U171" s="347">
        <v>0.31927235269452942</v>
      </c>
      <c r="V171" s="347">
        <v>0.32263779965656214</v>
      </c>
      <c r="W171" s="347">
        <v>0.32601696053664997</v>
      </c>
      <c r="X171" s="347">
        <v>0.32478808867653841</v>
      </c>
      <c r="Y171" s="381">
        <v>0.32396985190446403</v>
      </c>
      <c r="Z171" s="310">
        <f t="shared" si="89"/>
        <v>0.102751940671306</v>
      </c>
      <c r="AA171" s="312">
        <f t="shared" si="90"/>
        <v>8.5885687094796215E-2</v>
      </c>
      <c r="AB171" s="951">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2">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9">
        <f t="shared" si="105"/>
        <v>0</v>
      </c>
      <c r="AE171" s="938">
        <f t="shared" si="102"/>
        <v>0.1406473297414004</v>
      </c>
      <c r="AF171" s="938">
        <f t="shared" si="103"/>
        <v>0.102751940671306</v>
      </c>
      <c r="AG171" s="938">
        <f t="shared" si="104"/>
        <v>0.2433992704127064</v>
      </c>
      <c r="AH171" s="1174">
        <f t="shared" si="100"/>
        <v>0.57784614351111074</v>
      </c>
      <c r="AI171" s="938">
        <f t="shared" si="101"/>
        <v>0.4221538564888892</v>
      </c>
    </row>
    <row r="172" spans="1:35" x14ac:dyDescent="0.2">
      <c r="B172" s="227" t="str">
        <f>B$120</f>
        <v>Output generated: 4/26/2020 19:05</v>
      </c>
      <c r="O172" s="227" t="str">
        <f>O$120</f>
        <v>Output generated: 4/26/2020 19:05</v>
      </c>
      <c r="AE172" s="938">
        <f t="shared" si="102"/>
        <v>0</v>
      </c>
      <c r="AF172" s="938">
        <f t="shared" si="103"/>
        <v>0</v>
      </c>
      <c r="AG172" s="938">
        <f t="shared" si="104"/>
        <v>0</v>
      </c>
      <c r="AH172" s="1174">
        <f t="shared" si="100"/>
        <v>0</v>
      </c>
      <c r="AI172" s="938">
        <f t="shared" si="101"/>
        <v>0</v>
      </c>
    </row>
    <row r="173" spans="1:35" ht="13.5" thickBot="1" x14ac:dyDescent="0.25">
      <c r="AE173" s="938"/>
      <c r="AF173" s="938"/>
      <c r="AG173" s="938"/>
      <c r="AH173" s="938"/>
      <c r="AI173" s="938"/>
    </row>
    <row r="174" spans="1:35" ht="15" x14ac:dyDescent="0.25">
      <c r="A174" s="333"/>
      <c r="B174" s="1559" t="s">
        <v>256</v>
      </c>
      <c r="C174" s="1560"/>
      <c r="D174" s="1560"/>
      <c r="E174" s="1560"/>
      <c r="F174" s="1560"/>
      <c r="G174" s="1560"/>
      <c r="H174" s="1560"/>
      <c r="I174" s="1560"/>
      <c r="J174" s="1560"/>
      <c r="K174" s="1560"/>
      <c r="L174" s="1560"/>
      <c r="M174" s="1560"/>
      <c r="N174" s="1561"/>
      <c r="O174" s="1559" t="s">
        <v>257</v>
      </c>
      <c r="P174" s="1560"/>
      <c r="Q174" s="1560"/>
      <c r="R174" s="1560"/>
      <c r="S174" s="1560"/>
      <c r="T174" s="1560"/>
      <c r="U174" s="1560"/>
      <c r="V174" s="1560"/>
      <c r="W174" s="1560"/>
      <c r="X174" s="1560"/>
      <c r="Y174" s="1560"/>
      <c r="Z174" s="1560"/>
      <c r="AA174" s="1561"/>
      <c r="AE174" s="938"/>
      <c r="AF174" s="938"/>
      <c r="AG174" s="938"/>
      <c r="AH174" s="938"/>
      <c r="AI174" s="938"/>
    </row>
    <row r="175" spans="1:35" x14ac:dyDescent="0.2">
      <c r="A175" s="324"/>
      <c r="B175" s="1556" t="s">
        <v>121</v>
      </c>
      <c r="C175" s="1557"/>
      <c r="D175" s="1557"/>
      <c r="E175" s="1557"/>
      <c r="F175" s="1557"/>
      <c r="G175" s="1557"/>
      <c r="H175" s="1557"/>
      <c r="I175" s="1557"/>
      <c r="J175" s="1557"/>
      <c r="K175" s="1557"/>
      <c r="L175" s="1557"/>
      <c r="M175" s="382"/>
      <c r="N175" s="325"/>
      <c r="O175" s="1556" t="s">
        <v>121</v>
      </c>
      <c r="P175" s="1557"/>
      <c r="Q175" s="1557"/>
      <c r="R175" s="1557"/>
      <c r="S175" s="1557"/>
      <c r="T175" s="1557"/>
      <c r="U175" s="1557"/>
      <c r="V175" s="1557"/>
      <c r="W175" s="1557"/>
      <c r="X175" s="1557"/>
      <c r="Y175" s="1557"/>
      <c r="Z175" s="382"/>
      <c r="AA175" s="325"/>
      <c r="AC175" s="955" t="s">
        <v>268</v>
      </c>
      <c r="AD175" s="234" t="b">
        <f>INDEX(TECH_OPT_FUEL2_Cls2,MATCH(RIGHT(O174),TECH_OPT_ROWS_Cls2,0))&lt;&gt;"N/A"</f>
        <v>1</v>
      </c>
      <c r="AE175" s="938"/>
      <c r="AF175" s="938"/>
      <c r="AG175" s="938"/>
      <c r="AH175" s="938"/>
      <c r="AI175" s="938"/>
    </row>
    <row r="176" spans="1:35"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7"/>
      <c r="AC176" s="955" t="s">
        <v>269</v>
      </c>
      <c r="AD176" s="234">
        <f>MATCH(RIGHT(O174),TECH_OPT_ROWS_Cls2,0)</f>
        <v>4</v>
      </c>
      <c r="AE176" s="938"/>
      <c r="AF176" s="938"/>
      <c r="AG176" s="938"/>
      <c r="AH176" s="938"/>
      <c r="AI176" s="938"/>
    </row>
    <row r="177" spans="1:39" ht="14.25"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11">
        <v>5.2963907111801883E-3</v>
      </c>
      <c r="Z177" s="1216"/>
      <c r="AA177" s="1217"/>
    </row>
    <row r="178" spans="1:39" x14ac:dyDescent="0.2">
      <c r="A178" s="331" t="s">
        <v>125</v>
      </c>
      <c r="B178" s="924">
        <f t="array" ref="B178:L178">TRANSPOSE(Cls2CentVMTShr)</f>
        <v>6.3375455551975849E-3</v>
      </c>
      <c r="C178" s="925">
        <v>3.496913005496359E-2</v>
      </c>
      <c r="D178" s="925">
        <v>5.9955127131675522E-2</v>
      </c>
      <c r="E178" s="925">
        <v>8.4599669387910512E-2</v>
      </c>
      <c r="F178" s="925">
        <v>0.12702701008436962</v>
      </c>
      <c r="G178" s="925">
        <v>6.7204731283582092E-2</v>
      </c>
      <c r="H178" s="925">
        <v>8.8708982453757024E-2</v>
      </c>
      <c r="I178" s="925">
        <v>6.4694225377098208E-2</v>
      </c>
      <c r="J178" s="925">
        <v>3.2526447027526634E-2</v>
      </c>
      <c r="K178" s="925">
        <v>1.589064319454132E-2</v>
      </c>
      <c r="L178" s="1212">
        <v>3.2608183213810787E-2</v>
      </c>
      <c r="M178" s="1213"/>
      <c r="N178" s="1214"/>
      <c r="O178" s="924">
        <f t="array" ref="O178:Y178">TRANSPOSE(Cls2NCentVMTShr)</f>
        <v>8.1228463417563086E-3</v>
      </c>
      <c r="P178" s="925">
        <v>2.7563836768431361E-2</v>
      </c>
      <c r="Q178" s="925">
        <v>4.1883113088337191E-2</v>
      </c>
      <c r="R178" s="925">
        <v>6.4289357588678764E-2</v>
      </c>
      <c r="S178" s="925">
        <v>9.1183275251204537E-2</v>
      </c>
      <c r="T178" s="925">
        <v>5.1984283219922628E-2</v>
      </c>
      <c r="U178" s="925">
        <v>5.0286059545109812E-2</v>
      </c>
      <c r="V178" s="925">
        <v>1.5542287574292338E-2</v>
      </c>
      <c r="W178" s="925">
        <v>1.4506257462625264E-2</v>
      </c>
      <c r="X178" s="925">
        <v>4.9330966304706684E-3</v>
      </c>
      <c r="Y178" s="926">
        <v>1.5183891764738403E-2</v>
      </c>
      <c r="Z178" s="1213"/>
      <c r="AA178" s="1214"/>
      <c r="AB178" s="1572" t="str">
        <f>"% of miles on f2 for Tech "&amp; RIGHT(O173)&amp;" adopters"</f>
        <v>% of miles on f2 for Tech  adopters</v>
      </c>
      <c r="AC178" s="1573"/>
      <c r="AD178" s="1574"/>
      <c r="AE178" s="938" t="s">
        <v>304</v>
      </c>
      <c r="AF178" s="938"/>
      <c r="AG178" s="938"/>
      <c r="AH178" s="1174" t="s">
        <v>305</v>
      </c>
      <c r="AI178" s="938"/>
    </row>
    <row r="179" spans="1:39" ht="13.5" thickBot="1" x14ac:dyDescent="0.25">
      <c r="A179" s="943" t="s">
        <v>267</v>
      </c>
      <c r="B179" s="934">
        <f t="array" ref="B179:L179">TRANSPOSE(Cls2CentVMT/OPDAYS_Cls2)</f>
        <v>49.332453271995263</v>
      </c>
      <c r="C179" s="935">
        <v>120.11441047790339</v>
      </c>
      <c r="D179" s="935">
        <v>200.99157969807086</v>
      </c>
      <c r="E179" s="935">
        <v>280.98421424125928</v>
      </c>
      <c r="F179" s="935">
        <v>358.20644524895255</v>
      </c>
      <c r="G179" s="935">
        <v>432.82805471770689</v>
      </c>
      <c r="H179" s="935">
        <v>517.10615118099815</v>
      </c>
      <c r="I179" s="935">
        <v>597.8087063838957</v>
      </c>
      <c r="J179" s="935">
        <v>676.93419409560215</v>
      </c>
      <c r="K179" s="935">
        <v>746.82245226325631</v>
      </c>
      <c r="L179" s="936">
        <v>895.92826380844349</v>
      </c>
      <c r="M179" s="932"/>
      <c r="N179" s="933"/>
      <c r="O179" s="934">
        <f t="array" ref="O179:Y179">TRANSPOSE(Cls2NCentVMT/OPDAYS_Cls2)</f>
        <v>54.31462614952413</v>
      </c>
      <c r="P179" s="935">
        <v>126.62311644744663</v>
      </c>
      <c r="Q179" s="935">
        <v>206.96826351576016</v>
      </c>
      <c r="R179" s="935">
        <v>286.46600131499179</v>
      </c>
      <c r="S179" s="935">
        <v>358.9638908170715</v>
      </c>
      <c r="T179" s="935">
        <v>450.55545819643328</v>
      </c>
      <c r="U179" s="935">
        <v>511.93098482414172</v>
      </c>
      <c r="V179" s="935">
        <v>579.22933632093111</v>
      </c>
      <c r="W179" s="935">
        <v>695.25665569614875</v>
      </c>
      <c r="X179" s="935">
        <v>759.80682330760794</v>
      </c>
      <c r="Y179" s="1215">
        <v>882.81167173661356</v>
      </c>
      <c r="Z179" s="944"/>
      <c r="AA179" s="933"/>
      <c r="AB179" s="946" t="s">
        <v>187</v>
      </c>
      <c r="AC179" s="947" t="s">
        <v>15</v>
      </c>
      <c r="AD179" s="948" t="s">
        <v>18</v>
      </c>
      <c r="AE179" s="938" t="s">
        <v>187</v>
      </c>
      <c r="AF179" s="938" t="s">
        <v>15</v>
      </c>
      <c r="AG179" s="938" t="s">
        <v>18</v>
      </c>
      <c r="AH179" s="1174" t="s">
        <v>187</v>
      </c>
      <c r="AI179" s="938" t="s">
        <v>15</v>
      </c>
      <c r="AJ179" s="323"/>
      <c r="AK179" s="323"/>
      <c r="AL179" s="323"/>
      <c r="AM179" s="323"/>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9">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50">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8">
        <f>AB180*AH180+AC180*AI180</f>
        <v>0</v>
      </c>
      <c r="AE180" s="938">
        <f t="shared" ref="AE180:AE194" si="106">SUMPRODUCT($B$74:$L$74,B180:L180)</f>
        <v>0</v>
      </c>
      <c r="AF180" s="938">
        <f t="shared" ref="AF180:AF194" si="107">SUMPRODUCT($O$74:$Y$74,O180:Y180)</f>
        <v>0</v>
      </c>
      <c r="AG180" s="938">
        <f t="shared" ref="AG180:AG194" si="108">SUM(AE180:AF180)</f>
        <v>0</v>
      </c>
      <c r="AH180" s="1174">
        <f>IF(AG180&gt;0,AE180/AG180,0)</f>
        <v>0</v>
      </c>
      <c r="AI180" s="938">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9">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50">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8">
        <f t="shared" ref="AD181:AD205" si="113">AB181*AH181+AC181*AI181</f>
        <v>0</v>
      </c>
      <c r="AE181" s="938">
        <f t="shared" si="106"/>
        <v>0</v>
      </c>
      <c r="AF181" s="938">
        <f t="shared" si="107"/>
        <v>0</v>
      </c>
      <c r="AG181" s="938">
        <f t="shared" si="108"/>
        <v>0</v>
      </c>
      <c r="AH181" s="1174">
        <f t="shared" ref="AH181:AH199" si="114">IF(AG181&gt;0,AE181/AG181,0)</f>
        <v>0</v>
      </c>
      <c r="AI181" s="938">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9">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50">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8">
        <f t="shared" si="113"/>
        <v>0</v>
      </c>
      <c r="AE182" s="938">
        <f t="shared" si="106"/>
        <v>0</v>
      </c>
      <c r="AF182" s="938">
        <f t="shared" si="107"/>
        <v>0</v>
      </c>
      <c r="AG182" s="938">
        <f t="shared" si="108"/>
        <v>0</v>
      </c>
      <c r="AH182" s="1174">
        <f t="shared" si="114"/>
        <v>0</v>
      </c>
      <c r="AI182" s="938">
        <f t="shared" si="115"/>
        <v>0</v>
      </c>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9">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50">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8">
        <f t="shared" si="113"/>
        <v>0</v>
      </c>
      <c r="AE183" s="938">
        <f t="shared" si="106"/>
        <v>0</v>
      </c>
      <c r="AF183" s="938">
        <f t="shared" si="107"/>
        <v>0</v>
      </c>
      <c r="AG183" s="938">
        <f t="shared" si="108"/>
        <v>0</v>
      </c>
      <c r="AH183" s="1174">
        <f t="shared" si="114"/>
        <v>0</v>
      </c>
      <c r="AI183" s="938">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9">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50">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8">
        <f t="shared" si="113"/>
        <v>0</v>
      </c>
      <c r="AE184" s="938">
        <f t="shared" si="106"/>
        <v>0</v>
      </c>
      <c r="AF184" s="938">
        <f t="shared" si="107"/>
        <v>0</v>
      </c>
      <c r="AG184" s="938">
        <f t="shared" si="108"/>
        <v>0</v>
      </c>
      <c r="AH184" s="1174">
        <f t="shared" si="114"/>
        <v>0</v>
      </c>
      <c r="AI184" s="938">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9">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50">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8">
        <f t="shared" si="113"/>
        <v>0</v>
      </c>
      <c r="AE185" s="938">
        <f t="shared" si="106"/>
        <v>0</v>
      </c>
      <c r="AF185" s="938">
        <f t="shared" si="107"/>
        <v>0</v>
      </c>
      <c r="AG185" s="938">
        <f t="shared" si="108"/>
        <v>0</v>
      </c>
      <c r="AH185" s="1174">
        <f t="shared" si="114"/>
        <v>0</v>
      </c>
      <c r="AI185" s="938">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9">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50">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8">
        <f t="shared" si="113"/>
        <v>0</v>
      </c>
      <c r="AE186" s="938">
        <f t="shared" si="106"/>
        <v>0</v>
      </c>
      <c r="AF186" s="938">
        <f t="shared" si="107"/>
        <v>0</v>
      </c>
      <c r="AG186" s="938">
        <f t="shared" si="108"/>
        <v>0</v>
      </c>
      <c r="AH186" s="1174">
        <f t="shared" si="114"/>
        <v>0</v>
      </c>
      <c r="AI186" s="938">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9">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50">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8">
        <f t="shared" si="113"/>
        <v>0</v>
      </c>
      <c r="AE187" s="938">
        <f t="shared" si="106"/>
        <v>0</v>
      </c>
      <c r="AF187" s="938">
        <f t="shared" si="107"/>
        <v>0</v>
      </c>
      <c r="AG187" s="938">
        <f t="shared" si="108"/>
        <v>0</v>
      </c>
      <c r="AH187" s="1174">
        <f t="shared" si="114"/>
        <v>0</v>
      </c>
      <c r="AI187" s="938">
        <f t="shared" si="115"/>
        <v>0</v>
      </c>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9">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50">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8">
        <f t="shared" si="113"/>
        <v>0</v>
      </c>
      <c r="AE188" s="938">
        <f t="shared" si="106"/>
        <v>0</v>
      </c>
      <c r="AF188" s="938">
        <f t="shared" si="107"/>
        <v>0</v>
      </c>
      <c r="AG188" s="938">
        <f t="shared" si="108"/>
        <v>0</v>
      </c>
      <c r="AH188" s="1174">
        <f t="shared" si="114"/>
        <v>0</v>
      </c>
      <c r="AI188" s="938">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9">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50">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8">
        <f t="shared" si="113"/>
        <v>0</v>
      </c>
      <c r="AE189" s="938">
        <f t="shared" si="106"/>
        <v>0</v>
      </c>
      <c r="AF189" s="938">
        <f t="shared" si="107"/>
        <v>0</v>
      </c>
      <c r="AG189" s="938">
        <f t="shared" si="108"/>
        <v>0</v>
      </c>
      <c r="AH189" s="1174">
        <f t="shared" si="114"/>
        <v>0</v>
      </c>
      <c r="AI189" s="938">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9">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50">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8">
        <f t="shared" si="113"/>
        <v>0</v>
      </c>
      <c r="AE190" s="938">
        <f t="shared" si="106"/>
        <v>0</v>
      </c>
      <c r="AF190" s="938">
        <f t="shared" si="107"/>
        <v>0</v>
      </c>
      <c r="AG190" s="938">
        <f t="shared" si="108"/>
        <v>0</v>
      </c>
      <c r="AH190" s="1174">
        <f t="shared" si="114"/>
        <v>0</v>
      </c>
      <c r="AI190" s="938">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9">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50">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8">
        <f t="shared" si="113"/>
        <v>0</v>
      </c>
      <c r="AE191" s="938">
        <f t="shared" si="106"/>
        <v>0</v>
      </c>
      <c r="AF191" s="938">
        <f t="shared" si="107"/>
        <v>0</v>
      </c>
      <c r="AG191" s="938">
        <f t="shared" si="108"/>
        <v>0</v>
      </c>
      <c r="AH191" s="1174">
        <f t="shared" si="114"/>
        <v>0</v>
      </c>
      <c r="AI191" s="938">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9">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50">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8">
        <f t="shared" si="113"/>
        <v>0</v>
      </c>
      <c r="AE192" s="938">
        <f t="shared" si="106"/>
        <v>0</v>
      </c>
      <c r="AF192" s="938">
        <f t="shared" si="107"/>
        <v>0</v>
      </c>
      <c r="AG192" s="938">
        <f t="shared" si="108"/>
        <v>0</v>
      </c>
      <c r="AH192" s="1174">
        <f t="shared" si="114"/>
        <v>0</v>
      </c>
      <c r="AI192" s="938">
        <f t="shared" si="115"/>
        <v>0</v>
      </c>
    </row>
    <row r="193" spans="1:35"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9">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50">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8">
        <f t="shared" si="113"/>
        <v>0</v>
      </c>
      <c r="AE193" s="938">
        <f t="shared" si="106"/>
        <v>0</v>
      </c>
      <c r="AF193" s="938">
        <f t="shared" si="107"/>
        <v>0</v>
      </c>
      <c r="AG193" s="938">
        <f t="shared" si="108"/>
        <v>0</v>
      </c>
      <c r="AH193" s="1174">
        <f t="shared" si="114"/>
        <v>0</v>
      </c>
      <c r="AI193" s="938">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9">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50">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8">
        <f t="shared" si="113"/>
        <v>0</v>
      </c>
      <c r="AE194" s="938">
        <f t="shared" si="106"/>
        <v>0</v>
      </c>
      <c r="AF194" s="938">
        <f t="shared" si="107"/>
        <v>0</v>
      </c>
      <c r="AG194" s="938">
        <f t="shared" si="108"/>
        <v>0</v>
      </c>
      <c r="AH194" s="1174">
        <f t="shared" si="114"/>
        <v>0</v>
      </c>
      <c r="AI194" s="938">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9">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50">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8">
        <f t="shared" si="113"/>
        <v>0</v>
      </c>
      <c r="AE195" s="938">
        <f>SUMPRODUCT($B$74:$L$74,B195:L195)</f>
        <v>0</v>
      </c>
      <c r="AF195" s="938">
        <f>SUMPRODUCT($O$74:$Y$74,O195:Y195)</f>
        <v>0</v>
      </c>
      <c r="AG195" s="938">
        <f>SUM(AE195:AF195)</f>
        <v>0</v>
      </c>
      <c r="AH195" s="1174">
        <f t="shared" si="114"/>
        <v>0</v>
      </c>
      <c r="AI195" s="938">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9">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50">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8">
        <f t="shared" si="113"/>
        <v>0</v>
      </c>
      <c r="AE196" s="938">
        <f t="shared" ref="AE196:AE222" si="116">SUMPRODUCT($B$74:$L$74,B196:L196)</f>
        <v>0</v>
      </c>
      <c r="AF196" s="938">
        <f t="shared" ref="AF196:AF222" si="117">SUMPRODUCT($O$74:$Y$74,O196:Y196)</f>
        <v>0</v>
      </c>
      <c r="AG196" s="938">
        <f t="shared" ref="AG196:AG222" si="118">SUM(AE196:AF196)</f>
        <v>0</v>
      </c>
      <c r="AH196" s="1174">
        <f t="shared" si="114"/>
        <v>0</v>
      </c>
      <c r="AI196" s="938">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9">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50">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8">
        <f t="shared" si="113"/>
        <v>0</v>
      </c>
      <c r="AE197" s="938">
        <f t="shared" si="116"/>
        <v>0</v>
      </c>
      <c r="AF197" s="938">
        <f t="shared" si="117"/>
        <v>0</v>
      </c>
      <c r="AG197" s="938">
        <f t="shared" si="118"/>
        <v>0</v>
      </c>
      <c r="AH197" s="1174">
        <f t="shared" si="114"/>
        <v>0</v>
      </c>
      <c r="AI197" s="938">
        <f t="shared" si="115"/>
        <v>0</v>
      </c>
    </row>
    <row r="198" spans="1:35"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9">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50">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8">
        <f t="shared" si="113"/>
        <v>0</v>
      </c>
      <c r="AE198" s="938">
        <f t="shared" si="116"/>
        <v>0</v>
      </c>
      <c r="AF198" s="938">
        <f t="shared" si="117"/>
        <v>0</v>
      </c>
      <c r="AG198" s="938">
        <f t="shared" si="118"/>
        <v>0</v>
      </c>
      <c r="AH198" s="1174">
        <f t="shared" si="114"/>
        <v>0</v>
      </c>
      <c r="AI198" s="938">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9">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50">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8">
        <f t="shared" si="113"/>
        <v>0</v>
      </c>
      <c r="AE199" s="938">
        <f t="shared" si="116"/>
        <v>0</v>
      </c>
      <c r="AF199" s="938">
        <f t="shared" si="117"/>
        <v>0</v>
      </c>
      <c r="AG199" s="938">
        <f t="shared" si="118"/>
        <v>0</v>
      </c>
      <c r="AH199" s="1174">
        <f t="shared" si="114"/>
        <v>0</v>
      </c>
      <c r="AI199" s="938">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9">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50">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8">
        <f t="shared" si="113"/>
        <v>0</v>
      </c>
      <c r="AE200" s="938">
        <f t="shared" si="116"/>
        <v>0</v>
      </c>
      <c r="AF200" s="938">
        <f t="shared" si="117"/>
        <v>0</v>
      </c>
      <c r="AG200" s="938">
        <f t="shared" si="118"/>
        <v>0</v>
      </c>
      <c r="AH200" s="1174">
        <f t="shared" ref="AH200:AH222" si="119">IF(AG200&gt;0,AE200/AG200,0)</f>
        <v>0</v>
      </c>
      <c r="AI200" s="938">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9">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50">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8">
        <f t="shared" si="113"/>
        <v>0</v>
      </c>
      <c r="AE201" s="938">
        <f t="shared" si="116"/>
        <v>0</v>
      </c>
      <c r="AF201" s="938">
        <f t="shared" si="117"/>
        <v>0</v>
      </c>
      <c r="AG201" s="938">
        <f t="shared" si="118"/>
        <v>0</v>
      </c>
      <c r="AH201" s="1174">
        <f t="shared" si="119"/>
        <v>0</v>
      </c>
      <c r="AI201" s="938">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9">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50">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8">
        <f t="shared" si="113"/>
        <v>0</v>
      </c>
      <c r="AE202" s="938">
        <f t="shared" si="116"/>
        <v>0</v>
      </c>
      <c r="AF202" s="938">
        <f t="shared" si="117"/>
        <v>0</v>
      </c>
      <c r="AG202" s="938">
        <f t="shared" si="118"/>
        <v>0</v>
      </c>
      <c r="AH202" s="1174">
        <f t="shared" si="119"/>
        <v>0</v>
      </c>
      <c r="AI202" s="938">
        <f t="shared" si="120"/>
        <v>0</v>
      </c>
    </row>
    <row r="203" spans="1:35"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9">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50">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8">
        <f t="shared" si="113"/>
        <v>0</v>
      </c>
      <c r="AE203" s="938">
        <f t="shared" si="116"/>
        <v>0</v>
      </c>
      <c r="AF203" s="938">
        <f t="shared" si="117"/>
        <v>0</v>
      </c>
      <c r="AG203" s="938">
        <f t="shared" si="118"/>
        <v>0</v>
      </c>
      <c r="AH203" s="1174">
        <f t="shared" si="119"/>
        <v>0</v>
      </c>
      <c r="AI203" s="938">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2.788142417488669E-3</v>
      </c>
      <c r="M204" s="282">
        <f t="shared" si="109"/>
        <v>9.091625877566784E-5</v>
      </c>
      <c r="N204" s="284">
        <f t="shared" si="110"/>
        <v>3.1248796867517111E-5</v>
      </c>
      <c r="O204" s="342">
        <v>0</v>
      </c>
      <c r="P204" s="343">
        <v>0</v>
      </c>
      <c r="Q204" s="343">
        <v>0</v>
      </c>
      <c r="R204" s="343">
        <v>0</v>
      </c>
      <c r="S204" s="343">
        <v>0</v>
      </c>
      <c r="T204" s="343">
        <v>0</v>
      </c>
      <c r="U204" s="343">
        <v>0</v>
      </c>
      <c r="V204" s="343">
        <v>0</v>
      </c>
      <c r="W204" s="343">
        <v>1.253966365025359E-4</v>
      </c>
      <c r="X204" s="343">
        <v>1.0678581332564973E-3</v>
      </c>
      <c r="Y204" s="379">
        <v>1.1599476989570768E-2</v>
      </c>
      <c r="Z204" s="282">
        <f t="shared" si="111"/>
        <v>1.8321208639025753E-4</v>
      </c>
      <c r="AA204" s="284">
        <f t="shared" si="112"/>
        <v>6.4376025147415314E-5</v>
      </c>
      <c r="AB204" s="949">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950">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0.15717716374436497</v>
      </c>
      <c r="AD204" s="1228">
        <f t="shared" si="113"/>
        <v>0.15604005889995742</v>
      </c>
      <c r="AE204" s="938">
        <f t="shared" si="116"/>
        <v>9.091625877566784E-5</v>
      </c>
      <c r="AF204" s="938">
        <f t="shared" si="117"/>
        <v>1.8321208639025753E-4</v>
      </c>
      <c r="AG204" s="938">
        <f t="shared" si="118"/>
        <v>2.7412834516592536E-4</v>
      </c>
      <c r="AH204" s="1174">
        <f t="shared" si="119"/>
        <v>0.33165581151645496</v>
      </c>
      <c r="AI204" s="938">
        <f t="shared" si="120"/>
        <v>0.66834418848354515</v>
      </c>
    </row>
    <row r="205" spans="1:35" x14ac:dyDescent="0.2">
      <c r="A205" s="330">
        <v>2032</v>
      </c>
      <c r="B205" s="344">
        <v>0</v>
      </c>
      <c r="C205" s="345">
        <v>0</v>
      </c>
      <c r="D205" s="345">
        <v>0</v>
      </c>
      <c r="E205" s="345">
        <v>0</v>
      </c>
      <c r="F205" s="345">
        <v>0</v>
      </c>
      <c r="G205" s="345">
        <v>0</v>
      </c>
      <c r="H205" s="345">
        <v>0</v>
      </c>
      <c r="I205" s="345">
        <v>0</v>
      </c>
      <c r="J205" s="345">
        <v>1.2873328574609236E-3</v>
      </c>
      <c r="K205" s="345">
        <v>7.9127714957712512E-3</v>
      </c>
      <c r="L205" s="380">
        <v>4.7907275719447036E-2</v>
      </c>
      <c r="M205" s="296">
        <f t="shared" si="109"/>
        <v>1.7297806164485131E-3</v>
      </c>
      <c r="N205" s="298">
        <f t="shared" si="110"/>
        <v>6.078268069445007E-4</v>
      </c>
      <c r="O205" s="344">
        <v>0</v>
      </c>
      <c r="P205" s="345">
        <v>0</v>
      </c>
      <c r="Q205" s="345">
        <v>0</v>
      </c>
      <c r="R205" s="345">
        <v>0</v>
      </c>
      <c r="S205" s="345">
        <v>0</v>
      </c>
      <c r="T205" s="345">
        <v>0</v>
      </c>
      <c r="U205" s="345">
        <v>0</v>
      </c>
      <c r="V205" s="345">
        <v>6.5660918247706466E-4</v>
      </c>
      <c r="W205" s="345">
        <v>1.3496066499076786E-2</v>
      </c>
      <c r="X205" s="345">
        <v>3.1321338513417549E-2</v>
      </c>
      <c r="Y205" s="380">
        <v>7.6678260377563687E-2</v>
      </c>
      <c r="Z205" s="296">
        <f t="shared" si="111"/>
        <v>1.5247682198700266E-3</v>
      </c>
      <c r="AA205" s="298">
        <f t="shared" si="112"/>
        <v>5.6087737432909093E-4</v>
      </c>
      <c r="AB205" s="949">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950">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228">
        <f t="shared" si="113"/>
        <v>0.16089540362619761</v>
      </c>
      <c r="AE205" s="938">
        <f t="shared" si="116"/>
        <v>1.7297806164485131E-3</v>
      </c>
      <c r="AF205" s="938">
        <f t="shared" si="117"/>
        <v>1.5247682198700266E-3</v>
      </c>
      <c r="AG205" s="938">
        <f t="shared" si="118"/>
        <v>3.2545488363185399E-3</v>
      </c>
      <c r="AH205" s="1174">
        <f t="shared" si="119"/>
        <v>0.53149628518255554</v>
      </c>
      <c r="AI205" s="938">
        <f t="shared" si="120"/>
        <v>0.46850371481744435</v>
      </c>
    </row>
    <row r="206" spans="1:35" x14ac:dyDescent="0.2">
      <c r="A206" s="330">
        <v>2033</v>
      </c>
      <c r="B206" s="344">
        <v>0</v>
      </c>
      <c r="C206" s="345">
        <v>0</v>
      </c>
      <c r="D206" s="345">
        <v>0</v>
      </c>
      <c r="E206" s="345">
        <v>0</v>
      </c>
      <c r="F206" s="345">
        <v>0</v>
      </c>
      <c r="G206" s="345">
        <v>0</v>
      </c>
      <c r="H206" s="345">
        <v>3.3052154156741436E-4</v>
      </c>
      <c r="I206" s="345">
        <v>7.0190217739640876E-3</v>
      </c>
      <c r="J206" s="345">
        <v>3.1918433218369915E-2</v>
      </c>
      <c r="K206" s="345">
        <v>6.5242959738942341E-2</v>
      </c>
      <c r="L206" s="380">
        <v>0.13388190222643498</v>
      </c>
      <c r="M206" s="296">
        <f t="shared" si="109"/>
        <v>6.9240018244624921E-3</v>
      </c>
      <c r="N206" s="298">
        <f t="shared" si="110"/>
        <v>2.6516465613299423E-3</v>
      </c>
      <c r="O206" s="344">
        <v>0</v>
      </c>
      <c r="P206" s="345">
        <v>0</v>
      </c>
      <c r="Q206" s="345">
        <v>0</v>
      </c>
      <c r="R206" s="345">
        <v>0</v>
      </c>
      <c r="S206" s="345">
        <v>0</v>
      </c>
      <c r="T206" s="345">
        <v>2.7564242208239284E-4</v>
      </c>
      <c r="U206" s="345">
        <v>4.5605859597955059E-3</v>
      </c>
      <c r="V206" s="345">
        <v>2.0026264710404321E-2</v>
      </c>
      <c r="W206" s="345">
        <v>7.1455945131002174E-2</v>
      </c>
      <c r="X206" s="345">
        <v>0.10809103507180338</v>
      </c>
      <c r="Y206" s="380">
        <v>0.16163799861880424</v>
      </c>
      <c r="Z206" s="296">
        <f t="shared" si="111"/>
        <v>4.5789926703390322E-3</v>
      </c>
      <c r="AA206" s="298">
        <f t="shared" si="112"/>
        <v>1.8445300585976316E-3</v>
      </c>
      <c r="AB206" s="949">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950">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0.18078187368819532</v>
      </c>
      <c r="AD206" s="1228">
        <f>AB206*AH206+AC206*AI206</f>
        <v>0.17541694600751051</v>
      </c>
      <c r="AE206" s="938">
        <f t="shared" si="116"/>
        <v>6.9240018244624921E-3</v>
      </c>
      <c r="AF206" s="938">
        <f t="shared" si="117"/>
        <v>4.5789926703390322E-3</v>
      </c>
      <c r="AG206" s="938">
        <f t="shared" si="118"/>
        <v>1.1502994494801525E-2</v>
      </c>
      <c r="AH206" s="1174">
        <f t="shared" si="119"/>
        <v>0.60193037800649318</v>
      </c>
      <c r="AI206" s="938">
        <f t="shared" si="120"/>
        <v>0.39806962199350676</v>
      </c>
    </row>
    <row r="207" spans="1:35" x14ac:dyDescent="0.2">
      <c r="A207" s="330">
        <v>2034</v>
      </c>
      <c r="B207" s="344">
        <v>0</v>
      </c>
      <c r="C207" s="345">
        <v>0</v>
      </c>
      <c r="D207" s="345">
        <v>0</v>
      </c>
      <c r="E207" s="345">
        <v>0</v>
      </c>
      <c r="F207" s="345">
        <v>0</v>
      </c>
      <c r="G207" s="345">
        <v>4.0258156307527461E-4</v>
      </c>
      <c r="H207" s="345">
        <v>1.3997833341704622E-2</v>
      </c>
      <c r="I207" s="345">
        <v>5.4789878410042576E-2</v>
      </c>
      <c r="J207" s="345">
        <v>0.10164728580786664</v>
      </c>
      <c r="K207" s="345">
        <v>0.14514504295309968</v>
      </c>
      <c r="L207" s="380">
        <v>0.21225399782963633</v>
      </c>
      <c r="M207" s="296">
        <f t="shared" si="109"/>
        <v>1.7347268075747282E-2</v>
      </c>
      <c r="N207" s="298">
        <f t="shared" si="110"/>
        <v>7.4184954662213712E-3</v>
      </c>
      <c r="O207" s="344">
        <v>0</v>
      </c>
      <c r="P207" s="345">
        <v>0</v>
      </c>
      <c r="Q207" s="345">
        <v>0</v>
      </c>
      <c r="R207" s="345">
        <v>0</v>
      </c>
      <c r="S207" s="345">
        <v>9.0508178088721756E-5</v>
      </c>
      <c r="T207" s="345">
        <v>1.2290286481871079E-2</v>
      </c>
      <c r="U207" s="345">
        <v>4.0323047595509046E-2</v>
      </c>
      <c r="V207" s="345">
        <v>8.635577730488786E-2</v>
      </c>
      <c r="W207" s="345">
        <v>0.15444725437134105</v>
      </c>
      <c r="X207" s="345">
        <v>0.18335505696751267</v>
      </c>
      <c r="Y207" s="380">
        <v>0.23091500304785434</v>
      </c>
      <c r="Z207" s="296">
        <f t="shared" si="111"/>
        <v>1.0668156325590204E-2</v>
      </c>
      <c r="AA207" s="298">
        <f t="shared" si="112"/>
        <v>4.9589244915616499E-3</v>
      </c>
      <c r="AB207" s="949">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0.19223477165328612</v>
      </c>
      <c r="AC207" s="950">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228">
        <f t="shared" ref="AD207:AD223" si="121">AB207*AH207+AC207*AI207</f>
        <v>0.1986004009925928</v>
      </c>
      <c r="AE207" s="938">
        <f t="shared" si="116"/>
        <v>1.7347268075747282E-2</v>
      </c>
      <c r="AF207" s="938">
        <f t="shared" si="117"/>
        <v>1.0668156325590204E-2</v>
      </c>
      <c r="AG207" s="938">
        <f t="shared" si="118"/>
        <v>2.8015424401337488E-2</v>
      </c>
      <c r="AH207" s="1174">
        <f t="shared" si="119"/>
        <v>0.61920418649517595</v>
      </c>
      <c r="AI207" s="938">
        <f t="shared" si="120"/>
        <v>0.38079581350482394</v>
      </c>
    </row>
    <row r="208" spans="1:35" ht="13.5" thickBot="1" x14ac:dyDescent="0.25">
      <c r="A208" s="328">
        <v>2035</v>
      </c>
      <c r="B208" s="346">
        <v>0</v>
      </c>
      <c r="C208" s="347">
        <v>0</v>
      </c>
      <c r="D208" s="347">
        <v>0</v>
      </c>
      <c r="E208" s="347">
        <v>0</v>
      </c>
      <c r="F208" s="347">
        <v>5.8215659387614619E-4</v>
      </c>
      <c r="G208" s="347">
        <v>1.8290641316496443E-2</v>
      </c>
      <c r="H208" s="347">
        <v>8.0373830059913401E-2</v>
      </c>
      <c r="I208" s="347">
        <v>0.13760348553989224</v>
      </c>
      <c r="J208" s="347">
        <v>0.1856289578472817</v>
      </c>
      <c r="K208" s="347">
        <v>0.21491858219058382</v>
      </c>
      <c r="L208" s="381">
        <v>0.2600645476135518</v>
      </c>
      <c r="M208" s="310">
        <f t="shared" si="109"/>
        <v>3.5268476218580057E-2</v>
      </c>
      <c r="N208" s="312">
        <f t="shared" si="110"/>
        <v>1.6839172292238171E-2</v>
      </c>
      <c r="O208" s="346">
        <v>0</v>
      </c>
      <c r="P208" s="347">
        <v>0</v>
      </c>
      <c r="Q208" s="347">
        <v>0</v>
      </c>
      <c r="R208" s="347">
        <v>0</v>
      </c>
      <c r="S208" s="347">
        <v>9.5573863370898987E-3</v>
      </c>
      <c r="T208" s="347">
        <v>6.7136500751090705E-2</v>
      </c>
      <c r="U208" s="347">
        <v>0.11956685433561372</v>
      </c>
      <c r="V208" s="347">
        <v>0.16591962152005751</v>
      </c>
      <c r="W208" s="347">
        <v>0.22471131644530293</v>
      </c>
      <c r="X208" s="347">
        <v>0.24282130549261444</v>
      </c>
      <c r="Y208" s="381">
        <v>0.27578294553753419</v>
      </c>
      <c r="Z208" s="310">
        <f t="shared" si="111"/>
        <v>2.1597872657776629E-2</v>
      </c>
      <c r="AA208" s="312">
        <f t="shared" si="112"/>
        <v>1.1510494283452776E-2</v>
      </c>
      <c r="AB208" s="949">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0.21497511884573758</v>
      </c>
      <c r="AC208" s="950">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0.23995905933074752</v>
      </c>
      <c r="AD208" s="1228">
        <f t="shared" si="121"/>
        <v>0.22446403409608989</v>
      </c>
      <c r="AE208" s="938">
        <f t="shared" si="116"/>
        <v>3.5268476218580057E-2</v>
      </c>
      <c r="AF208" s="938">
        <f t="shared" si="117"/>
        <v>2.1597872657776629E-2</v>
      </c>
      <c r="AG208" s="938">
        <f t="shared" si="118"/>
        <v>5.6866348876356686E-2</v>
      </c>
      <c r="AH208" s="1174">
        <f t="shared" si="119"/>
        <v>0.62019941345739582</v>
      </c>
      <c r="AI208" s="938">
        <f t="shared" si="120"/>
        <v>0.37980058654260418</v>
      </c>
    </row>
    <row r="209" spans="1:35" x14ac:dyDescent="0.2">
      <c r="A209" s="329">
        <v>2036</v>
      </c>
      <c r="B209" s="342">
        <v>0</v>
      </c>
      <c r="C209" s="343">
        <v>0</v>
      </c>
      <c r="D209" s="343">
        <v>0</v>
      </c>
      <c r="E209" s="343">
        <v>0</v>
      </c>
      <c r="F209" s="343">
        <v>3.006019518049588E-3</v>
      </c>
      <c r="G209" s="343">
        <v>3.6757625451248457E-2</v>
      </c>
      <c r="H209" s="343">
        <v>0.10296528242756085</v>
      </c>
      <c r="I209" s="343">
        <v>0.16604042012637599</v>
      </c>
      <c r="J209" s="343">
        <v>0.20527238978533574</v>
      </c>
      <c r="K209" s="343">
        <v>0.2339007261593509</v>
      </c>
      <c r="L209" s="379">
        <v>0.2683088446174271</v>
      </c>
      <c r="M209" s="282">
        <f t="shared" si="109"/>
        <v>4.1870612264363123E-2</v>
      </c>
      <c r="N209" s="284">
        <f t="shared" si="110"/>
        <v>2.0635343835509953E-2</v>
      </c>
      <c r="O209" s="342">
        <v>0</v>
      </c>
      <c r="P209" s="343">
        <v>0</v>
      </c>
      <c r="Q209" s="343">
        <v>0</v>
      </c>
      <c r="R209" s="343">
        <v>4.8887202172032238E-4</v>
      </c>
      <c r="S209" s="343">
        <v>2.0681525231226208E-2</v>
      </c>
      <c r="T209" s="343">
        <v>9.4951622807371419E-2</v>
      </c>
      <c r="U209" s="343">
        <v>0.14671371375581763</v>
      </c>
      <c r="V209" s="343">
        <v>0.18547580007441775</v>
      </c>
      <c r="W209" s="343">
        <v>0.24297963040543988</v>
      </c>
      <c r="X209" s="343">
        <v>0.26022952301473529</v>
      </c>
      <c r="Y209" s="379">
        <v>0.28313080958386744</v>
      </c>
      <c r="Z209" s="282">
        <f t="shared" si="111"/>
        <v>2.6221093324992586E-2</v>
      </c>
      <c r="AA209" s="284">
        <f t="shared" si="112"/>
        <v>1.4576521983460601E-2</v>
      </c>
      <c r="AB209" s="949">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0.22204448002168314</v>
      </c>
      <c r="AC209" s="950">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0.25046133938175208</v>
      </c>
      <c r="AD209" s="1228">
        <f t="shared" si="121"/>
        <v>0.23298738584015682</v>
      </c>
      <c r="AE209" s="938">
        <f t="shared" si="116"/>
        <v>4.1870612264363123E-2</v>
      </c>
      <c r="AF209" s="938">
        <f t="shared" si="117"/>
        <v>2.6221093324992586E-2</v>
      </c>
      <c r="AG209" s="938">
        <f t="shared" si="118"/>
        <v>6.8091705589355705E-2</v>
      </c>
      <c r="AH209" s="1174">
        <f t="shared" si="119"/>
        <v>0.61491501647608104</v>
      </c>
      <c r="AI209" s="938">
        <f t="shared" si="120"/>
        <v>0.38508498352391901</v>
      </c>
    </row>
    <row r="210" spans="1:35" x14ac:dyDescent="0.2">
      <c r="A210" s="330">
        <v>2037</v>
      </c>
      <c r="B210" s="344">
        <v>0</v>
      </c>
      <c r="C210" s="345">
        <v>0</v>
      </c>
      <c r="D210" s="345">
        <v>0</v>
      </c>
      <c r="E210" s="345">
        <v>0</v>
      </c>
      <c r="F210" s="345">
        <v>5.4630056076992051E-3</v>
      </c>
      <c r="G210" s="345">
        <v>5.0310629836994698E-2</v>
      </c>
      <c r="H210" s="345">
        <v>0.11940915354604353</v>
      </c>
      <c r="I210" s="345">
        <v>0.17393524494014154</v>
      </c>
      <c r="J210" s="345">
        <v>0.20916233867558695</v>
      </c>
      <c r="K210" s="345">
        <v>0.23225752261878851</v>
      </c>
      <c r="L210" s="380">
        <v>0.2539240188730354</v>
      </c>
      <c r="M210" s="296">
        <f t="shared" si="109"/>
        <v>4.4694362151302854E-2</v>
      </c>
      <c r="N210" s="298">
        <f t="shared" si="110"/>
        <v>2.2569001842180348E-2</v>
      </c>
      <c r="O210" s="344">
        <v>0</v>
      </c>
      <c r="P210" s="345">
        <v>0</v>
      </c>
      <c r="Q210" s="345">
        <v>0</v>
      </c>
      <c r="R210" s="345">
        <v>1.1525949566871677E-3</v>
      </c>
      <c r="S210" s="345">
        <v>2.9438656754117849E-2</v>
      </c>
      <c r="T210" s="345">
        <v>0.11103223823573409</v>
      </c>
      <c r="U210" s="345">
        <v>0.1562408594324815</v>
      </c>
      <c r="V210" s="345">
        <v>0.20505286533947334</v>
      </c>
      <c r="W210" s="345">
        <v>0.2519199605256483</v>
      </c>
      <c r="X210" s="345">
        <v>0.26037897249760816</v>
      </c>
      <c r="Y210" s="380">
        <v>0.28328738709446055</v>
      </c>
      <c r="Z210" s="296">
        <f t="shared" si="111"/>
        <v>2.8814367275180441E-2</v>
      </c>
      <c r="AA210" s="298">
        <f t="shared" si="112"/>
        <v>1.6387240014071734E-2</v>
      </c>
      <c r="AB210" s="949">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0.2276566998596577</v>
      </c>
      <c r="AC210" s="950">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0.25639972484534479</v>
      </c>
      <c r="AD210" s="1228">
        <f t="shared" si="121"/>
        <v>0.23892355326603548</v>
      </c>
      <c r="AE210" s="938">
        <f t="shared" si="116"/>
        <v>4.4694362151302854E-2</v>
      </c>
      <c r="AF210" s="938">
        <f t="shared" si="117"/>
        <v>2.8814367275180441E-2</v>
      </c>
      <c r="AG210" s="938">
        <f t="shared" si="118"/>
        <v>7.3508729426483288E-2</v>
      </c>
      <c r="AH210" s="1174">
        <f t="shared" si="119"/>
        <v>0.60801434741165084</v>
      </c>
      <c r="AI210" s="938">
        <f t="shared" si="120"/>
        <v>0.39198565258834922</v>
      </c>
    </row>
    <row r="211" spans="1:35" x14ac:dyDescent="0.2">
      <c r="A211" s="330">
        <v>2038</v>
      </c>
      <c r="B211" s="344">
        <v>0</v>
      </c>
      <c r="C211" s="345">
        <v>0</v>
      </c>
      <c r="D211" s="345">
        <v>0</v>
      </c>
      <c r="E211" s="345">
        <v>0</v>
      </c>
      <c r="F211" s="345">
        <v>1.5235609776579789E-2</v>
      </c>
      <c r="G211" s="345">
        <v>6.5773910720464165E-2</v>
      </c>
      <c r="H211" s="345">
        <v>0.12555012536926924</v>
      </c>
      <c r="I211" s="345">
        <v>0.16184718566603626</v>
      </c>
      <c r="J211" s="345">
        <v>0.18962865007800231</v>
      </c>
      <c r="K211" s="345">
        <v>0.20846780534404449</v>
      </c>
      <c r="L211" s="380">
        <v>0.22017013009460423</v>
      </c>
      <c r="M211" s="296">
        <f t="shared" si="109"/>
        <v>4.4623635821015584E-2</v>
      </c>
      <c r="N211" s="298">
        <f t="shared" si="110"/>
        <v>2.3473899842286206E-2</v>
      </c>
      <c r="O211" s="344">
        <v>0</v>
      </c>
      <c r="P211" s="345">
        <v>0</v>
      </c>
      <c r="Q211" s="345">
        <v>0</v>
      </c>
      <c r="R211" s="345">
        <v>4.7237365161103282E-3</v>
      </c>
      <c r="S211" s="345">
        <v>5.0291161420088486E-2</v>
      </c>
      <c r="T211" s="345">
        <v>0.13733846218980794</v>
      </c>
      <c r="U211" s="345">
        <v>0.18527841651997934</v>
      </c>
      <c r="V211" s="345">
        <v>0.21479189484604574</v>
      </c>
      <c r="W211" s="345">
        <v>0.26052638261316641</v>
      </c>
      <c r="X211" s="345">
        <v>0.27626127020781255</v>
      </c>
      <c r="Y211" s="380">
        <v>0.29011129588048645</v>
      </c>
      <c r="Z211" s="296">
        <f t="shared" si="111"/>
        <v>3.4231224039406982E-2</v>
      </c>
      <c r="AA211" s="298">
        <f t="shared" si="112"/>
        <v>2.0281810289886178E-2</v>
      </c>
      <c r="AB211" s="949">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0.23731444959688078</v>
      </c>
      <c r="AC211" s="950">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0.26729336285532379</v>
      </c>
      <c r="AD211" s="1228">
        <f t="shared" si="121"/>
        <v>0.25032842106324527</v>
      </c>
      <c r="AE211" s="938">
        <f t="shared" si="116"/>
        <v>4.4623635821015584E-2</v>
      </c>
      <c r="AF211" s="938">
        <f t="shared" si="117"/>
        <v>3.4231224039406982E-2</v>
      </c>
      <c r="AG211" s="938">
        <f t="shared" si="118"/>
        <v>7.8854859860422566E-2</v>
      </c>
      <c r="AH211" s="1174">
        <f t="shared" si="119"/>
        <v>0.56589582303490071</v>
      </c>
      <c r="AI211" s="938">
        <f t="shared" si="120"/>
        <v>0.43410417696509929</v>
      </c>
    </row>
    <row r="212" spans="1:35" x14ac:dyDescent="0.2">
      <c r="A212" s="330">
        <v>2039</v>
      </c>
      <c r="B212" s="344">
        <v>0</v>
      </c>
      <c r="C212" s="345">
        <v>0</v>
      </c>
      <c r="D212" s="345">
        <v>0</v>
      </c>
      <c r="E212" s="345">
        <v>1.1713806120576848E-3</v>
      </c>
      <c r="F212" s="345">
        <v>2.9237302165218353E-2</v>
      </c>
      <c r="G212" s="345">
        <v>7.9747061868369107E-2</v>
      </c>
      <c r="H212" s="345">
        <v>0.13394500477707497</v>
      </c>
      <c r="I212" s="345">
        <v>0.16162538809222343</v>
      </c>
      <c r="J212" s="345">
        <v>0.19054521583498288</v>
      </c>
      <c r="K212" s="345">
        <v>0.20167292080447868</v>
      </c>
      <c r="L212" s="380">
        <v>0.21712786128612677</v>
      </c>
      <c r="M212" s="296">
        <f t="shared" si="109"/>
        <v>4.7993376092795678E-2</v>
      </c>
      <c r="N212" s="298">
        <f t="shared" si="110"/>
        <v>2.6150635889511949E-2</v>
      </c>
      <c r="O212" s="344">
        <v>0</v>
      </c>
      <c r="P212" s="345">
        <v>0</v>
      </c>
      <c r="Q212" s="345">
        <v>0</v>
      </c>
      <c r="R212" s="345">
        <v>1.61583307534835E-2</v>
      </c>
      <c r="S212" s="345">
        <v>8.019609571018306E-2</v>
      </c>
      <c r="T212" s="345">
        <v>0.1655303867752391</v>
      </c>
      <c r="U212" s="345">
        <v>0.20474367168176244</v>
      </c>
      <c r="V212" s="345">
        <v>0.23364736411463027</v>
      </c>
      <c r="W212" s="345">
        <v>0.26872182953767787</v>
      </c>
      <c r="X212" s="345">
        <v>0.28356301578236043</v>
      </c>
      <c r="Y212" s="380">
        <v>0.29634481662810097</v>
      </c>
      <c r="Z212" s="296">
        <f t="shared" si="111"/>
        <v>4.0680156293911932E-2</v>
      </c>
      <c r="AA212" s="298">
        <f t="shared" si="112"/>
        <v>2.5257768288399072E-2</v>
      </c>
      <c r="AB212" s="949">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0.24597315731385205</v>
      </c>
      <c r="AC212" s="950">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0.28028452828395278</v>
      </c>
      <c r="AD212" s="1228">
        <f t="shared" si="121"/>
        <v>0.26171395274799586</v>
      </c>
      <c r="AE212" s="938">
        <f t="shared" si="116"/>
        <v>4.7993376092795678E-2</v>
      </c>
      <c r="AF212" s="938">
        <f t="shared" si="117"/>
        <v>4.0680156293911932E-2</v>
      </c>
      <c r="AG212" s="938">
        <f t="shared" si="118"/>
        <v>8.867353238670761E-2</v>
      </c>
      <c r="AH212" s="1174">
        <f t="shared" si="119"/>
        <v>0.54123676818800115</v>
      </c>
      <c r="AI212" s="938">
        <f t="shared" si="120"/>
        <v>0.45876323181199885</v>
      </c>
    </row>
    <row r="213" spans="1:35" ht="13.5" thickBot="1" x14ac:dyDescent="0.25">
      <c r="A213" s="328">
        <v>2040</v>
      </c>
      <c r="B213" s="346">
        <v>0</v>
      </c>
      <c r="C213" s="347">
        <v>0</v>
      </c>
      <c r="D213" s="347">
        <v>0</v>
      </c>
      <c r="E213" s="347">
        <v>8.353699003247313E-3</v>
      </c>
      <c r="F213" s="347">
        <v>5.3791385926233073E-2</v>
      </c>
      <c r="G213" s="347">
        <v>0.10828985552925446</v>
      </c>
      <c r="H213" s="347">
        <v>0.15074677963420086</v>
      </c>
      <c r="I213" s="347">
        <v>0.17913324096530653</v>
      </c>
      <c r="J213" s="347">
        <v>0.19270964053942646</v>
      </c>
      <c r="K213" s="347">
        <v>0.20494916215459721</v>
      </c>
      <c r="L213" s="381">
        <v>0.22065822849525651</v>
      </c>
      <c r="M213" s="310">
        <f t="shared" si="109"/>
        <v>5.6498947296922918E-2</v>
      </c>
      <c r="N213" s="312">
        <f t="shared" si="110"/>
        <v>3.2426699042295365E-2</v>
      </c>
      <c r="O213" s="346">
        <v>0</v>
      </c>
      <c r="P213" s="347">
        <v>0</v>
      </c>
      <c r="Q213" s="347">
        <v>9.7650028441714862E-4</v>
      </c>
      <c r="R213" s="347">
        <v>4.0801707366174264E-2</v>
      </c>
      <c r="S213" s="347">
        <v>0.11903061366193325</v>
      </c>
      <c r="T213" s="347">
        <v>0.19449708291912457</v>
      </c>
      <c r="U213" s="347">
        <v>0.22548585952126307</v>
      </c>
      <c r="V213" s="347">
        <v>0.25150557670795587</v>
      </c>
      <c r="W213" s="347">
        <v>0.27644712731423959</v>
      </c>
      <c r="X213" s="347">
        <v>0.29030444445639592</v>
      </c>
      <c r="Y213" s="381">
        <v>0.30193260168225056</v>
      </c>
      <c r="Z213" s="310">
        <f t="shared" si="111"/>
        <v>4.8902999462479009E-2</v>
      </c>
      <c r="AA213" s="312">
        <f t="shared" si="112"/>
        <v>3.1956257837386592E-2</v>
      </c>
      <c r="AB213" s="949">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950">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0.2951820021732966</v>
      </c>
      <c r="AD213" s="1228">
        <f t="shared" si="121"/>
        <v>0.27592543827479776</v>
      </c>
      <c r="AE213" s="938">
        <f t="shared" si="116"/>
        <v>5.6498947296922918E-2</v>
      </c>
      <c r="AF213" s="938">
        <f t="shared" si="117"/>
        <v>4.8902999462479009E-2</v>
      </c>
      <c r="AG213" s="938">
        <f t="shared" si="118"/>
        <v>0.10540194675940193</v>
      </c>
      <c r="AH213" s="1174">
        <f t="shared" si="119"/>
        <v>0.53603324259172824</v>
      </c>
      <c r="AI213" s="938">
        <f t="shared" si="120"/>
        <v>0.46396675740827176</v>
      </c>
    </row>
    <row r="214" spans="1:35" x14ac:dyDescent="0.2">
      <c r="A214" s="329">
        <v>2041</v>
      </c>
      <c r="B214" s="342">
        <v>0</v>
      </c>
      <c r="C214" s="343">
        <v>0</v>
      </c>
      <c r="D214" s="343">
        <v>6.064974105640552E-4</v>
      </c>
      <c r="E214" s="343">
        <v>2.5851354612564079E-2</v>
      </c>
      <c r="F214" s="343">
        <v>8.4565435135637287E-2</v>
      </c>
      <c r="G214" s="343">
        <v>0.1263280724464875</v>
      </c>
      <c r="H214" s="343">
        <v>0.16284112990795854</v>
      </c>
      <c r="I214" s="343">
        <v>0.19124030506153383</v>
      </c>
      <c r="J214" s="343">
        <v>0.20404107304004668</v>
      </c>
      <c r="K214" s="343">
        <v>0.20977013706398104</v>
      </c>
      <c r="L214" s="379">
        <v>0.22462432046636249</v>
      </c>
      <c r="M214" s="282">
        <f t="shared" si="109"/>
        <v>6.5567636110177102E-2</v>
      </c>
      <c r="N214" s="284">
        <f t="shared" si="110"/>
        <v>3.9613817963440323E-2</v>
      </c>
      <c r="O214" s="342">
        <v>0</v>
      </c>
      <c r="P214" s="343">
        <v>0</v>
      </c>
      <c r="Q214" s="343">
        <v>1.2447295000247277E-2</v>
      </c>
      <c r="R214" s="343">
        <v>8.6537549519629511E-2</v>
      </c>
      <c r="S214" s="343">
        <v>0.15494003870852652</v>
      </c>
      <c r="T214" s="343">
        <v>0.21359000577998427</v>
      </c>
      <c r="U214" s="343">
        <v>0.24385969637231805</v>
      </c>
      <c r="V214" s="343">
        <v>0.2679466052744307</v>
      </c>
      <c r="W214" s="343">
        <v>0.29029595616381854</v>
      </c>
      <c r="X214" s="343">
        <v>0.29641008634951149</v>
      </c>
      <c r="Y214" s="379">
        <v>0.30679597946055726</v>
      </c>
      <c r="Z214" s="282">
        <f t="shared" si="111"/>
        <v>5.8074969311285196E-2</v>
      </c>
      <c r="AA214" s="284">
        <f t="shared" si="112"/>
        <v>4.0137648338257365E-2</v>
      </c>
      <c r="AB214" s="949">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0.27309210039621901</v>
      </c>
      <c r="AC214" s="950">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0.31240278528256687</v>
      </c>
      <c r="AD214" s="1228">
        <f t="shared" si="121"/>
        <v>0.29155634102426364</v>
      </c>
      <c r="AE214" s="938">
        <f t="shared" si="116"/>
        <v>6.5567636110177102E-2</v>
      </c>
      <c r="AF214" s="938">
        <f t="shared" si="117"/>
        <v>5.8074969311285196E-2</v>
      </c>
      <c r="AG214" s="938">
        <f t="shared" si="118"/>
        <v>0.1236426054214623</v>
      </c>
      <c r="AH214" s="1174">
        <f t="shared" si="119"/>
        <v>0.53029969634395657</v>
      </c>
      <c r="AI214" s="938">
        <f t="shared" si="120"/>
        <v>0.46970030365604337</v>
      </c>
    </row>
    <row r="215" spans="1:35" x14ac:dyDescent="0.2">
      <c r="A215" s="330">
        <v>2042</v>
      </c>
      <c r="B215" s="344">
        <v>0</v>
      </c>
      <c r="C215" s="345">
        <v>0</v>
      </c>
      <c r="D215" s="345">
        <v>1.2668384638699456E-2</v>
      </c>
      <c r="E215" s="345">
        <v>6.5057482604178846E-2</v>
      </c>
      <c r="F215" s="345">
        <v>0.11818095406713831</v>
      </c>
      <c r="G215" s="345">
        <v>0.15440701327834064</v>
      </c>
      <c r="H215" s="345">
        <v>0.18350416758834001</v>
      </c>
      <c r="I215" s="345">
        <v>0.2035662238811497</v>
      </c>
      <c r="J215" s="345">
        <v>0.21495816269194495</v>
      </c>
      <c r="K215" s="345">
        <v>0.22013709781852117</v>
      </c>
      <c r="L215" s="380">
        <v>0.22872705921449585</v>
      </c>
      <c r="M215" s="296">
        <f t="shared" si="109"/>
        <v>7.9048777580617291E-2</v>
      </c>
      <c r="N215" s="298">
        <f t="shared" si="110"/>
        <v>5.1147966979780246E-2</v>
      </c>
      <c r="O215" s="344">
        <v>0</v>
      </c>
      <c r="P215" s="345">
        <v>1.5911642453907175E-3</v>
      </c>
      <c r="Q215" s="345">
        <v>5.406913793968935E-2</v>
      </c>
      <c r="R215" s="345">
        <v>0.13460846998861339</v>
      </c>
      <c r="S215" s="345">
        <v>0.19265386895777642</v>
      </c>
      <c r="T215" s="345">
        <v>0.24089667510195129</v>
      </c>
      <c r="U215" s="345">
        <v>0.2678173501344665</v>
      </c>
      <c r="V215" s="345">
        <v>0.28404416208265004</v>
      </c>
      <c r="W215" s="345">
        <v>0.29627462738984595</v>
      </c>
      <c r="X215" s="345">
        <v>0.30178768529625444</v>
      </c>
      <c r="Y215" s="380">
        <v>0.3108393646527598</v>
      </c>
      <c r="Z215" s="296">
        <f t="shared" si="111"/>
        <v>6.9440496592718753E-2</v>
      </c>
      <c r="AA215" s="298">
        <f t="shared" si="112"/>
        <v>5.1008641879054684E-2</v>
      </c>
      <c r="AB215" s="949">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0.29266278726049888</v>
      </c>
      <c r="AC215" s="950">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0.33218703352291201</v>
      </c>
      <c r="AD215" s="1228">
        <f t="shared" si="121"/>
        <v>0.31114616461683942</v>
      </c>
      <c r="AE215" s="938">
        <f t="shared" si="116"/>
        <v>7.9048777580617291E-2</v>
      </c>
      <c r="AF215" s="938">
        <f t="shared" si="117"/>
        <v>6.9440496592718753E-2</v>
      </c>
      <c r="AG215" s="938">
        <f t="shared" si="118"/>
        <v>0.14848927417333604</v>
      </c>
      <c r="AH215" s="1174">
        <f t="shared" si="119"/>
        <v>0.53235345125561895</v>
      </c>
      <c r="AI215" s="938">
        <f t="shared" si="120"/>
        <v>0.46764654874438105</v>
      </c>
    </row>
    <row r="216" spans="1:35" x14ac:dyDescent="0.2">
      <c r="A216" s="330">
        <v>2043</v>
      </c>
      <c r="B216" s="344">
        <v>0</v>
      </c>
      <c r="C216" s="345">
        <v>3.9974334442395201E-3</v>
      </c>
      <c r="D216" s="345">
        <v>5.5693703929640029E-2</v>
      </c>
      <c r="E216" s="345">
        <v>0.1154866414726832</v>
      </c>
      <c r="F216" s="345">
        <v>0.15988764453712831</v>
      </c>
      <c r="G216" s="345">
        <v>0.17754634571686162</v>
      </c>
      <c r="H216" s="345">
        <v>0.19899095163930025</v>
      </c>
      <c r="I216" s="345">
        <v>0.21023818117895035</v>
      </c>
      <c r="J216" s="345">
        <v>0.21985815864832614</v>
      </c>
      <c r="K216" s="345">
        <v>0.22475872498288407</v>
      </c>
      <c r="L216" s="380">
        <v>0.23227557645172434</v>
      </c>
      <c r="M216" s="296">
        <f t="shared" si="109"/>
        <v>9.5041376567037886E-2</v>
      </c>
      <c r="N216" s="298">
        <f t="shared" si="110"/>
        <v>6.697789061333588E-2</v>
      </c>
      <c r="O216" s="344">
        <v>0</v>
      </c>
      <c r="P216" s="345">
        <v>2.1657663168981343E-2</v>
      </c>
      <c r="Q216" s="345">
        <v>0.10754491419714568</v>
      </c>
      <c r="R216" s="345">
        <v>0.18866077714212567</v>
      </c>
      <c r="S216" s="345">
        <v>0.22923627309417774</v>
      </c>
      <c r="T216" s="345">
        <v>0.26540009054243457</v>
      </c>
      <c r="U216" s="345">
        <v>0.28223912110372806</v>
      </c>
      <c r="V216" s="345">
        <v>0.29038717882722304</v>
      </c>
      <c r="W216" s="345">
        <v>0.30145876657310328</v>
      </c>
      <c r="X216" s="345">
        <v>0.30632598463308391</v>
      </c>
      <c r="Y216" s="380">
        <v>0.31050500749189475</v>
      </c>
      <c r="Z216" s="296">
        <f t="shared" si="111"/>
        <v>8.1234134802937785E-2</v>
      </c>
      <c r="AA216" s="298">
        <f t="shared" si="112"/>
        <v>6.3683041638524854E-2</v>
      </c>
      <c r="AB216" s="949">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0.31872339867396482</v>
      </c>
      <c r="AC216" s="950">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0.35407474283528695</v>
      </c>
      <c r="AD216" s="1228">
        <f t="shared" si="121"/>
        <v>0.33501457737909168</v>
      </c>
      <c r="AE216" s="938">
        <f t="shared" si="116"/>
        <v>9.5041376567037886E-2</v>
      </c>
      <c r="AF216" s="938">
        <f t="shared" si="117"/>
        <v>8.1234134802937785E-2</v>
      </c>
      <c r="AG216" s="938">
        <f t="shared" si="118"/>
        <v>0.17627551136997566</v>
      </c>
      <c r="AH216" s="1174">
        <f t="shared" si="119"/>
        <v>0.5391638114018027</v>
      </c>
      <c r="AI216" s="938">
        <f t="shared" si="120"/>
        <v>0.46083618859819736</v>
      </c>
    </row>
    <row r="217" spans="1:35" x14ac:dyDescent="0.2">
      <c r="A217" s="330">
        <v>2044</v>
      </c>
      <c r="B217" s="344">
        <v>0</v>
      </c>
      <c r="C217" s="345">
        <v>3.265852618346754E-2</v>
      </c>
      <c r="D217" s="345">
        <v>0.10695683753187119</v>
      </c>
      <c r="E217" s="345">
        <v>0.15602321989517529</v>
      </c>
      <c r="F217" s="345">
        <v>0.18449123726102318</v>
      </c>
      <c r="G217" s="345">
        <v>0.19980084233998946</v>
      </c>
      <c r="H217" s="345">
        <v>0.21191179517275507</v>
      </c>
      <c r="I217" s="345">
        <v>0.22106946799615407</v>
      </c>
      <c r="J217" s="345">
        <v>0.22469037537829695</v>
      </c>
      <c r="K217" s="345">
        <v>0.22887016074934297</v>
      </c>
      <c r="L217" s="380">
        <v>0.23522202212612084</v>
      </c>
      <c r="M217" s="296">
        <f t="shared" si="109"/>
        <v>0.10933293019139012</v>
      </c>
      <c r="N217" s="298">
        <f t="shared" si="110"/>
        <v>8.2940421021056115E-2</v>
      </c>
      <c r="O217" s="344">
        <v>0</v>
      </c>
      <c r="P217" s="345">
        <v>6.0120217914222521E-2</v>
      </c>
      <c r="Q217" s="345">
        <v>0.14068012163635649</v>
      </c>
      <c r="R217" s="345">
        <v>0.21520198281554229</v>
      </c>
      <c r="S217" s="345">
        <v>0.25428617511453017</v>
      </c>
      <c r="T217" s="345">
        <v>0.27971593863616923</v>
      </c>
      <c r="U217" s="345">
        <v>0.2886848417165882</v>
      </c>
      <c r="V217" s="345">
        <v>0.29475000943365687</v>
      </c>
      <c r="W217" s="345">
        <v>0.30614795437646747</v>
      </c>
      <c r="X217" s="345">
        <v>0.310325644910803</v>
      </c>
      <c r="Y217" s="380">
        <v>0.31376472340448741</v>
      </c>
      <c r="Z217" s="296">
        <f t="shared" si="111"/>
        <v>8.894595100744139E-2</v>
      </c>
      <c r="AA217" s="298">
        <f t="shared" si="112"/>
        <v>7.2914898483211477E-2</v>
      </c>
      <c r="AB217" s="949">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0.34188599609679637</v>
      </c>
      <c r="AC217" s="950">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0.36937939515200141</v>
      </c>
      <c r="AD217" s="1228">
        <f t="shared" si="121"/>
        <v>0.35421926381853652</v>
      </c>
      <c r="AE217" s="938">
        <f t="shared" si="116"/>
        <v>0.10933293019139012</v>
      </c>
      <c r="AF217" s="938">
        <f t="shared" si="117"/>
        <v>8.894595100744139E-2</v>
      </c>
      <c r="AG217" s="938">
        <f t="shared" si="118"/>
        <v>0.19827888119883152</v>
      </c>
      <c r="AH217" s="1174">
        <f t="shared" si="119"/>
        <v>0.55140986034590567</v>
      </c>
      <c r="AI217" s="938">
        <f t="shared" si="120"/>
        <v>0.44859013965409422</v>
      </c>
    </row>
    <row r="218" spans="1:35" ht="13.5" thickBot="1" x14ac:dyDescent="0.25">
      <c r="A218" s="328">
        <v>2045</v>
      </c>
      <c r="B218" s="346">
        <v>0</v>
      </c>
      <c r="C218" s="347">
        <v>8.7207586361747969E-2</v>
      </c>
      <c r="D218" s="347">
        <v>0.1422458765050699</v>
      </c>
      <c r="E218" s="347">
        <v>0.18451533713675308</v>
      </c>
      <c r="F218" s="347">
        <v>0.20064658779918806</v>
      </c>
      <c r="G218" s="347">
        <v>0.20756148544334321</v>
      </c>
      <c r="H218" s="347">
        <v>0.21772633182153261</v>
      </c>
      <c r="I218" s="347">
        <v>0.2259616665925856</v>
      </c>
      <c r="J218" s="347">
        <v>0.22905833806479517</v>
      </c>
      <c r="K218" s="347">
        <v>0.23242729948546517</v>
      </c>
      <c r="L218" s="381">
        <v>0.23530032271309159</v>
      </c>
      <c r="M218" s="310">
        <f t="shared" si="109"/>
        <v>0.11937381509542463</v>
      </c>
      <c r="N218" s="312">
        <f t="shared" si="110"/>
        <v>9.6408261268119064E-2</v>
      </c>
      <c r="O218" s="346">
        <v>0</v>
      </c>
      <c r="P218" s="347">
        <v>9.0745254186439042E-2</v>
      </c>
      <c r="Q218" s="347">
        <v>0.14963727491092904</v>
      </c>
      <c r="R218" s="347">
        <v>0.23931796746003625</v>
      </c>
      <c r="S218" s="347">
        <v>0.26123092201622794</v>
      </c>
      <c r="T218" s="347">
        <v>0.28544929676635966</v>
      </c>
      <c r="U218" s="347">
        <v>0.29397847484970113</v>
      </c>
      <c r="V218" s="347">
        <v>0.29944018764176439</v>
      </c>
      <c r="W218" s="347">
        <v>0.30953844589832302</v>
      </c>
      <c r="X218" s="347">
        <v>0.31297279563311114</v>
      </c>
      <c r="Y218" s="381">
        <v>0.31560908715455499</v>
      </c>
      <c r="Z218" s="310">
        <f t="shared" si="111"/>
        <v>9.3076277075598068E-2</v>
      </c>
      <c r="AA218" s="312">
        <f t="shared" si="112"/>
        <v>7.8175251577621382E-2</v>
      </c>
      <c r="AB218" s="949">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0.36186889652377563</v>
      </c>
      <c r="AC218" s="950">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0.37789196376554984</v>
      </c>
      <c r="AD218" s="1228">
        <f t="shared" si="121"/>
        <v>0.36888874495479329</v>
      </c>
      <c r="AE218" s="938">
        <f t="shared" si="116"/>
        <v>0.11937381509542463</v>
      </c>
      <c r="AF218" s="938">
        <f t="shared" si="117"/>
        <v>9.3076277075598068E-2</v>
      </c>
      <c r="AG218" s="938">
        <f t="shared" si="118"/>
        <v>0.2124500921710227</v>
      </c>
      <c r="AH218" s="1174">
        <f t="shared" si="119"/>
        <v>0.56189109581241559</v>
      </c>
      <c r="AI218" s="938">
        <f t="shared" si="120"/>
        <v>0.43810890418758441</v>
      </c>
    </row>
    <row r="219" spans="1:35" x14ac:dyDescent="0.2">
      <c r="A219" s="329">
        <v>2046</v>
      </c>
      <c r="B219" s="342">
        <v>0</v>
      </c>
      <c r="C219" s="343">
        <v>0.12865893071000559</v>
      </c>
      <c r="D219" s="343">
        <v>0.15539424391705139</v>
      </c>
      <c r="E219" s="343">
        <v>0.19453373511002042</v>
      </c>
      <c r="F219" s="343">
        <v>0.20887954671356948</v>
      </c>
      <c r="G219" s="343">
        <v>0.21537466711316883</v>
      </c>
      <c r="H219" s="343">
        <v>0.22310494200397094</v>
      </c>
      <c r="I219" s="343">
        <v>0.23033387765888566</v>
      </c>
      <c r="J219" s="343">
        <v>0.23286253914337438</v>
      </c>
      <c r="K219" s="343">
        <v>0.2325085092898409</v>
      </c>
      <c r="L219" s="379">
        <v>0.23759304317351052</v>
      </c>
      <c r="M219" s="282">
        <f t="shared" si="109"/>
        <v>0.12498986558675805</v>
      </c>
      <c r="N219" s="284">
        <f t="shared" si="110"/>
        <v>0.10404602226067895</v>
      </c>
      <c r="O219" s="342">
        <v>3.119022855263805E-3</v>
      </c>
      <c r="P219" s="343">
        <v>0.14193929719617601</v>
      </c>
      <c r="Q219" s="343">
        <v>0.15434124829590742</v>
      </c>
      <c r="R219" s="343">
        <v>0.24581122166491476</v>
      </c>
      <c r="S219" s="343">
        <v>0.27413270853922295</v>
      </c>
      <c r="T219" s="343">
        <v>0.29019511503627865</v>
      </c>
      <c r="U219" s="343">
        <v>0.29948536450436508</v>
      </c>
      <c r="V219" s="343">
        <v>0.30305122721929556</v>
      </c>
      <c r="W219" s="343">
        <v>0.30832274955557037</v>
      </c>
      <c r="X219" s="343">
        <v>0.31174975679279071</v>
      </c>
      <c r="Y219" s="379">
        <v>0.31438050370410997</v>
      </c>
      <c r="Z219" s="282">
        <f t="shared" si="111"/>
        <v>9.684103631315269E-2</v>
      </c>
      <c r="AA219" s="284">
        <f t="shared" si="112"/>
        <v>8.384994668674596E-2</v>
      </c>
      <c r="AB219" s="949">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0.37164304991446029</v>
      </c>
      <c r="AC219" s="950">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0.38808366835988312</v>
      </c>
      <c r="AD219" s="1228">
        <f t="shared" si="121"/>
        <v>0.37882025793303586</v>
      </c>
      <c r="AE219" s="938">
        <f t="shared" si="116"/>
        <v>0.12498986558675805</v>
      </c>
      <c r="AF219" s="938">
        <f t="shared" si="117"/>
        <v>9.684103631315269E-2</v>
      </c>
      <c r="AG219" s="938">
        <f t="shared" si="118"/>
        <v>0.22183090189991073</v>
      </c>
      <c r="AH219" s="1174">
        <f t="shared" si="119"/>
        <v>0.56344659159864485</v>
      </c>
      <c r="AI219" s="938">
        <f t="shared" si="120"/>
        <v>0.4365534084013552</v>
      </c>
    </row>
    <row r="220" spans="1:35" x14ac:dyDescent="0.2">
      <c r="A220" s="330">
        <v>2047</v>
      </c>
      <c r="B220" s="344">
        <v>0</v>
      </c>
      <c r="C220" s="345">
        <v>0.14511136667791574</v>
      </c>
      <c r="D220" s="345">
        <v>0.16150962498873309</v>
      </c>
      <c r="E220" s="345">
        <v>0.2040126464171147</v>
      </c>
      <c r="F220" s="345">
        <v>0.21561552348588953</v>
      </c>
      <c r="G220" s="345">
        <v>0.22234645310331946</v>
      </c>
      <c r="H220" s="345">
        <v>0.2280033828407656</v>
      </c>
      <c r="I220" s="345">
        <v>0.23064018654311091</v>
      </c>
      <c r="J220" s="345">
        <v>0.23317224199851269</v>
      </c>
      <c r="K220" s="345">
        <v>0.23565949436040393</v>
      </c>
      <c r="L220" s="380">
        <v>0.23787266379681812</v>
      </c>
      <c r="M220" s="296">
        <f t="shared" si="109"/>
        <v>0.12858155691733777</v>
      </c>
      <c r="N220" s="298">
        <f t="shared" si="110"/>
        <v>0.10832784093178351</v>
      </c>
      <c r="O220" s="344">
        <v>6.9022317141342431E-3</v>
      </c>
      <c r="P220" s="345">
        <v>0.16499316374060483</v>
      </c>
      <c r="Q220" s="345">
        <v>0.162103854306376</v>
      </c>
      <c r="R220" s="345">
        <v>0.25133254728736509</v>
      </c>
      <c r="S220" s="345">
        <v>0.27240428993479676</v>
      </c>
      <c r="T220" s="345">
        <v>0.28845725792545751</v>
      </c>
      <c r="U220" s="345">
        <v>0.29533405798420159</v>
      </c>
      <c r="V220" s="345">
        <v>0.30130197860427249</v>
      </c>
      <c r="W220" s="345">
        <v>0.30998555613944134</v>
      </c>
      <c r="X220" s="345">
        <v>0.30998555613944134</v>
      </c>
      <c r="Y220" s="380">
        <v>0.31260823959334028</v>
      </c>
      <c r="Z220" s="296">
        <f t="shared" si="111"/>
        <v>9.7691928298609093E-2</v>
      </c>
      <c r="AA220" s="298">
        <f t="shared" si="112"/>
        <v>8.6095660385409986E-2</v>
      </c>
      <c r="AB220" s="949">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0.37585341820492596</v>
      </c>
      <c r="AC220" s="950">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0.39418968940716781</v>
      </c>
      <c r="AD220" s="1228">
        <f t="shared" si="121"/>
        <v>0.38376996967291482</v>
      </c>
      <c r="AE220" s="938">
        <f t="shared" si="116"/>
        <v>0.12858155691733777</v>
      </c>
      <c r="AF220" s="938">
        <f t="shared" si="117"/>
        <v>9.7691928298609093E-2</v>
      </c>
      <c r="AG220" s="938">
        <f t="shared" si="118"/>
        <v>0.22627348521594687</v>
      </c>
      <c r="AH220" s="1174">
        <f t="shared" si="119"/>
        <v>0.56825728739107184</v>
      </c>
      <c r="AI220" s="938">
        <f t="shared" si="120"/>
        <v>0.4317427126089281</v>
      </c>
    </row>
    <row r="221" spans="1:35" x14ac:dyDescent="0.2">
      <c r="A221" s="330">
        <v>2048</v>
      </c>
      <c r="B221" s="344">
        <v>0</v>
      </c>
      <c r="C221" s="345">
        <v>0.16241332636143485</v>
      </c>
      <c r="D221" s="345">
        <v>0.17268663966703274</v>
      </c>
      <c r="E221" s="345">
        <v>0.21277708307090004</v>
      </c>
      <c r="F221" s="345">
        <v>0.22250923201124326</v>
      </c>
      <c r="G221" s="345">
        <v>0.22778036000934096</v>
      </c>
      <c r="H221" s="345">
        <v>0.22829207744255736</v>
      </c>
      <c r="I221" s="345">
        <v>0.23093235031686218</v>
      </c>
      <c r="J221" s="345">
        <v>0.23346760702886418</v>
      </c>
      <c r="K221" s="345">
        <v>0.23595783404202961</v>
      </c>
      <c r="L221" s="380">
        <v>0.23817354232795776</v>
      </c>
      <c r="M221" s="296">
        <f t="shared" si="109"/>
        <v>0.13190772081090046</v>
      </c>
      <c r="N221" s="298">
        <f t="shared" si="110"/>
        <v>0.11276556465295523</v>
      </c>
      <c r="O221" s="344">
        <v>1.0571644689149505E-2</v>
      </c>
      <c r="P221" s="345">
        <v>0.17561379434346547</v>
      </c>
      <c r="Q221" s="345">
        <v>0.15953167287121542</v>
      </c>
      <c r="R221" s="345">
        <v>0.25712580314752326</v>
      </c>
      <c r="S221" s="345">
        <v>0.27766598346623661</v>
      </c>
      <c r="T221" s="345">
        <v>0.29276065566636389</v>
      </c>
      <c r="U221" s="345">
        <v>0.29906097037973861</v>
      </c>
      <c r="V221" s="345">
        <v>0.30438572329870373</v>
      </c>
      <c r="W221" s="345">
        <v>0.3089488761941383</v>
      </c>
      <c r="X221" s="345">
        <v>0.31156678530428022</v>
      </c>
      <c r="Y221" s="380">
        <v>0.3133097479023606</v>
      </c>
      <c r="Z221" s="296">
        <f t="shared" si="111"/>
        <v>9.9221434754680843E-2</v>
      </c>
      <c r="AA221" s="298">
        <f t="shared" si="112"/>
        <v>8.7919566975997732E-2</v>
      </c>
      <c r="AB221" s="949">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0.3811117885845724</v>
      </c>
      <c r="AC221" s="950">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228">
        <f t="shared" si="121"/>
        <v>0.38746056640711624</v>
      </c>
      <c r="AE221" s="938">
        <f t="shared" si="116"/>
        <v>0.13190772081090046</v>
      </c>
      <c r="AF221" s="938">
        <f t="shared" si="117"/>
        <v>9.9221434754680843E-2</v>
      </c>
      <c r="AG221" s="938">
        <f t="shared" si="118"/>
        <v>0.23112915556558131</v>
      </c>
      <c r="AH221" s="1174">
        <f t="shared" si="119"/>
        <v>0.5707100018953366</v>
      </c>
      <c r="AI221" s="938">
        <f t="shared" si="120"/>
        <v>0.42928999810466334</v>
      </c>
    </row>
    <row r="222" spans="1:35" x14ac:dyDescent="0.2">
      <c r="A222" s="330">
        <v>2049</v>
      </c>
      <c r="B222" s="344">
        <v>1.8580410242580983E-4</v>
      </c>
      <c r="C222" s="345">
        <v>0.1757647324359794</v>
      </c>
      <c r="D222" s="345">
        <v>0.18075612557287998</v>
      </c>
      <c r="E222" s="345">
        <v>0.2200781054943251</v>
      </c>
      <c r="F222" s="345">
        <v>0.22277496768282376</v>
      </c>
      <c r="G222" s="345">
        <v>0.22805339572658298</v>
      </c>
      <c r="H222" s="345">
        <v>0.22856681293443137</v>
      </c>
      <c r="I222" s="345">
        <v>0.23471720693975839</v>
      </c>
      <c r="J222" s="345">
        <v>0.23663513718931725</v>
      </c>
      <c r="K222" s="345">
        <v>0.23624163332527454</v>
      </c>
      <c r="L222" s="380">
        <v>0.2384597324998472</v>
      </c>
      <c r="M222" s="296">
        <f t="shared" si="109"/>
        <v>0.13391546171472055</v>
      </c>
      <c r="N222" s="298">
        <f t="shared" si="110"/>
        <v>0.11562269006745164</v>
      </c>
      <c r="O222" s="344">
        <v>1.1094269799230845E-2</v>
      </c>
      <c r="P222" s="345">
        <v>0.16888651885294659</v>
      </c>
      <c r="Q222" s="345">
        <v>0.16959821493610996</v>
      </c>
      <c r="R222" s="345">
        <v>0.25437827453593903</v>
      </c>
      <c r="S222" s="345">
        <v>0.27493756523594709</v>
      </c>
      <c r="T222" s="345">
        <v>0.29001761886024302</v>
      </c>
      <c r="U222" s="345">
        <v>0.29631046754005119</v>
      </c>
      <c r="V222" s="345">
        <v>0.30162745887958115</v>
      </c>
      <c r="W222" s="345">
        <v>0.30618580857530459</v>
      </c>
      <c r="X222" s="345">
        <v>0.30879086209020951</v>
      </c>
      <c r="Y222" s="380">
        <v>0.31052536442088075</v>
      </c>
      <c r="Z222" s="296">
        <f t="shared" si="111"/>
        <v>9.861661565872272E-2</v>
      </c>
      <c r="AA222" s="298">
        <f t="shared" si="112"/>
        <v>8.7475192601504076E-2</v>
      </c>
      <c r="AB222" s="949">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0.38471657643563933</v>
      </c>
      <c r="AC222" s="950">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0.39663655268866549</v>
      </c>
      <c r="AD222" s="1228">
        <f t="shared" si="121"/>
        <v>0.38977182614606065</v>
      </c>
      <c r="AE222" s="938">
        <f t="shared" si="116"/>
        <v>0.13391546171472055</v>
      </c>
      <c r="AF222" s="938">
        <f t="shared" si="117"/>
        <v>9.861661565872272E-2</v>
      </c>
      <c r="AG222" s="938">
        <f t="shared" si="118"/>
        <v>0.23253207737344328</v>
      </c>
      <c r="AH222" s="1174">
        <f t="shared" si="119"/>
        <v>0.57590102504289842</v>
      </c>
      <c r="AI222" s="938">
        <f t="shared" si="120"/>
        <v>0.42409897495710153</v>
      </c>
    </row>
    <row r="223" spans="1:35" ht="13.5" thickBot="1" x14ac:dyDescent="0.25">
      <c r="A223" s="328">
        <v>2050</v>
      </c>
      <c r="B223" s="346">
        <v>2.7335720983206042E-4</v>
      </c>
      <c r="C223" s="347">
        <v>0.18562275131175315</v>
      </c>
      <c r="D223" s="347">
        <v>0.18073130278510618</v>
      </c>
      <c r="E223" s="347">
        <v>0.22083339263626289</v>
      </c>
      <c r="F223" s="347">
        <v>0.2230273156164797</v>
      </c>
      <c r="G223" s="347">
        <v>0.22831254593020159</v>
      </c>
      <c r="H223" s="347">
        <v>0.23292063249893202</v>
      </c>
      <c r="I223" s="347">
        <v>0.23498451652920432</v>
      </c>
      <c r="J223" s="347">
        <v>0.23690462631929129</v>
      </c>
      <c r="K223" s="347">
        <v>0.236510820422555</v>
      </c>
      <c r="L223" s="381">
        <v>0.24021166409982506</v>
      </c>
      <c r="M223" s="310">
        <f t="shared" si="109"/>
        <v>0.13484630951988752</v>
      </c>
      <c r="N223" s="312">
        <f t="shared" si="110"/>
        <v>0.11688192022443147</v>
      </c>
      <c r="O223" s="346">
        <v>1.4148505803402909E-2</v>
      </c>
      <c r="P223" s="347">
        <v>0.1780659576205243</v>
      </c>
      <c r="Q223" s="347">
        <v>0.16857637121606706</v>
      </c>
      <c r="R223" s="347">
        <v>0.25280036504744491</v>
      </c>
      <c r="S223" s="347">
        <v>0.27337339936397553</v>
      </c>
      <c r="T223" s="347">
        <v>0.28844649215588147</v>
      </c>
      <c r="U223" s="347">
        <v>0.2947356314088842</v>
      </c>
      <c r="V223" s="347">
        <v>0.30004861611514727</v>
      </c>
      <c r="W223" s="347">
        <v>0.30460465334271775</v>
      </c>
      <c r="X223" s="347">
        <v>0.30720226489576857</v>
      </c>
      <c r="Y223" s="381">
        <v>0.30893186857639821</v>
      </c>
      <c r="Z223" s="310">
        <f t="shared" si="111"/>
        <v>9.8367204905506808E-2</v>
      </c>
      <c r="AA223" s="312">
        <f t="shared" si="112"/>
        <v>8.7797823925942153E-2</v>
      </c>
      <c r="AB223" s="951">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0.38609331267747271</v>
      </c>
      <c r="AC223" s="952">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0.39868968392188014</v>
      </c>
      <c r="AD223" s="1229">
        <f t="shared" si="121"/>
        <v>0.39140634024501031</v>
      </c>
      <c r="AE223" s="938">
        <f t="shared" ref="AE223" si="122">SUMPRODUCT($B$74:$L$74,B223:L223)</f>
        <v>0.13484630951988752</v>
      </c>
      <c r="AF223" s="938">
        <f t="shared" ref="AF223" si="123">SUMPRODUCT($O$74:$Y$74,O223:Y223)</f>
        <v>9.8367204905506808E-2</v>
      </c>
      <c r="AG223" s="938">
        <f t="shared" ref="AG223" si="124">SUM(AE223:AF223)</f>
        <v>0.23321351442539434</v>
      </c>
      <c r="AH223" s="1174">
        <f t="shared" ref="AH223" si="125">IF(AG223&gt;0,AE223/AG223,0)</f>
        <v>0.57820967130541323</v>
      </c>
      <c r="AI223" s="938">
        <f t="shared" ref="AI223" si="126">IF(AG223&gt;0,AF223/AG223,0)</f>
        <v>0.42179032869458666</v>
      </c>
    </row>
    <row r="224" spans="1:35" x14ac:dyDescent="0.2">
      <c r="B224" s="227" t="str">
        <f>B$120</f>
        <v>Output generated: 4/26/2020 19:05</v>
      </c>
      <c r="O224" s="227" t="str">
        <f>O$120</f>
        <v>Output generated: 4/26/2020 19:05</v>
      </c>
      <c r="AE224" s="938"/>
      <c r="AF224" s="938"/>
      <c r="AG224" s="938"/>
      <c r="AH224" s="938"/>
      <c r="AI224" s="938"/>
    </row>
    <row r="225" spans="1:39" x14ac:dyDescent="0.2">
      <c r="AE225" s="938"/>
      <c r="AF225" s="938"/>
      <c r="AG225" s="938"/>
      <c r="AH225" s="938"/>
      <c r="AI225" s="938"/>
    </row>
    <row r="226" spans="1:39" ht="13.5" thickBot="1" x14ac:dyDescent="0.25">
      <c r="AE226" s="938"/>
      <c r="AF226" s="938"/>
      <c r="AG226" s="938"/>
      <c r="AH226" s="938"/>
      <c r="AI226" s="938"/>
    </row>
    <row r="227" spans="1:39" ht="15" x14ac:dyDescent="0.25">
      <c r="A227" s="333"/>
      <c r="B227" s="1559" t="s">
        <v>258</v>
      </c>
      <c r="C227" s="1560"/>
      <c r="D227" s="1560"/>
      <c r="E227" s="1560"/>
      <c r="F227" s="1560"/>
      <c r="G227" s="1560"/>
      <c r="H227" s="1560"/>
      <c r="I227" s="1560"/>
      <c r="J227" s="1560"/>
      <c r="K227" s="1560"/>
      <c r="L227" s="1560"/>
      <c r="M227" s="1560"/>
      <c r="N227" s="1561"/>
      <c r="O227" s="1559" t="s">
        <v>259</v>
      </c>
      <c r="P227" s="1560"/>
      <c r="Q227" s="1560"/>
      <c r="R227" s="1560"/>
      <c r="S227" s="1560"/>
      <c r="T227" s="1560"/>
      <c r="U227" s="1560"/>
      <c r="V227" s="1560"/>
      <c r="W227" s="1560"/>
      <c r="X227" s="1560"/>
      <c r="Y227" s="1560"/>
      <c r="Z227" s="1560"/>
      <c r="AA227" s="1561"/>
      <c r="AE227" s="938"/>
      <c r="AF227" s="938"/>
      <c r="AG227" s="938"/>
      <c r="AH227" s="938"/>
      <c r="AI227" s="938"/>
    </row>
    <row r="228" spans="1:39" x14ac:dyDescent="0.2">
      <c r="A228" s="324"/>
      <c r="B228" s="1556" t="s">
        <v>121</v>
      </c>
      <c r="C228" s="1557"/>
      <c r="D228" s="1557"/>
      <c r="E228" s="1557"/>
      <c r="F228" s="1557"/>
      <c r="G228" s="1557"/>
      <c r="H228" s="1557"/>
      <c r="I228" s="1557"/>
      <c r="J228" s="1557"/>
      <c r="K228" s="1557"/>
      <c r="L228" s="1557"/>
      <c r="M228" s="382"/>
      <c r="N228" s="325"/>
      <c r="O228" s="1556" t="s">
        <v>121</v>
      </c>
      <c r="P228" s="1557"/>
      <c r="Q228" s="1557"/>
      <c r="R228" s="1557"/>
      <c r="S228" s="1557"/>
      <c r="T228" s="1557"/>
      <c r="U228" s="1557"/>
      <c r="V228" s="1557"/>
      <c r="W228" s="1557"/>
      <c r="X228" s="1557"/>
      <c r="Y228" s="1557"/>
      <c r="Z228" s="382"/>
      <c r="AA228" s="325"/>
      <c r="AC228" s="955" t="s">
        <v>268</v>
      </c>
      <c r="AD228" s="234" t="b">
        <f>INDEX(TECH_OPT_FUEL2_Cls2,MATCH(RIGHT(O227),TECH_OPT_ROWS_Cls2,0))&lt;&gt;"N/A"</f>
        <v>0</v>
      </c>
      <c r="AE228" s="938"/>
      <c r="AF228" s="938"/>
      <c r="AG228" s="938"/>
      <c r="AH228" s="938"/>
      <c r="AI228" s="938"/>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7"/>
      <c r="AC229" s="955" t="s">
        <v>269</v>
      </c>
      <c r="AD229" s="234">
        <f>MATCH(RIGHT(O227),TECH_OPT_ROWS_Cls2,0)</f>
        <v>5</v>
      </c>
      <c r="AE229" s="938"/>
      <c r="AF229" s="938"/>
      <c r="AG229" s="938"/>
      <c r="AH229" s="938"/>
      <c r="AI229" s="938"/>
    </row>
    <row r="230" spans="1:39" ht="14.25"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11">
        <v>5.2963907111801883E-3</v>
      </c>
      <c r="Z230" s="1216"/>
      <c r="AA230" s="1217"/>
    </row>
    <row r="231" spans="1:39" x14ac:dyDescent="0.2">
      <c r="A231" s="331" t="s">
        <v>125</v>
      </c>
      <c r="B231" s="924">
        <f t="array" ref="B231:L231">TRANSPOSE(Cls2CentVMTShr)</f>
        <v>6.3375455551975849E-3</v>
      </c>
      <c r="C231" s="925">
        <v>3.496913005496359E-2</v>
      </c>
      <c r="D231" s="925">
        <v>5.9955127131675522E-2</v>
      </c>
      <c r="E231" s="925">
        <v>8.4599669387910512E-2</v>
      </c>
      <c r="F231" s="925">
        <v>0.12702701008436962</v>
      </c>
      <c r="G231" s="925">
        <v>6.7204731283582092E-2</v>
      </c>
      <c r="H231" s="925">
        <v>8.8708982453757024E-2</v>
      </c>
      <c r="I231" s="925">
        <v>6.4694225377098208E-2</v>
      </c>
      <c r="J231" s="925">
        <v>3.2526447027526634E-2</v>
      </c>
      <c r="K231" s="925">
        <v>1.589064319454132E-2</v>
      </c>
      <c r="L231" s="1212">
        <v>3.2608183213810787E-2</v>
      </c>
      <c r="M231" s="1213"/>
      <c r="N231" s="1214"/>
      <c r="O231" s="924">
        <f t="array" ref="O231:Y231">TRANSPOSE(Cls2NCentVMTShr)</f>
        <v>8.1228463417563086E-3</v>
      </c>
      <c r="P231" s="925">
        <v>2.7563836768431361E-2</v>
      </c>
      <c r="Q231" s="925">
        <v>4.1883113088337191E-2</v>
      </c>
      <c r="R231" s="925">
        <v>6.4289357588678764E-2</v>
      </c>
      <c r="S231" s="925">
        <v>9.1183275251204537E-2</v>
      </c>
      <c r="T231" s="925">
        <v>5.1984283219922628E-2</v>
      </c>
      <c r="U231" s="925">
        <v>5.0286059545109812E-2</v>
      </c>
      <c r="V231" s="925">
        <v>1.5542287574292338E-2</v>
      </c>
      <c r="W231" s="925">
        <v>1.4506257462625264E-2</v>
      </c>
      <c r="X231" s="925">
        <v>4.9330966304706684E-3</v>
      </c>
      <c r="Y231" s="926">
        <v>1.5183891764738403E-2</v>
      </c>
      <c r="Z231" s="1213"/>
      <c r="AA231" s="1214"/>
      <c r="AB231" s="1572" t="str">
        <f>"% of miles on f2 for Tech "&amp; RIGHT(O226)&amp;" adopters"</f>
        <v>% of miles on f2 for Tech  adopters</v>
      </c>
      <c r="AC231" s="1573"/>
      <c r="AD231" s="1574"/>
      <c r="AE231" s="938" t="s">
        <v>302</v>
      </c>
      <c r="AF231" s="938"/>
      <c r="AG231" s="938"/>
      <c r="AH231" s="1174" t="s">
        <v>303</v>
      </c>
      <c r="AI231" s="938"/>
    </row>
    <row r="232" spans="1:39" ht="13.5" thickBot="1" x14ac:dyDescent="0.25">
      <c r="A232" s="943" t="s">
        <v>267</v>
      </c>
      <c r="B232" s="934">
        <f t="array" ref="B232:L232">TRANSPOSE(Cls2CentVMT/OPDAYS_Cls2)</f>
        <v>49.332453271995263</v>
      </c>
      <c r="C232" s="935">
        <v>120.11441047790339</v>
      </c>
      <c r="D232" s="935">
        <v>200.99157969807086</v>
      </c>
      <c r="E232" s="935">
        <v>280.98421424125928</v>
      </c>
      <c r="F232" s="935">
        <v>358.20644524895255</v>
      </c>
      <c r="G232" s="935">
        <v>432.82805471770689</v>
      </c>
      <c r="H232" s="935">
        <v>517.10615118099815</v>
      </c>
      <c r="I232" s="935">
        <v>597.8087063838957</v>
      </c>
      <c r="J232" s="935">
        <v>676.93419409560215</v>
      </c>
      <c r="K232" s="935">
        <v>746.82245226325631</v>
      </c>
      <c r="L232" s="936">
        <v>895.92826380844349</v>
      </c>
      <c r="M232" s="932"/>
      <c r="N232" s="933"/>
      <c r="O232" s="934">
        <f t="array" ref="O232:Y232">TRANSPOSE(Cls2NCentVMT/OPDAYS_Cls2)</f>
        <v>54.31462614952413</v>
      </c>
      <c r="P232" s="935">
        <v>126.62311644744663</v>
      </c>
      <c r="Q232" s="935">
        <v>206.96826351576016</v>
      </c>
      <c r="R232" s="935">
        <v>286.46600131499179</v>
      </c>
      <c r="S232" s="935">
        <v>358.9638908170715</v>
      </c>
      <c r="T232" s="935">
        <v>450.55545819643328</v>
      </c>
      <c r="U232" s="935">
        <v>511.93098482414172</v>
      </c>
      <c r="V232" s="935">
        <v>579.22933632093111</v>
      </c>
      <c r="W232" s="935">
        <v>695.25665569614875</v>
      </c>
      <c r="X232" s="935">
        <v>759.80682330760794</v>
      </c>
      <c r="Y232" s="1215">
        <v>882.81167173661356</v>
      </c>
      <c r="Z232" s="944"/>
      <c r="AA232" s="933"/>
      <c r="AB232" s="946" t="s">
        <v>187</v>
      </c>
      <c r="AC232" s="947" t="s">
        <v>15</v>
      </c>
      <c r="AD232" s="948" t="s">
        <v>18</v>
      </c>
      <c r="AE232" s="938" t="s">
        <v>187</v>
      </c>
      <c r="AF232" s="938" t="s">
        <v>15</v>
      </c>
      <c r="AG232" s="938" t="s">
        <v>18</v>
      </c>
      <c r="AH232" s="1174" t="s">
        <v>187</v>
      </c>
      <c r="AI232" s="938" t="s">
        <v>15</v>
      </c>
      <c r="AJ232" s="323"/>
      <c r="AK232" s="323"/>
      <c r="AL232" s="323"/>
      <c r="AM232" s="323"/>
    </row>
    <row r="233" spans="1:39" ht="13.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9">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50">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8">
        <f>AB233*AH233+AC233*AI233</f>
        <v>0</v>
      </c>
      <c r="AE233" s="938">
        <f t="shared" ref="AE233:AE247" si="127">SUMPRODUCT($B$74:$L$74,B233:L233)</f>
        <v>0</v>
      </c>
      <c r="AF233" s="938">
        <f t="shared" ref="AF233:AF247" si="128">SUMPRODUCT($O$74:$Y$74,O233:Y233)</f>
        <v>0</v>
      </c>
      <c r="AG233" s="938">
        <f t="shared" ref="AG233:AG247" si="129">SUM(AE233:AF233)</f>
        <v>0</v>
      </c>
      <c r="AH233" s="1174">
        <f>IF(AG233&gt;0,AE233/AG233,0)</f>
        <v>0</v>
      </c>
      <c r="AI233" s="938">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9">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50">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8">
        <f t="shared" ref="AD234:AD258" si="134">AB234*AH234+AC234*AI234</f>
        <v>0</v>
      </c>
      <c r="AE234" s="938">
        <f t="shared" si="127"/>
        <v>0</v>
      </c>
      <c r="AF234" s="938">
        <f t="shared" si="128"/>
        <v>0</v>
      </c>
      <c r="AG234" s="938">
        <f t="shared" si="129"/>
        <v>0</v>
      </c>
      <c r="AH234" s="1174">
        <f t="shared" ref="AH234:AH275" si="135">IF(AG234&gt;0,AE234/AG234,0)</f>
        <v>0</v>
      </c>
      <c r="AI234" s="938">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9">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50">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8">
        <f t="shared" si="134"/>
        <v>0</v>
      </c>
      <c r="AE235" s="938">
        <f t="shared" si="127"/>
        <v>0</v>
      </c>
      <c r="AF235" s="938">
        <f t="shared" si="128"/>
        <v>0</v>
      </c>
      <c r="AG235" s="938">
        <f t="shared" si="129"/>
        <v>0</v>
      </c>
      <c r="AH235" s="1174">
        <f t="shared" si="135"/>
        <v>0</v>
      </c>
      <c r="AI235" s="938">
        <f t="shared" si="136"/>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9">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50">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8">
        <f t="shared" si="134"/>
        <v>0</v>
      </c>
      <c r="AE236" s="938">
        <f t="shared" si="127"/>
        <v>0</v>
      </c>
      <c r="AF236" s="938">
        <f t="shared" si="128"/>
        <v>0</v>
      </c>
      <c r="AG236" s="938">
        <f t="shared" si="129"/>
        <v>0</v>
      </c>
      <c r="AH236" s="1174">
        <f t="shared" si="135"/>
        <v>0</v>
      </c>
      <c r="AI236" s="938">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9">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50">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8">
        <f t="shared" si="134"/>
        <v>0</v>
      </c>
      <c r="AE237" s="938">
        <f t="shared" si="127"/>
        <v>0</v>
      </c>
      <c r="AF237" s="938">
        <f t="shared" si="128"/>
        <v>0</v>
      </c>
      <c r="AG237" s="938">
        <f t="shared" si="129"/>
        <v>0</v>
      </c>
      <c r="AH237" s="1174">
        <f t="shared" si="135"/>
        <v>0</v>
      </c>
      <c r="AI237" s="938">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9">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50">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8">
        <f t="shared" si="134"/>
        <v>0</v>
      </c>
      <c r="AE238" s="938">
        <f t="shared" si="127"/>
        <v>0</v>
      </c>
      <c r="AF238" s="938">
        <f t="shared" si="128"/>
        <v>0</v>
      </c>
      <c r="AG238" s="938">
        <f t="shared" si="129"/>
        <v>0</v>
      </c>
      <c r="AH238" s="1174">
        <f t="shared" si="135"/>
        <v>0</v>
      </c>
      <c r="AI238" s="938">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9">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50">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8">
        <f t="shared" si="134"/>
        <v>0</v>
      </c>
      <c r="AE239" s="938">
        <f t="shared" si="127"/>
        <v>0</v>
      </c>
      <c r="AF239" s="938">
        <f t="shared" si="128"/>
        <v>0</v>
      </c>
      <c r="AG239" s="938">
        <f t="shared" si="129"/>
        <v>0</v>
      </c>
      <c r="AH239" s="1174">
        <f t="shared" si="135"/>
        <v>0</v>
      </c>
      <c r="AI239" s="938">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9">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50">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8">
        <f t="shared" si="134"/>
        <v>0</v>
      </c>
      <c r="AE240" s="938">
        <f t="shared" si="127"/>
        <v>0</v>
      </c>
      <c r="AF240" s="938">
        <f t="shared" si="128"/>
        <v>0</v>
      </c>
      <c r="AG240" s="938">
        <f t="shared" si="129"/>
        <v>0</v>
      </c>
      <c r="AH240" s="1174">
        <f t="shared" si="135"/>
        <v>0</v>
      </c>
      <c r="AI240" s="938">
        <f t="shared" si="136"/>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9">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50">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8">
        <f t="shared" si="134"/>
        <v>0</v>
      </c>
      <c r="AE241" s="938">
        <f t="shared" si="127"/>
        <v>0</v>
      </c>
      <c r="AF241" s="938">
        <f t="shared" si="128"/>
        <v>0</v>
      </c>
      <c r="AG241" s="938">
        <f t="shared" si="129"/>
        <v>0</v>
      </c>
      <c r="AH241" s="1174">
        <f t="shared" si="135"/>
        <v>0</v>
      </c>
      <c r="AI241" s="938">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9">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50">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8">
        <f t="shared" si="134"/>
        <v>0</v>
      </c>
      <c r="AE242" s="938">
        <f t="shared" si="127"/>
        <v>0</v>
      </c>
      <c r="AF242" s="938">
        <f t="shared" si="128"/>
        <v>0</v>
      </c>
      <c r="AG242" s="938">
        <f t="shared" si="129"/>
        <v>0</v>
      </c>
      <c r="AH242" s="1174">
        <f t="shared" si="135"/>
        <v>0</v>
      </c>
      <c r="AI242" s="938">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9">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50">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8">
        <f t="shared" si="134"/>
        <v>0</v>
      </c>
      <c r="AE243" s="938">
        <f t="shared" si="127"/>
        <v>0</v>
      </c>
      <c r="AF243" s="938">
        <f t="shared" si="128"/>
        <v>0</v>
      </c>
      <c r="AG243" s="938">
        <f t="shared" si="129"/>
        <v>0</v>
      </c>
      <c r="AH243" s="1174">
        <f t="shared" si="135"/>
        <v>0</v>
      </c>
      <c r="AI243" s="938">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9">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50">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8">
        <f t="shared" si="134"/>
        <v>0</v>
      </c>
      <c r="AE244" s="938">
        <f t="shared" si="127"/>
        <v>0</v>
      </c>
      <c r="AF244" s="938">
        <f t="shared" si="128"/>
        <v>0</v>
      </c>
      <c r="AG244" s="938">
        <f t="shared" si="129"/>
        <v>0</v>
      </c>
      <c r="AH244" s="1174">
        <f t="shared" si="135"/>
        <v>0</v>
      </c>
      <c r="AI244" s="938">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9">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50">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8">
        <f t="shared" si="134"/>
        <v>0</v>
      </c>
      <c r="AE245" s="938">
        <f t="shared" si="127"/>
        <v>0</v>
      </c>
      <c r="AF245" s="938">
        <f t="shared" si="128"/>
        <v>0</v>
      </c>
      <c r="AG245" s="938">
        <f t="shared" si="129"/>
        <v>0</v>
      </c>
      <c r="AH245" s="1174">
        <f t="shared" si="135"/>
        <v>0</v>
      </c>
      <c r="AI245" s="938">
        <f t="shared" si="136"/>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9">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50">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8">
        <f t="shared" si="134"/>
        <v>0</v>
      </c>
      <c r="AE246" s="938">
        <f t="shared" si="127"/>
        <v>0</v>
      </c>
      <c r="AF246" s="938">
        <f t="shared" si="128"/>
        <v>0</v>
      </c>
      <c r="AG246" s="938">
        <f t="shared" si="129"/>
        <v>0</v>
      </c>
      <c r="AH246" s="1174">
        <f t="shared" si="135"/>
        <v>0</v>
      </c>
      <c r="AI246" s="938">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9">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50">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8">
        <f t="shared" si="134"/>
        <v>0</v>
      </c>
      <c r="AE247" s="938">
        <f t="shared" si="127"/>
        <v>0</v>
      </c>
      <c r="AF247" s="938">
        <f t="shared" si="128"/>
        <v>0</v>
      </c>
      <c r="AG247" s="938">
        <f t="shared" si="129"/>
        <v>0</v>
      </c>
      <c r="AH247" s="1174">
        <f t="shared" si="135"/>
        <v>0</v>
      </c>
      <c r="AI247" s="938">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9">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50">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8">
        <f t="shared" si="134"/>
        <v>0</v>
      </c>
      <c r="AE248" s="938">
        <f>SUMPRODUCT($B$74:$L$74,B248:L248)</f>
        <v>0</v>
      </c>
      <c r="AF248" s="938">
        <f>SUMPRODUCT($O$74:$Y$74,O248:Y248)</f>
        <v>0</v>
      </c>
      <c r="AG248" s="938">
        <f>SUM(AE248:AF248)</f>
        <v>0</v>
      </c>
      <c r="AH248" s="1174">
        <f t="shared" si="135"/>
        <v>0</v>
      </c>
      <c r="AI248" s="938">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9">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50">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8">
        <f t="shared" si="134"/>
        <v>0</v>
      </c>
      <c r="AE249" s="938">
        <f t="shared" ref="AE249:AE275" si="137">SUMPRODUCT($B$74:$L$74,B249:L249)</f>
        <v>0</v>
      </c>
      <c r="AF249" s="938">
        <f t="shared" ref="AF249:AF275" si="138">SUMPRODUCT($O$74:$Y$74,O249:Y249)</f>
        <v>0</v>
      </c>
      <c r="AG249" s="938">
        <f t="shared" ref="AG249:AG275" si="139">SUM(AE249:AF249)</f>
        <v>0</v>
      </c>
      <c r="AH249" s="1174">
        <f t="shared" si="135"/>
        <v>0</v>
      </c>
      <c r="AI249" s="938">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9">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50">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8">
        <f t="shared" si="134"/>
        <v>0</v>
      </c>
      <c r="AE250" s="938">
        <f t="shared" si="137"/>
        <v>0</v>
      </c>
      <c r="AF250" s="938">
        <f t="shared" si="138"/>
        <v>0</v>
      </c>
      <c r="AG250" s="938">
        <f t="shared" si="139"/>
        <v>0</v>
      </c>
      <c r="AH250" s="1174">
        <f t="shared" si="135"/>
        <v>0</v>
      </c>
      <c r="AI250" s="938">
        <f t="shared" si="136"/>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9">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50">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8">
        <f t="shared" si="134"/>
        <v>0</v>
      </c>
      <c r="AE251" s="938">
        <f t="shared" si="137"/>
        <v>0</v>
      </c>
      <c r="AF251" s="938">
        <f t="shared" si="138"/>
        <v>0</v>
      </c>
      <c r="AG251" s="938">
        <f t="shared" si="139"/>
        <v>0</v>
      </c>
      <c r="AH251" s="1174">
        <f t="shared" si="135"/>
        <v>0</v>
      </c>
      <c r="AI251" s="938">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9">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50">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8">
        <f t="shared" si="134"/>
        <v>0</v>
      </c>
      <c r="AE252" s="938">
        <f t="shared" si="137"/>
        <v>0</v>
      </c>
      <c r="AF252" s="938">
        <f t="shared" si="138"/>
        <v>0</v>
      </c>
      <c r="AG252" s="938">
        <f t="shared" si="139"/>
        <v>0</v>
      </c>
      <c r="AH252" s="1174">
        <f t="shared" si="135"/>
        <v>0</v>
      </c>
      <c r="AI252" s="938">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9">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50">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8">
        <f t="shared" si="134"/>
        <v>0</v>
      </c>
      <c r="AE253" s="938">
        <f t="shared" si="137"/>
        <v>0</v>
      </c>
      <c r="AF253" s="938">
        <f t="shared" si="138"/>
        <v>0</v>
      </c>
      <c r="AG253" s="938">
        <f t="shared" si="139"/>
        <v>0</v>
      </c>
      <c r="AH253" s="1174">
        <f t="shared" si="135"/>
        <v>0</v>
      </c>
      <c r="AI253" s="938">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9">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50">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8">
        <f t="shared" si="134"/>
        <v>0</v>
      </c>
      <c r="AE254" s="938">
        <f t="shared" si="137"/>
        <v>0</v>
      </c>
      <c r="AF254" s="938">
        <f t="shared" si="138"/>
        <v>0</v>
      </c>
      <c r="AG254" s="938">
        <f t="shared" si="139"/>
        <v>0</v>
      </c>
      <c r="AH254" s="1174">
        <f t="shared" si="135"/>
        <v>0</v>
      </c>
      <c r="AI254" s="938">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9">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50">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8">
        <f t="shared" si="134"/>
        <v>0</v>
      </c>
      <c r="AE255" s="938">
        <f t="shared" si="137"/>
        <v>0</v>
      </c>
      <c r="AF255" s="938">
        <f t="shared" si="138"/>
        <v>0</v>
      </c>
      <c r="AG255" s="938">
        <f t="shared" si="139"/>
        <v>0</v>
      </c>
      <c r="AH255" s="1174">
        <f t="shared" si="135"/>
        <v>0</v>
      </c>
      <c r="AI255" s="938">
        <f t="shared" si="136"/>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9">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50">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8">
        <f t="shared" si="134"/>
        <v>0</v>
      </c>
      <c r="AE256" s="938">
        <f t="shared" si="137"/>
        <v>0</v>
      </c>
      <c r="AF256" s="938">
        <f t="shared" si="138"/>
        <v>0</v>
      </c>
      <c r="AG256" s="938">
        <f t="shared" si="139"/>
        <v>0</v>
      </c>
      <c r="AH256" s="1174">
        <f t="shared" si="135"/>
        <v>0</v>
      </c>
      <c r="AI256" s="938">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9">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50">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8">
        <f t="shared" si="134"/>
        <v>0</v>
      </c>
      <c r="AE257" s="938">
        <f t="shared" si="137"/>
        <v>0</v>
      </c>
      <c r="AF257" s="938">
        <f t="shared" si="138"/>
        <v>0</v>
      </c>
      <c r="AG257" s="938">
        <f t="shared" si="139"/>
        <v>0</v>
      </c>
      <c r="AH257" s="1174">
        <f t="shared" si="135"/>
        <v>0</v>
      </c>
      <c r="AI257" s="938">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9">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50">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8">
        <f t="shared" si="134"/>
        <v>0</v>
      </c>
      <c r="AE258" s="938">
        <f t="shared" si="137"/>
        <v>0</v>
      </c>
      <c r="AF258" s="938">
        <f t="shared" si="138"/>
        <v>0</v>
      </c>
      <c r="AG258" s="938">
        <f t="shared" si="139"/>
        <v>0</v>
      </c>
      <c r="AH258" s="1174">
        <f t="shared" si="135"/>
        <v>0</v>
      </c>
      <c r="AI258" s="938">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9">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50">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8">
        <f>AB259*AH259+AC259*AI259</f>
        <v>0</v>
      </c>
      <c r="AE259" s="938">
        <f t="shared" si="137"/>
        <v>0</v>
      </c>
      <c r="AF259" s="938">
        <f t="shared" si="138"/>
        <v>0</v>
      </c>
      <c r="AG259" s="938">
        <f t="shared" si="139"/>
        <v>0</v>
      </c>
      <c r="AH259" s="1174">
        <f t="shared" si="135"/>
        <v>0</v>
      </c>
      <c r="AI259" s="938">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9">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50">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8">
        <f t="shared" ref="AD260:AD276" si="140">AB260*AH260+AC260*AI260</f>
        <v>0</v>
      </c>
      <c r="AE260" s="938">
        <f t="shared" si="137"/>
        <v>0</v>
      </c>
      <c r="AF260" s="938">
        <f t="shared" si="138"/>
        <v>0</v>
      </c>
      <c r="AG260" s="938">
        <f t="shared" si="139"/>
        <v>0</v>
      </c>
      <c r="AH260" s="1174">
        <f t="shared" si="135"/>
        <v>0</v>
      </c>
      <c r="AI260" s="938">
        <f t="shared" si="136"/>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9">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50">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8">
        <f t="shared" si="140"/>
        <v>0</v>
      </c>
      <c r="AE261" s="938">
        <f t="shared" si="137"/>
        <v>0</v>
      </c>
      <c r="AF261" s="938">
        <f t="shared" si="138"/>
        <v>0</v>
      </c>
      <c r="AG261" s="938">
        <f t="shared" si="139"/>
        <v>0</v>
      </c>
      <c r="AH261" s="1174">
        <f t="shared" si="135"/>
        <v>0</v>
      </c>
      <c r="AI261" s="938">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9">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50">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8">
        <f t="shared" si="140"/>
        <v>0</v>
      </c>
      <c r="AE262" s="938">
        <f t="shared" si="137"/>
        <v>0</v>
      </c>
      <c r="AF262" s="938">
        <f t="shared" si="138"/>
        <v>0</v>
      </c>
      <c r="AG262" s="938">
        <f t="shared" si="139"/>
        <v>0</v>
      </c>
      <c r="AH262" s="1174">
        <f t="shared" si="135"/>
        <v>0</v>
      </c>
      <c r="AI262" s="938">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9">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50">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8">
        <f t="shared" si="140"/>
        <v>0</v>
      </c>
      <c r="AE263" s="938">
        <f t="shared" si="137"/>
        <v>0</v>
      </c>
      <c r="AF263" s="938">
        <f t="shared" si="138"/>
        <v>0</v>
      </c>
      <c r="AG263" s="938">
        <f t="shared" si="139"/>
        <v>0</v>
      </c>
      <c r="AH263" s="1174">
        <f t="shared" si="135"/>
        <v>0</v>
      </c>
      <c r="AI263" s="938">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9">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50">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8">
        <f t="shared" si="140"/>
        <v>0</v>
      </c>
      <c r="AE264" s="938">
        <f t="shared" si="137"/>
        <v>0</v>
      </c>
      <c r="AF264" s="938">
        <f t="shared" si="138"/>
        <v>0</v>
      </c>
      <c r="AG264" s="938">
        <f t="shared" si="139"/>
        <v>0</v>
      </c>
      <c r="AH264" s="1174">
        <f t="shared" si="135"/>
        <v>0</v>
      </c>
      <c r="AI264" s="938">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0</v>
      </c>
      <c r="X265" s="345">
        <v>0</v>
      </c>
      <c r="Y265" s="380">
        <v>0</v>
      </c>
      <c r="Z265" s="296">
        <f t="shared" si="132"/>
        <v>0</v>
      </c>
      <c r="AA265" s="298">
        <f t="shared" si="133"/>
        <v>0</v>
      </c>
      <c r="AB265" s="949">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50">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8">
        <f t="shared" si="140"/>
        <v>0</v>
      </c>
      <c r="AE265" s="938">
        <f t="shared" si="137"/>
        <v>0</v>
      </c>
      <c r="AF265" s="938">
        <f t="shared" si="138"/>
        <v>0</v>
      </c>
      <c r="AG265" s="938">
        <f t="shared" si="139"/>
        <v>0</v>
      </c>
      <c r="AH265" s="1174">
        <f t="shared" si="135"/>
        <v>0</v>
      </c>
      <c r="AI265" s="938">
        <f t="shared" si="136"/>
        <v>0</v>
      </c>
    </row>
    <row r="266" spans="1:35" ht="13.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30"/>
        <v>0</v>
      </c>
      <c r="N266" s="312">
        <f t="shared" si="131"/>
        <v>0</v>
      </c>
      <c r="O266" s="346">
        <v>0</v>
      </c>
      <c r="P266" s="347">
        <v>0</v>
      </c>
      <c r="Q266" s="347">
        <v>0</v>
      </c>
      <c r="R266" s="347">
        <v>0</v>
      </c>
      <c r="S266" s="347">
        <v>0</v>
      </c>
      <c r="T266" s="347">
        <v>0</v>
      </c>
      <c r="U266" s="347">
        <v>0</v>
      </c>
      <c r="V266" s="347">
        <v>0</v>
      </c>
      <c r="W266" s="347">
        <v>0</v>
      </c>
      <c r="X266" s="347">
        <v>0</v>
      </c>
      <c r="Y266" s="381">
        <v>0</v>
      </c>
      <c r="Z266" s="310">
        <f t="shared" si="132"/>
        <v>0</v>
      </c>
      <c r="AA266" s="312">
        <f t="shared" si="133"/>
        <v>0</v>
      </c>
      <c r="AB266" s="949">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50">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8">
        <f t="shared" si="140"/>
        <v>0</v>
      </c>
      <c r="AE266" s="938">
        <f t="shared" si="137"/>
        <v>0</v>
      </c>
      <c r="AF266" s="938">
        <f t="shared" si="138"/>
        <v>0</v>
      </c>
      <c r="AG266" s="938">
        <f t="shared" si="139"/>
        <v>0</v>
      </c>
      <c r="AH266" s="1174">
        <f t="shared" si="135"/>
        <v>0</v>
      </c>
      <c r="AI266" s="938">
        <f t="shared" si="136"/>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30"/>
        <v>0</v>
      </c>
      <c r="N267" s="284">
        <f t="shared" si="131"/>
        <v>0</v>
      </c>
      <c r="O267" s="342">
        <v>0</v>
      </c>
      <c r="P267" s="343">
        <v>0</v>
      </c>
      <c r="Q267" s="343">
        <v>0</v>
      </c>
      <c r="R267" s="343">
        <v>0</v>
      </c>
      <c r="S267" s="343">
        <v>0</v>
      </c>
      <c r="T267" s="343">
        <v>0</v>
      </c>
      <c r="U267" s="343">
        <v>0</v>
      </c>
      <c r="V267" s="343">
        <v>0</v>
      </c>
      <c r="W267" s="343">
        <v>0</v>
      </c>
      <c r="X267" s="343">
        <v>0</v>
      </c>
      <c r="Y267" s="379">
        <v>0</v>
      </c>
      <c r="Z267" s="282">
        <f t="shared" si="132"/>
        <v>0</v>
      </c>
      <c r="AA267" s="284">
        <f t="shared" si="133"/>
        <v>0</v>
      </c>
      <c r="AB267" s="949">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50">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8">
        <f t="shared" si="140"/>
        <v>0</v>
      </c>
      <c r="AE267" s="938">
        <f t="shared" si="137"/>
        <v>0</v>
      </c>
      <c r="AF267" s="938">
        <f t="shared" si="138"/>
        <v>0</v>
      </c>
      <c r="AG267" s="938">
        <f t="shared" si="139"/>
        <v>0</v>
      </c>
      <c r="AH267" s="1174">
        <f t="shared" si="135"/>
        <v>0</v>
      </c>
      <c r="AI267" s="938">
        <f t="shared" si="136"/>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30"/>
        <v>0</v>
      </c>
      <c r="N268" s="298">
        <f t="shared" si="131"/>
        <v>0</v>
      </c>
      <c r="O268" s="344">
        <v>0</v>
      </c>
      <c r="P268" s="345">
        <v>0</v>
      </c>
      <c r="Q268" s="345">
        <v>7.1774469186843643E-4</v>
      </c>
      <c r="R268" s="345">
        <v>0</v>
      </c>
      <c r="S268" s="345">
        <v>0</v>
      </c>
      <c r="T268" s="345">
        <v>0</v>
      </c>
      <c r="U268" s="345">
        <v>0</v>
      </c>
      <c r="V268" s="345">
        <v>0</v>
      </c>
      <c r="W268" s="345">
        <v>0</v>
      </c>
      <c r="X268" s="345">
        <v>0</v>
      </c>
      <c r="Y268" s="380">
        <v>0</v>
      </c>
      <c r="Z268" s="296">
        <f t="shared" si="132"/>
        <v>3.0061382098079453E-5</v>
      </c>
      <c r="AA268" s="298">
        <f t="shared" si="133"/>
        <v>4.4727041266095562E-5</v>
      </c>
      <c r="AB268" s="949">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50">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8">
        <f t="shared" si="140"/>
        <v>0</v>
      </c>
      <c r="AE268" s="938">
        <f t="shared" si="137"/>
        <v>0</v>
      </c>
      <c r="AF268" s="938">
        <f t="shared" si="138"/>
        <v>3.0061382098079453E-5</v>
      </c>
      <c r="AG268" s="938">
        <f t="shared" si="139"/>
        <v>3.0061382098079453E-5</v>
      </c>
      <c r="AH268" s="1174">
        <f t="shared" si="135"/>
        <v>0</v>
      </c>
      <c r="AI268" s="938">
        <f t="shared" si="136"/>
        <v>1</v>
      </c>
    </row>
    <row r="269" spans="1:35" x14ac:dyDescent="0.2">
      <c r="A269" s="330">
        <v>2043</v>
      </c>
      <c r="B269" s="344">
        <v>0</v>
      </c>
      <c r="C269" s="345">
        <v>0</v>
      </c>
      <c r="D269" s="345">
        <v>4.9276486590093399E-3</v>
      </c>
      <c r="E269" s="345">
        <v>0</v>
      </c>
      <c r="F269" s="345">
        <v>0</v>
      </c>
      <c r="G269" s="345">
        <v>0</v>
      </c>
      <c r="H269" s="345">
        <v>0</v>
      </c>
      <c r="I269" s="345">
        <v>0</v>
      </c>
      <c r="J269" s="345">
        <v>0</v>
      </c>
      <c r="K269" s="345">
        <v>0</v>
      </c>
      <c r="L269" s="380">
        <v>0</v>
      </c>
      <c r="M269" s="296">
        <f t="shared" si="130"/>
        <v>2.954378018111354E-4</v>
      </c>
      <c r="N269" s="298">
        <f t="shared" si="131"/>
        <v>4.5264026257242591E-4</v>
      </c>
      <c r="O269" s="344">
        <v>0</v>
      </c>
      <c r="P269" s="345">
        <v>9.6930734238168172E-5</v>
      </c>
      <c r="Q269" s="345">
        <v>2.8900804652809767E-2</v>
      </c>
      <c r="R269" s="345">
        <v>0</v>
      </c>
      <c r="S269" s="345">
        <v>0</v>
      </c>
      <c r="T269" s="345">
        <v>0</v>
      </c>
      <c r="U269" s="345">
        <v>0</v>
      </c>
      <c r="V269" s="345">
        <v>0</v>
      </c>
      <c r="W269" s="345">
        <v>0</v>
      </c>
      <c r="X269" s="345">
        <v>0</v>
      </c>
      <c r="Y269" s="380">
        <v>0</v>
      </c>
      <c r="Z269" s="296">
        <f t="shared" si="132"/>
        <v>1.2131274525539583E-3</v>
      </c>
      <c r="AA269" s="298">
        <f t="shared" si="133"/>
        <v>1.8074826841788486E-3</v>
      </c>
      <c r="AB269" s="949">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50">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8">
        <f t="shared" si="140"/>
        <v>0</v>
      </c>
      <c r="AE269" s="938">
        <f t="shared" si="137"/>
        <v>2.954378018111354E-4</v>
      </c>
      <c r="AF269" s="938">
        <f t="shared" si="138"/>
        <v>1.2131274525539583E-3</v>
      </c>
      <c r="AG269" s="938">
        <f t="shared" si="139"/>
        <v>1.5085652543650938E-3</v>
      </c>
      <c r="AH269" s="1174">
        <f t="shared" si="135"/>
        <v>0.19584025348341699</v>
      </c>
      <c r="AI269" s="938">
        <f t="shared" si="136"/>
        <v>0.80415974651658295</v>
      </c>
    </row>
    <row r="270" spans="1:35" x14ac:dyDescent="0.2">
      <c r="A270" s="330">
        <v>2044</v>
      </c>
      <c r="B270" s="344">
        <v>0</v>
      </c>
      <c r="C270" s="345">
        <v>7.2070275929600751E-4</v>
      </c>
      <c r="D270" s="345">
        <v>4.6676558376573467E-2</v>
      </c>
      <c r="E270" s="345">
        <v>0</v>
      </c>
      <c r="F270" s="345">
        <v>0</v>
      </c>
      <c r="G270" s="345">
        <v>0</v>
      </c>
      <c r="H270" s="345">
        <v>0</v>
      </c>
      <c r="I270" s="345">
        <v>0</v>
      </c>
      <c r="J270" s="345">
        <v>0</v>
      </c>
      <c r="K270" s="345">
        <v>0</v>
      </c>
      <c r="L270" s="380">
        <v>0</v>
      </c>
      <c r="M270" s="296">
        <f t="shared" si="130"/>
        <v>2.8237013400573292E-3</v>
      </c>
      <c r="N270" s="298">
        <f t="shared" si="131"/>
        <v>4.3521920230753198E-3</v>
      </c>
      <c r="O270" s="344">
        <v>0</v>
      </c>
      <c r="P270" s="345">
        <v>5.3216765201612613E-3</v>
      </c>
      <c r="Q270" s="345">
        <v>7.9572025190607895E-2</v>
      </c>
      <c r="R270" s="345">
        <v>0</v>
      </c>
      <c r="S270" s="345">
        <v>0</v>
      </c>
      <c r="T270" s="345">
        <v>0</v>
      </c>
      <c r="U270" s="345">
        <v>0</v>
      </c>
      <c r="V270" s="345">
        <v>0</v>
      </c>
      <c r="W270" s="345">
        <v>0</v>
      </c>
      <c r="X270" s="345">
        <v>0</v>
      </c>
      <c r="Y270" s="380">
        <v>0</v>
      </c>
      <c r="Z270" s="296">
        <f t="shared" si="132"/>
        <v>3.4794099526623649E-3</v>
      </c>
      <c r="AA270" s="298">
        <f t="shared" si="133"/>
        <v>5.3153477155780636E-3</v>
      </c>
      <c r="AB270" s="949">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50">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8">
        <f t="shared" si="140"/>
        <v>0</v>
      </c>
      <c r="AE270" s="938">
        <f t="shared" si="137"/>
        <v>2.8237013400573292E-3</v>
      </c>
      <c r="AF270" s="938">
        <f t="shared" si="138"/>
        <v>3.4794099526623649E-3</v>
      </c>
      <c r="AG270" s="938">
        <f t="shared" si="139"/>
        <v>6.3031112927196941E-3</v>
      </c>
      <c r="AH270" s="1174">
        <f t="shared" si="135"/>
        <v>0.44798532168054833</v>
      </c>
      <c r="AI270" s="938">
        <f t="shared" si="136"/>
        <v>0.55201467831945161</v>
      </c>
    </row>
    <row r="271" spans="1:35" ht="13.5" thickBot="1" x14ac:dyDescent="0.25">
      <c r="A271" s="328">
        <v>2045</v>
      </c>
      <c r="B271" s="346">
        <v>0</v>
      </c>
      <c r="C271" s="347">
        <v>1.1754386777541774E-2</v>
      </c>
      <c r="D271" s="347">
        <v>9.6662346323136597E-2</v>
      </c>
      <c r="E271" s="347">
        <v>0</v>
      </c>
      <c r="F271" s="347">
        <v>0</v>
      </c>
      <c r="G271" s="347">
        <v>0</v>
      </c>
      <c r="H271" s="347">
        <v>0</v>
      </c>
      <c r="I271" s="347">
        <v>0</v>
      </c>
      <c r="J271" s="347">
        <v>0</v>
      </c>
      <c r="K271" s="347">
        <v>0</v>
      </c>
      <c r="L271" s="381">
        <v>0</v>
      </c>
      <c r="M271" s="310">
        <f t="shared" si="130"/>
        <v>6.2064439425899053E-3</v>
      </c>
      <c r="N271" s="312">
        <f t="shared" si="131"/>
        <v>9.9329289216998004E-3</v>
      </c>
      <c r="O271" s="346">
        <v>0</v>
      </c>
      <c r="P271" s="347">
        <v>2.465268574427627E-2</v>
      </c>
      <c r="Q271" s="347">
        <v>0.11986324634701903</v>
      </c>
      <c r="R271" s="347">
        <v>0</v>
      </c>
      <c r="S271" s="347">
        <v>0</v>
      </c>
      <c r="T271" s="347">
        <v>0</v>
      </c>
      <c r="U271" s="347">
        <v>0</v>
      </c>
      <c r="V271" s="347">
        <v>0</v>
      </c>
      <c r="W271" s="347">
        <v>0</v>
      </c>
      <c r="X271" s="347">
        <v>0</v>
      </c>
      <c r="Y271" s="381">
        <v>0</v>
      </c>
      <c r="Z271" s="310">
        <f t="shared" si="132"/>
        <v>5.6997685076460832E-3</v>
      </c>
      <c r="AA271" s="312">
        <f t="shared" si="133"/>
        <v>9.1219634766276109E-3</v>
      </c>
      <c r="AB271" s="949">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50">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8">
        <f t="shared" si="140"/>
        <v>0</v>
      </c>
      <c r="AE271" s="938">
        <f t="shared" si="137"/>
        <v>6.2064439425899053E-3</v>
      </c>
      <c r="AF271" s="938">
        <f t="shared" si="138"/>
        <v>5.6997685076460832E-3</v>
      </c>
      <c r="AG271" s="938">
        <f t="shared" si="139"/>
        <v>1.1906212450235988E-2</v>
      </c>
      <c r="AH271" s="1174">
        <f t="shared" si="135"/>
        <v>0.5212777756596213</v>
      </c>
      <c r="AI271" s="938">
        <f t="shared" si="136"/>
        <v>0.47872222434037875</v>
      </c>
    </row>
    <row r="272" spans="1:35" x14ac:dyDescent="0.2">
      <c r="A272" s="329">
        <v>2046</v>
      </c>
      <c r="B272" s="342">
        <v>0</v>
      </c>
      <c r="C272" s="343">
        <v>3.404795661630737E-2</v>
      </c>
      <c r="D272" s="343">
        <v>0.12499032109162464</v>
      </c>
      <c r="E272" s="343">
        <v>0</v>
      </c>
      <c r="F272" s="343">
        <v>0</v>
      </c>
      <c r="G272" s="343">
        <v>0</v>
      </c>
      <c r="H272" s="343">
        <v>0</v>
      </c>
      <c r="I272" s="343">
        <v>0</v>
      </c>
      <c r="J272" s="343">
        <v>0</v>
      </c>
      <c r="K272" s="343">
        <v>0</v>
      </c>
      <c r="L272" s="379">
        <v>0</v>
      </c>
      <c r="M272" s="282">
        <f t="shared" si="130"/>
        <v>8.6844380142987107E-3</v>
      </c>
      <c r="N272" s="284">
        <f t="shared" si="131"/>
        <v>1.4533697623436403E-2</v>
      </c>
      <c r="O272" s="342">
        <v>0</v>
      </c>
      <c r="P272" s="343">
        <v>5.3628984721275676E-2</v>
      </c>
      <c r="Q272" s="343">
        <v>0.14201398342474783</v>
      </c>
      <c r="R272" s="343">
        <v>0</v>
      </c>
      <c r="S272" s="343">
        <v>0</v>
      </c>
      <c r="T272" s="343">
        <v>0</v>
      </c>
      <c r="U272" s="343">
        <v>0</v>
      </c>
      <c r="V272" s="343">
        <v>0</v>
      </c>
      <c r="W272" s="343">
        <v>0</v>
      </c>
      <c r="X272" s="343">
        <v>0</v>
      </c>
      <c r="Y272" s="379">
        <v>0</v>
      </c>
      <c r="Z272" s="282">
        <f t="shared" si="132"/>
        <v>7.4262083088178985E-3</v>
      </c>
      <c r="AA272" s="284">
        <f t="shared" si="133"/>
        <v>1.2444692408456482E-2</v>
      </c>
      <c r="AB272" s="949">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50">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8">
        <f t="shared" si="140"/>
        <v>0</v>
      </c>
      <c r="AE272" s="938">
        <f t="shared" si="137"/>
        <v>8.6844380142987107E-3</v>
      </c>
      <c r="AF272" s="938">
        <f t="shared" si="138"/>
        <v>7.4262083088178985E-3</v>
      </c>
      <c r="AG272" s="938">
        <f t="shared" si="139"/>
        <v>1.6110646323116609E-2</v>
      </c>
      <c r="AH272" s="1174">
        <f t="shared" si="135"/>
        <v>0.53904963464052402</v>
      </c>
      <c r="AI272" s="938">
        <f t="shared" si="136"/>
        <v>0.46095036535947592</v>
      </c>
    </row>
    <row r="273" spans="1:39" x14ac:dyDescent="0.2">
      <c r="A273" s="330">
        <v>2047</v>
      </c>
      <c r="B273" s="344">
        <v>0</v>
      </c>
      <c r="C273" s="345">
        <v>5.6462435041993601E-2</v>
      </c>
      <c r="D273" s="345">
        <v>0.1487335395888926</v>
      </c>
      <c r="E273" s="345">
        <v>0</v>
      </c>
      <c r="F273" s="345">
        <v>0</v>
      </c>
      <c r="G273" s="345">
        <v>0</v>
      </c>
      <c r="H273" s="345">
        <v>0</v>
      </c>
      <c r="I273" s="345">
        <v>0</v>
      </c>
      <c r="J273" s="345">
        <v>0</v>
      </c>
      <c r="K273" s="345">
        <v>0</v>
      </c>
      <c r="L273" s="380">
        <v>0</v>
      </c>
      <c r="M273" s="296">
        <f t="shared" si="130"/>
        <v>1.0891780508999558E-2</v>
      </c>
      <c r="N273" s="298">
        <f t="shared" si="131"/>
        <v>1.8724162779631182E-2</v>
      </c>
      <c r="O273" s="344">
        <v>0</v>
      </c>
      <c r="P273" s="345">
        <v>7.9333348374224691E-2</v>
      </c>
      <c r="Q273" s="345">
        <v>0.15047988959679195</v>
      </c>
      <c r="R273" s="345">
        <v>0</v>
      </c>
      <c r="S273" s="345">
        <v>0</v>
      </c>
      <c r="T273" s="345">
        <v>0</v>
      </c>
      <c r="U273" s="345">
        <v>0</v>
      </c>
      <c r="V273" s="345">
        <v>0</v>
      </c>
      <c r="W273" s="345">
        <v>0</v>
      </c>
      <c r="X273" s="345">
        <v>0</v>
      </c>
      <c r="Y273" s="380">
        <v>0</v>
      </c>
      <c r="Z273" s="296">
        <f t="shared" si="132"/>
        <v>8.4892976983831619E-3</v>
      </c>
      <c r="AA273" s="298">
        <f t="shared" si="133"/>
        <v>1.469530706123332E-2</v>
      </c>
      <c r="AB273" s="949">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50">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8">
        <f t="shared" si="140"/>
        <v>0</v>
      </c>
      <c r="AE273" s="938">
        <f t="shared" si="137"/>
        <v>1.0891780508999558E-2</v>
      </c>
      <c r="AF273" s="938">
        <f t="shared" si="138"/>
        <v>8.4892976983831619E-3</v>
      </c>
      <c r="AG273" s="938">
        <f t="shared" si="139"/>
        <v>1.9381078207382718E-2</v>
      </c>
      <c r="AH273" s="1174">
        <f t="shared" si="135"/>
        <v>0.56198011237840306</v>
      </c>
      <c r="AI273" s="938">
        <f t="shared" si="136"/>
        <v>0.43801988762159705</v>
      </c>
    </row>
    <row r="274" spans="1:39" x14ac:dyDescent="0.2">
      <c r="A274" s="330">
        <v>2048</v>
      </c>
      <c r="B274" s="344">
        <v>0</v>
      </c>
      <c r="C274" s="345">
        <v>7.1757390528954773E-2</v>
      </c>
      <c r="D274" s="345">
        <v>0.15992440187820892</v>
      </c>
      <c r="E274" s="345">
        <v>0</v>
      </c>
      <c r="F274" s="345">
        <v>0</v>
      </c>
      <c r="G274" s="345">
        <v>0</v>
      </c>
      <c r="H274" s="345">
        <v>0</v>
      </c>
      <c r="I274" s="345">
        <v>0</v>
      </c>
      <c r="J274" s="345">
        <v>0</v>
      </c>
      <c r="K274" s="345">
        <v>0</v>
      </c>
      <c r="L274" s="380">
        <v>0</v>
      </c>
      <c r="M274" s="296">
        <f t="shared" si="130"/>
        <v>1.2097581367877015E-2</v>
      </c>
      <c r="N274" s="298">
        <f t="shared" si="131"/>
        <v>2.1123331291953654E-2</v>
      </c>
      <c r="O274" s="344">
        <v>0</v>
      </c>
      <c r="P274" s="345">
        <v>9.4393700986444493E-2</v>
      </c>
      <c r="Q274" s="345">
        <v>0.15617598810179392</v>
      </c>
      <c r="R274" s="345">
        <v>0</v>
      </c>
      <c r="S274" s="345">
        <v>0</v>
      </c>
      <c r="T274" s="345">
        <v>0</v>
      </c>
      <c r="U274" s="345">
        <v>0</v>
      </c>
      <c r="V274" s="345">
        <v>0</v>
      </c>
      <c r="W274" s="345">
        <v>0</v>
      </c>
      <c r="X274" s="345">
        <v>0</v>
      </c>
      <c r="Y274" s="380">
        <v>0</v>
      </c>
      <c r="Z274" s="296">
        <f t="shared" si="132"/>
        <v>9.1429891373087137E-3</v>
      </c>
      <c r="AA274" s="298">
        <f t="shared" si="133"/>
        <v>1.6059813219900545E-2</v>
      </c>
      <c r="AB274" s="949">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50">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8">
        <f t="shared" si="140"/>
        <v>0</v>
      </c>
      <c r="AE274" s="938">
        <f t="shared" si="137"/>
        <v>1.2097581367877015E-2</v>
      </c>
      <c r="AF274" s="938">
        <f t="shared" si="138"/>
        <v>9.1429891373087137E-3</v>
      </c>
      <c r="AG274" s="938">
        <f t="shared" si="139"/>
        <v>2.1240570505185727E-2</v>
      </c>
      <c r="AH274" s="1174">
        <f t="shared" si="135"/>
        <v>0.5695506796732922</v>
      </c>
      <c r="AI274" s="938">
        <f t="shared" si="136"/>
        <v>0.43044932032670785</v>
      </c>
    </row>
    <row r="275" spans="1:39" x14ac:dyDescent="0.2">
      <c r="A275" s="330">
        <v>2049</v>
      </c>
      <c r="B275" s="344">
        <v>0</v>
      </c>
      <c r="C275" s="345">
        <v>8.756927573317172E-2</v>
      </c>
      <c r="D275" s="345">
        <v>0.1683336725828152</v>
      </c>
      <c r="E275" s="345">
        <v>0</v>
      </c>
      <c r="F275" s="345">
        <v>0</v>
      </c>
      <c r="G275" s="345">
        <v>0</v>
      </c>
      <c r="H275" s="345">
        <v>0</v>
      </c>
      <c r="I275" s="345">
        <v>0</v>
      </c>
      <c r="J275" s="345">
        <v>0</v>
      </c>
      <c r="K275" s="345">
        <v>0</v>
      </c>
      <c r="L275" s="380">
        <v>0</v>
      </c>
      <c r="M275" s="296">
        <f t="shared" si="130"/>
        <v>1.3154688132176778E-2</v>
      </c>
      <c r="N275" s="298">
        <f t="shared" si="131"/>
        <v>2.3313333665226976E-2</v>
      </c>
      <c r="O275" s="344">
        <v>0</v>
      </c>
      <c r="P275" s="345">
        <v>9.8982419757297491E-2</v>
      </c>
      <c r="Q275" s="345">
        <v>0.16651290377636366</v>
      </c>
      <c r="R275" s="345">
        <v>0</v>
      </c>
      <c r="S275" s="345">
        <v>0</v>
      </c>
      <c r="T275" s="345">
        <v>0</v>
      </c>
      <c r="U275" s="345">
        <v>0</v>
      </c>
      <c r="V275" s="345">
        <v>0</v>
      </c>
      <c r="W275" s="345">
        <v>0</v>
      </c>
      <c r="X275" s="345">
        <v>0</v>
      </c>
      <c r="Y275" s="380">
        <v>0</v>
      </c>
      <c r="Z275" s="296">
        <f t="shared" si="132"/>
        <v>9.7024140406673509E-3</v>
      </c>
      <c r="AA275" s="298">
        <f t="shared" si="133"/>
        <v>1.7011567073285234E-2</v>
      </c>
      <c r="AB275" s="949">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50">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8">
        <f t="shared" si="140"/>
        <v>0</v>
      </c>
      <c r="AE275" s="938">
        <f t="shared" si="137"/>
        <v>1.3154688132176778E-2</v>
      </c>
      <c r="AF275" s="938">
        <f t="shared" si="138"/>
        <v>9.7024140406673509E-3</v>
      </c>
      <c r="AG275" s="938">
        <f t="shared" si="139"/>
        <v>2.2857102172844129E-2</v>
      </c>
      <c r="AH275" s="1174">
        <f t="shared" si="135"/>
        <v>0.57551863017025351</v>
      </c>
      <c r="AI275" s="938">
        <f t="shared" si="136"/>
        <v>0.42448136982974649</v>
      </c>
    </row>
    <row r="276" spans="1:39" ht="13.5" thickBot="1" x14ac:dyDescent="0.25">
      <c r="A276" s="328">
        <v>2050</v>
      </c>
      <c r="B276" s="346">
        <v>0</v>
      </c>
      <c r="C276" s="347">
        <v>0.10355567615036879</v>
      </c>
      <c r="D276" s="347">
        <v>0.17794093765756328</v>
      </c>
      <c r="E276" s="347">
        <v>0</v>
      </c>
      <c r="F276" s="347">
        <v>0</v>
      </c>
      <c r="G276" s="347">
        <v>0</v>
      </c>
      <c r="H276" s="347">
        <v>0</v>
      </c>
      <c r="I276" s="347">
        <v>0</v>
      </c>
      <c r="J276" s="347">
        <v>0</v>
      </c>
      <c r="K276" s="347">
        <v>0</v>
      </c>
      <c r="L276" s="381">
        <v>0</v>
      </c>
      <c r="M276" s="310">
        <f t="shared" si="130"/>
        <v>1.4289723446420693E-2</v>
      </c>
      <c r="N276" s="312">
        <f t="shared" si="131"/>
        <v>2.5629025956195553E-2</v>
      </c>
      <c r="O276" s="346">
        <v>4.9641266562730827E-4</v>
      </c>
      <c r="P276" s="347">
        <v>0.11524465579861289</v>
      </c>
      <c r="Q276" s="347">
        <v>0.16597294313828237</v>
      </c>
      <c r="R276" s="347">
        <v>0</v>
      </c>
      <c r="S276" s="347">
        <v>0</v>
      </c>
      <c r="T276" s="347">
        <v>0</v>
      </c>
      <c r="U276" s="347">
        <v>0</v>
      </c>
      <c r="V276" s="347">
        <v>0</v>
      </c>
      <c r="W276" s="347">
        <v>0</v>
      </c>
      <c r="X276" s="347">
        <v>0</v>
      </c>
      <c r="Y276" s="381">
        <v>0</v>
      </c>
      <c r="Z276" s="310">
        <f t="shared" si="132"/>
        <v>1.0132080711736853E-2</v>
      </c>
      <c r="AA276" s="312">
        <f t="shared" si="133"/>
        <v>1.809089404401016E-2</v>
      </c>
      <c r="AB276" s="951">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2">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8">
        <f t="shared" si="140"/>
        <v>0</v>
      </c>
      <c r="AE276" s="938">
        <f t="shared" ref="AE276" si="141">SUMPRODUCT($B$74:$L$74,B276:L276)</f>
        <v>1.4289723446420693E-2</v>
      </c>
      <c r="AF276" s="938">
        <f t="shared" ref="AF276" si="142">SUMPRODUCT($O$74:$Y$74,O276:Y276)</f>
        <v>1.0132080711736853E-2</v>
      </c>
      <c r="AG276" s="938">
        <f t="shared" ref="AG276" si="143">SUM(AE276:AF276)</f>
        <v>2.4421804158157548E-2</v>
      </c>
      <c r="AH276" s="1174">
        <f t="shared" ref="AH276" si="144">IF(AG276&gt;0,AE276/AG276,0)</f>
        <v>0.58512153131190903</v>
      </c>
      <c r="AI276" s="938">
        <f t="shared" ref="AI276" si="145">IF(AG276&gt;0,AF276/AG276,0)</f>
        <v>0.41487846868809086</v>
      </c>
    </row>
    <row r="277" spans="1:39" x14ac:dyDescent="0.2">
      <c r="B277" s="227" t="str">
        <f>B$120</f>
        <v>Output generated: 4/26/2020 19:05</v>
      </c>
      <c r="O277" s="227" t="str">
        <f>O$120</f>
        <v>Output generated: 4/26/2020 19:05</v>
      </c>
      <c r="AE277" s="938"/>
      <c r="AF277" s="938"/>
      <c r="AG277" s="938"/>
      <c r="AH277" s="938"/>
      <c r="AI277" s="938"/>
    </row>
    <row r="278" spans="1:39" x14ac:dyDescent="0.2">
      <c r="AE278" s="938"/>
      <c r="AF278" s="938"/>
      <c r="AG278" s="938"/>
      <c r="AH278" s="938"/>
      <c r="AI278" s="938"/>
    </row>
    <row r="279" spans="1:39" ht="13.5" thickBot="1" x14ac:dyDescent="0.25">
      <c r="AE279" s="938"/>
      <c r="AF279" s="938"/>
      <c r="AG279" s="938"/>
      <c r="AH279" s="938"/>
      <c r="AI279" s="938"/>
    </row>
    <row r="280" spans="1:39" ht="15" x14ac:dyDescent="0.25">
      <c r="A280" s="333"/>
      <c r="B280" s="1559" t="s">
        <v>260</v>
      </c>
      <c r="C280" s="1560"/>
      <c r="D280" s="1560"/>
      <c r="E280" s="1560"/>
      <c r="F280" s="1560"/>
      <c r="G280" s="1560"/>
      <c r="H280" s="1560"/>
      <c r="I280" s="1560"/>
      <c r="J280" s="1560"/>
      <c r="K280" s="1560"/>
      <c r="L280" s="1560"/>
      <c r="M280" s="1560"/>
      <c r="N280" s="1561"/>
      <c r="O280" s="1559" t="s">
        <v>261</v>
      </c>
      <c r="P280" s="1560"/>
      <c r="Q280" s="1560"/>
      <c r="R280" s="1560"/>
      <c r="S280" s="1560"/>
      <c r="T280" s="1560"/>
      <c r="U280" s="1560"/>
      <c r="V280" s="1560"/>
      <c r="W280" s="1560"/>
      <c r="X280" s="1560"/>
      <c r="Y280" s="1560"/>
      <c r="Z280" s="1560"/>
      <c r="AA280" s="1561"/>
      <c r="AE280" s="938"/>
      <c r="AF280" s="938"/>
      <c r="AG280" s="938"/>
      <c r="AH280" s="938"/>
      <c r="AI280" s="938"/>
    </row>
    <row r="281" spans="1:39" x14ac:dyDescent="0.2">
      <c r="A281" s="324"/>
      <c r="B281" s="1556" t="s">
        <v>121</v>
      </c>
      <c r="C281" s="1557"/>
      <c r="D281" s="1557"/>
      <c r="E281" s="1557"/>
      <c r="F281" s="1557"/>
      <c r="G281" s="1557"/>
      <c r="H281" s="1557"/>
      <c r="I281" s="1557"/>
      <c r="J281" s="1557"/>
      <c r="K281" s="1557"/>
      <c r="L281" s="1557"/>
      <c r="M281" s="382"/>
      <c r="N281" s="325"/>
      <c r="O281" s="1556" t="s">
        <v>121</v>
      </c>
      <c r="P281" s="1557"/>
      <c r="Q281" s="1557"/>
      <c r="R281" s="1557"/>
      <c r="S281" s="1557"/>
      <c r="T281" s="1557"/>
      <c r="U281" s="1557"/>
      <c r="V281" s="1557"/>
      <c r="W281" s="1557"/>
      <c r="X281" s="1557"/>
      <c r="Y281" s="1557"/>
      <c r="Z281" s="382"/>
      <c r="AA281" s="325"/>
      <c r="AC281" s="955" t="s">
        <v>268</v>
      </c>
      <c r="AD281" s="234" t="b">
        <f>INDEX(TECH_OPT_FUEL2_Cls2,MATCH(RIGHT(O280),TECH_OPT_ROWS_Cls2,0))&lt;&gt;"N/A"</f>
        <v>0</v>
      </c>
      <c r="AE281" s="938"/>
      <c r="AF281" s="938"/>
      <c r="AG281" s="938"/>
      <c r="AH281" s="938"/>
      <c r="AI281" s="938"/>
    </row>
    <row r="282" spans="1:39"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7"/>
      <c r="AC282" s="955" t="s">
        <v>269</v>
      </c>
      <c r="AD282" s="234">
        <f>MATCH(RIGHT(O280),TECH_OPT_ROWS_Cls2,0)</f>
        <v>6</v>
      </c>
      <c r="AE282" s="938"/>
      <c r="AF282" s="938"/>
      <c r="AG282" s="938"/>
      <c r="AH282" s="938"/>
      <c r="AI282" s="938"/>
    </row>
    <row r="283" spans="1:39" ht="14.25"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11">
        <v>5.2963907111801883E-3</v>
      </c>
      <c r="Z283" s="1216"/>
      <c r="AA283" s="1217"/>
    </row>
    <row r="284" spans="1:39" x14ac:dyDescent="0.2">
      <c r="A284" s="331" t="s">
        <v>125</v>
      </c>
      <c r="B284" s="924">
        <f t="array" ref="B284:L284">TRANSPOSE(Cls2CentVMTShr)</f>
        <v>6.3375455551975849E-3</v>
      </c>
      <c r="C284" s="925">
        <v>3.496913005496359E-2</v>
      </c>
      <c r="D284" s="925">
        <v>5.9955127131675522E-2</v>
      </c>
      <c r="E284" s="925">
        <v>8.4599669387910512E-2</v>
      </c>
      <c r="F284" s="925">
        <v>0.12702701008436962</v>
      </c>
      <c r="G284" s="925">
        <v>6.7204731283582092E-2</v>
      </c>
      <c r="H284" s="925">
        <v>8.8708982453757024E-2</v>
      </c>
      <c r="I284" s="925">
        <v>6.4694225377098208E-2</v>
      </c>
      <c r="J284" s="925">
        <v>3.2526447027526634E-2</v>
      </c>
      <c r="K284" s="925">
        <v>1.589064319454132E-2</v>
      </c>
      <c r="L284" s="1212">
        <v>3.2608183213810787E-2</v>
      </c>
      <c r="M284" s="1213"/>
      <c r="N284" s="1214"/>
      <c r="O284" s="924">
        <f t="array" ref="O284:Y284">TRANSPOSE(Cls2NCentVMTShr)</f>
        <v>8.1228463417563086E-3</v>
      </c>
      <c r="P284" s="925">
        <v>2.7563836768431361E-2</v>
      </c>
      <c r="Q284" s="925">
        <v>4.1883113088337191E-2</v>
      </c>
      <c r="R284" s="925">
        <v>6.4289357588678764E-2</v>
      </c>
      <c r="S284" s="925">
        <v>9.1183275251204537E-2</v>
      </c>
      <c r="T284" s="925">
        <v>5.1984283219922628E-2</v>
      </c>
      <c r="U284" s="925">
        <v>5.0286059545109812E-2</v>
      </c>
      <c r="V284" s="925">
        <v>1.5542287574292338E-2</v>
      </c>
      <c r="W284" s="925">
        <v>1.4506257462625264E-2</v>
      </c>
      <c r="X284" s="925">
        <v>4.9330966304706684E-3</v>
      </c>
      <c r="Y284" s="926">
        <v>1.5183891764738403E-2</v>
      </c>
      <c r="Z284" s="1213"/>
      <c r="AA284" s="1214"/>
      <c r="AB284" s="1572" t="str">
        <f>"% of miles on f2 for Tech "&amp; RIGHT(O279)&amp;" adopters"</f>
        <v>% of miles on f2 for Tech  adopters</v>
      </c>
      <c r="AC284" s="1573"/>
      <c r="AD284" s="1574"/>
      <c r="AE284" s="938" t="s">
        <v>301</v>
      </c>
      <c r="AF284" s="938"/>
      <c r="AG284" s="938"/>
      <c r="AH284" s="1174" t="s">
        <v>300</v>
      </c>
      <c r="AI284" s="938"/>
    </row>
    <row r="285" spans="1:39" ht="13.5" thickBot="1" x14ac:dyDescent="0.25">
      <c r="A285" s="943" t="s">
        <v>267</v>
      </c>
      <c r="B285" s="934">
        <f t="array" ref="B285:L285">TRANSPOSE(Cls2CentVMT/OPDAYS_Cls2)</f>
        <v>49.332453271995263</v>
      </c>
      <c r="C285" s="935">
        <v>120.11441047790339</v>
      </c>
      <c r="D285" s="935">
        <v>200.99157969807086</v>
      </c>
      <c r="E285" s="935">
        <v>280.98421424125928</v>
      </c>
      <c r="F285" s="935">
        <v>358.20644524895255</v>
      </c>
      <c r="G285" s="935">
        <v>432.82805471770689</v>
      </c>
      <c r="H285" s="935">
        <v>517.10615118099815</v>
      </c>
      <c r="I285" s="935">
        <v>597.8087063838957</v>
      </c>
      <c r="J285" s="935">
        <v>676.93419409560215</v>
      </c>
      <c r="K285" s="935">
        <v>746.82245226325631</v>
      </c>
      <c r="L285" s="936">
        <v>895.92826380844349</v>
      </c>
      <c r="M285" s="932"/>
      <c r="N285" s="933"/>
      <c r="O285" s="934">
        <f t="array" ref="O285:Y285">TRANSPOSE(Cls2NCentVMT/OPDAYS_Cls2)</f>
        <v>54.31462614952413</v>
      </c>
      <c r="P285" s="935">
        <v>126.62311644744663</v>
      </c>
      <c r="Q285" s="935">
        <v>206.96826351576016</v>
      </c>
      <c r="R285" s="935">
        <v>286.46600131499179</v>
      </c>
      <c r="S285" s="935">
        <v>358.9638908170715</v>
      </c>
      <c r="T285" s="935">
        <v>450.55545819643328</v>
      </c>
      <c r="U285" s="935">
        <v>511.93098482414172</v>
      </c>
      <c r="V285" s="935">
        <v>579.22933632093111</v>
      </c>
      <c r="W285" s="935">
        <v>695.25665569614875</v>
      </c>
      <c r="X285" s="935">
        <v>759.80682330760794</v>
      </c>
      <c r="Y285" s="1215">
        <v>882.81167173661356</v>
      </c>
      <c r="Z285" s="944"/>
      <c r="AA285" s="933"/>
      <c r="AB285" s="946" t="s">
        <v>187</v>
      </c>
      <c r="AC285" s="947" t="s">
        <v>15</v>
      </c>
      <c r="AD285" s="948" t="s">
        <v>18</v>
      </c>
      <c r="AE285" s="938" t="s">
        <v>187</v>
      </c>
      <c r="AF285" s="938" t="s">
        <v>15</v>
      </c>
      <c r="AG285" s="938" t="s">
        <v>18</v>
      </c>
      <c r="AH285" s="1174" t="s">
        <v>187</v>
      </c>
      <c r="AI285" s="938" t="s">
        <v>15</v>
      </c>
      <c r="AJ285" s="323"/>
      <c r="AK285" s="323"/>
      <c r="AL285" s="323"/>
      <c r="AM285" s="323"/>
    </row>
    <row r="286" spans="1:39" ht="13.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9">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50">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8">
        <f>AB286*AH286+AC286*AI286</f>
        <v>0</v>
      </c>
      <c r="AE286" s="938">
        <f t="shared" ref="AE286:AE300" si="146">SUMPRODUCT($B$74:$L$74,B286:L286)</f>
        <v>0</v>
      </c>
      <c r="AF286" s="938">
        <f t="shared" ref="AF286:AF300" si="147">SUMPRODUCT($O$74:$Y$74,O286:Y286)</f>
        <v>0</v>
      </c>
      <c r="AG286" s="938">
        <f t="shared" ref="AG286:AG300" si="148">SUM(AE286:AF286)</f>
        <v>0</v>
      </c>
      <c r="AH286" s="1174">
        <f>IF(AG286&gt;0,AE286/AG286,0)</f>
        <v>0</v>
      </c>
      <c r="AI286" s="938">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9">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50">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8">
        <f t="shared" ref="AD287:AD311" si="153">AB287*AH287+AC287*AI287</f>
        <v>0</v>
      </c>
      <c r="AE287" s="938">
        <f t="shared" si="146"/>
        <v>0</v>
      </c>
      <c r="AF287" s="938">
        <f t="shared" si="147"/>
        <v>0</v>
      </c>
      <c r="AG287" s="938">
        <f t="shared" si="148"/>
        <v>0</v>
      </c>
      <c r="AH287" s="1174">
        <f t="shared" ref="AH287:AH328" si="154">IF(AG287&gt;0,AE287/AG287,0)</f>
        <v>0</v>
      </c>
      <c r="AI287" s="938">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9">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50">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8">
        <f t="shared" si="153"/>
        <v>0</v>
      </c>
      <c r="AE288" s="938">
        <f t="shared" si="146"/>
        <v>0</v>
      </c>
      <c r="AF288" s="938">
        <f t="shared" si="147"/>
        <v>0</v>
      </c>
      <c r="AG288" s="938">
        <f t="shared" si="148"/>
        <v>0</v>
      </c>
      <c r="AH288" s="1174">
        <f t="shared" si="154"/>
        <v>0</v>
      </c>
      <c r="AI288" s="938">
        <f t="shared" si="15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9">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50">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8">
        <f t="shared" si="153"/>
        <v>0</v>
      </c>
      <c r="AE289" s="938">
        <f t="shared" si="146"/>
        <v>0</v>
      </c>
      <c r="AF289" s="938">
        <f t="shared" si="147"/>
        <v>0</v>
      </c>
      <c r="AG289" s="938">
        <f t="shared" si="148"/>
        <v>0</v>
      </c>
      <c r="AH289" s="1174">
        <f t="shared" si="154"/>
        <v>0</v>
      </c>
      <c r="AI289" s="938">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9">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50">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8">
        <f t="shared" si="153"/>
        <v>0</v>
      </c>
      <c r="AE290" s="938">
        <f t="shared" si="146"/>
        <v>0</v>
      </c>
      <c r="AF290" s="938">
        <f t="shared" si="147"/>
        <v>0</v>
      </c>
      <c r="AG290" s="938">
        <f t="shared" si="148"/>
        <v>0</v>
      </c>
      <c r="AH290" s="1174">
        <f t="shared" si="154"/>
        <v>0</v>
      </c>
      <c r="AI290" s="938">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9">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50">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8">
        <f t="shared" si="153"/>
        <v>0</v>
      </c>
      <c r="AE291" s="938">
        <f t="shared" si="146"/>
        <v>0</v>
      </c>
      <c r="AF291" s="938">
        <f t="shared" si="147"/>
        <v>0</v>
      </c>
      <c r="AG291" s="938">
        <f t="shared" si="148"/>
        <v>0</v>
      </c>
      <c r="AH291" s="1174">
        <f t="shared" si="154"/>
        <v>0</v>
      </c>
      <c r="AI291" s="938">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9">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50">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8">
        <f t="shared" si="153"/>
        <v>0</v>
      </c>
      <c r="AE292" s="938">
        <f t="shared" si="146"/>
        <v>0</v>
      </c>
      <c r="AF292" s="938">
        <f t="shared" si="147"/>
        <v>0</v>
      </c>
      <c r="AG292" s="938">
        <f t="shared" si="148"/>
        <v>0</v>
      </c>
      <c r="AH292" s="1174">
        <f t="shared" si="154"/>
        <v>0</v>
      </c>
      <c r="AI292" s="938">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9">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50">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8">
        <f t="shared" si="153"/>
        <v>0</v>
      </c>
      <c r="AE293" s="938">
        <f t="shared" si="146"/>
        <v>0</v>
      </c>
      <c r="AF293" s="938">
        <f t="shared" si="147"/>
        <v>0</v>
      </c>
      <c r="AG293" s="938">
        <f t="shared" si="148"/>
        <v>0</v>
      </c>
      <c r="AH293" s="1174">
        <f t="shared" si="154"/>
        <v>0</v>
      </c>
      <c r="AI293" s="938">
        <f t="shared" si="15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9">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50">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8">
        <f t="shared" si="153"/>
        <v>0</v>
      </c>
      <c r="AE294" s="938">
        <f t="shared" si="146"/>
        <v>0</v>
      </c>
      <c r="AF294" s="938">
        <f t="shared" si="147"/>
        <v>0</v>
      </c>
      <c r="AG294" s="938">
        <f t="shared" si="148"/>
        <v>0</v>
      </c>
      <c r="AH294" s="1174">
        <f t="shared" si="154"/>
        <v>0</v>
      </c>
      <c r="AI294" s="938">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9">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50">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8">
        <f t="shared" si="153"/>
        <v>0</v>
      </c>
      <c r="AE295" s="938">
        <f t="shared" si="146"/>
        <v>0</v>
      </c>
      <c r="AF295" s="938">
        <f t="shared" si="147"/>
        <v>0</v>
      </c>
      <c r="AG295" s="938">
        <f t="shared" si="148"/>
        <v>0</v>
      </c>
      <c r="AH295" s="1174">
        <f t="shared" si="154"/>
        <v>0</v>
      </c>
      <c r="AI295" s="938">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9">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50">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8">
        <f t="shared" si="153"/>
        <v>0</v>
      </c>
      <c r="AE296" s="938">
        <f t="shared" si="146"/>
        <v>0</v>
      </c>
      <c r="AF296" s="938">
        <f t="shared" si="147"/>
        <v>0</v>
      </c>
      <c r="AG296" s="938">
        <f t="shared" si="148"/>
        <v>0</v>
      </c>
      <c r="AH296" s="1174">
        <f t="shared" si="154"/>
        <v>0</v>
      </c>
      <c r="AI296" s="938">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9">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50">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8">
        <f t="shared" si="153"/>
        <v>0</v>
      </c>
      <c r="AE297" s="938">
        <f t="shared" si="146"/>
        <v>0</v>
      </c>
      <c r="AF297" s="938">
        <f t="shared" si="147"/>
        <v>0</v>
      </c>
      <c r="AG297" s="938">
        <f t="shared" si="148"/>
        <v>0</v>
      </c>
      <c r="AH297" s="1174">
        <f t="shared" si="154"/>
        <v>0</v>
      </c>
      <c r="AI297" s="938">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9">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50">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8">
        <f t="shared" si="153"/>
        <v>0</v>
      </c>
      <c r="AE298" s="938">
        <f t="shared" si="146"/>
        <v>0</v>
      </c>
      <c r="AF298" s="938">
        <f t="shared" si="147"/>
        <v>0</v>
      </c>
      <c r="AG298" s="938">
        <f t="shared" si="148"/>
        <v>0</v>
      </c>
      <c r="AH298" s="1174">
        <f t="shared" si="154"/>
        <v>0</v>
      </c>
      <c r="AI298" s="938">
        <f t="shared" si="15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9">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50">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8">
        <f t="shared" si="153"/>
        <v>0</v>
      </c>
      <c r="AE299" s="938">
        <f t="shared" si="146"/>
        <v>0</v>
      </c>
      <c r="AF299" s="938">
        <f t="shared" si="147"/>
        <v>0</v>
      </c>
      <c r="AG299" s="938">
        <f t="shared" si="148"/>
        <v>0</v>
      </c>
      <c r="AH299" s="1174">
        <f t="shared" si="154"/>
        <v>0</v>
      </c>
      <c r="AI299" s="938">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9">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50">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8">
        <f t="shared" si="153"/>
        <v>0</v>
      </c>
      <c r="AE300" s="938">
        <f t="shared" si="146"/>
        <v>0</v>
      </c>
      <c r="AF300" s="938">
        <f t="shared" si="147"/>
        <v>0</v>
      </c>
      <c r="AG300" s="938">
        <f t="shared" si="148"/>
        <v>0</v>
      </c>
      <c r="AH300" s="1174">
        <f t="shared" si="154"/>
        <v>0</v>
      </c>
      <c r="AI300" s="938">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9">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50">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8">
        <f t="shared" si="153"/>
        <v>0</v>
      </c>
      <c r="AE301" s="938">
        <f>SUMPRODUCT($B$74:$L$74,B301:L301)</f>
        <v>0</v>
      </c>
      <c r="AF301" s="938">
        <f>SUMPRODUCT($O$74:$Y$74,O301:Y301)</f>
        <v>0</v>
      </c>
      <c r="AG301" s="938">
        <f>SUM(AE301:AF301)</f>
        <v>0</v>
      </c>
      <c r="AH301" s="1174">
        <f t="shared" si="154"/>
        <v>0</v>
      </c>
      <c r="AI301" s="938">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9">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50">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8">
        <f t="shared" si="153"/>
        <v>0</v>
      </c>
      <c r="AE302" s="938">
        <f t="shared" ref="AE302:AE328" si="156">SUMPRODUCT($B$74:$L$74,B302:L302)</f>
        <v>0</v>
      </c>
      <c r="AF302" s="938">
        <f t="shared" ref="AF302:AF328" si="157">SUMPRODUCT($O$74:$Y$74,O302:Y302)</f>
        <v>0</v>
      </c>
      <c r="AG302" s="938">
        <f t="shared" ref="AG302:AG328" si="158">SUM(AE302:AF302)</f>
        <v>0</v>
      </c>
      <c r="AH302" s="1174">
        <f t="shared" si="154"/>
        <v>0</v>
      </c>
      <c r="AI302" s="938">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9">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50">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8">
        <f t="shared" si="153"/>
        <v>0</v>
      </c>
      <c r="AE303" s="938">
        <f t="shared" si="156"/>
        <v>0</v>
      </c>
      <c r="AF303" s="938">
        <f t="shared" si="157"/>
        <v>0</v>
      </c>
      <c r="AG303" s="938">
        <f t="shared" si="158"/>
        <v>0</v>
      </c>
      <c r="AH303" s="1174">
        <f t="shared" si="154"/>
        <v>0</v>
      </c>
      <c r="AI303" s="938">
        <f t="shared" si="15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9">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50">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8">
        <f t="shared" si="153"/>
        <v>0</v>
      </c>
      <c r="AE304" s="938">
        <f t="shared" si="156"/>
        <v>0</v>
      </c>
      <c r="AF304" s="938">
        <f t="shared" si="157"/>
        <v>0</v>
      </c>
      <c r="AG304" s="938">
        <f t="shared" si="158"/>
        <v>0</v>
      </c>
      <c r="AH304" s="1174">
        <f t="shared" si="154"/>
        <v>0</v>
      </c>
      <c r="AI304" s="938">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9">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50">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8">
        <f t="shared" si="153"/>
        <v>0</v>
      </c>
      <c r="AE305" s="938">
        <f t="shared" si="156"/>
        <v>0</v>
      </c>
      <c r="AF305" s="938">
        <f t="shared" si="157"/>
        <v>0</v>
      </c>
      <c r="AG305" s="938">
        <f t="shared" si="158"/>
        <v>0</v>
      </c>
      <c r="AH305" s="1174">
        <f t="shared" si="154"/>
        <v>0</v>
      </c>
      <c r="AI305" s="938">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9">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50">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8">
        <f t="shared" si="153"/>
        <v>0</v>
      </c>
      <c r="AE306" s="938">
        <f t="shared" si="156"/>
        <v>0</v>
      </c>
      <c r="AF306" s="938">
        <f t="shared" si="157"/>
        <v>0</v>
      </c>
      <c r="AG306" s="938">
        <f t="shared" si="158"/>
        <v>0</v>
      </c>
      <c r="AH306" s="1174">
        <f t="shared" si="154"/>
        <v>0</v>
      </c>
      <c r="AI306" s="938">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9">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50">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8">
        <f t="shared" si="153"/>
        <v>0</v>
      </c>
      <c r="AE307" s="938">
        <f t="shared" si="156"/>
        <v>0</v>
      </c>
      <c r="AF307" s="938">
        <f t="shared" si="157"/>
        <v>0</v>
      </c>
      <c r="AG307" s="938">
        <f t="shared" si="158"/>
        <v>0</v>
      </c>
      <c r="AH307" s="1174">
        <f t="shared" si="154"/>
        <v>0</v>
      </c>
      <c r="AI307" s="938">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9">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50">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8">
        <f t="shared" si="153"/>
        <v>0</v>
      </c>
      <c r="AE308" s="938">
        <f t="shared" si="156"/>
        <v>0</v>
      </c>
      <c r="AF308" s="938">
        <f t="shared" si="157"/>
        <v>0</v>
      </c>
      <c r="AG308" s="938">
        <f t="shared" si="158"/>
        <v>0</v>
      </c>
      <c r="AH308" s="1174">
        <f t="shared" si="154"/>
        <v>0</v>
      </c>
      <c r="AI308" s="938">
        <f t="shared" si="15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9">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50">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8">
        <f t="shared" si="153"/>
        <v>0</v>
      </c>
      <c r="AE309" s="938">
        <f t="shared" si="156"/>
        <v>0</v>
      </c>
      <c r="AF309" s="938">
        <f t="shared" si="157"/>
        <v>0</v>
      </c>
      <c r="AG309" s="938">
        <f t="shared" si="158"/>
        <v>0</v>
      </c>
      <c r="AH309" s="1174">
        <f t="shared" si="154"/>
        <v>0</v>
      </c>
      <c r="AI309" s="938">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9">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50">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8">
        <f t="shared" si="153"/>
        <v>0</v>
      </c>
      <c r="AE310" s="938">
        <f t="shared" si="156"/>
        <v>0</v>
      </c>
      <c r="AF310" s="938">
        <f t="shared" si="157"/>
        <v>0</v>
      </c>
      <c r="AG310" s="938">
        <f t="shared" si="158"/>
        <v>0</v>
      </c>
      <c r="AH310" s="1174">
        <f t="shared" si="154"/>
        <v>0</v>
      </c>
      <c r="AI310" s="938">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9">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50">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8">
        <f t="shared" si="153"/>
        <v>0</v>
      </c>
      <c r="AE311" s="938">
        <f t="shared" si="156"/>
        <v>0</v>
      </c>
      <c r="AF311" s="938">
        <f t="shared" si="157"/>
        <v>0</v>
      </c>
      <c r="AG311" s="938">
        <f t="shared" si="158"/>
        <v>0</v>
      </c>
      <c r="AH311" s="1174">
        <f t="shared" si="154"/>
        <v>0</v>
      </c>
      <c r="AI311" s="938">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9">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50">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8">
        <f>AB312*AH312+AC312*AI312</f>
        <v>0</v>
      </c>
      <c r="AE312" s="938">
        <f t="shared" si="156"/>
        <v>0</v>
      </c>
      <c r="AF312" s="938">
        <f t="shared" si="157"/>
        <v>0</v>
      </c>
      <c r="AG312" s="938">
        <f t="shared" si="158"/>
        <v>0</v>
      </c>
      <c r="AH312" s="1174">
        <f t="shared" si="154"/>
        <v>0</v>
      </c>
      <c r="AI312" s="938">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9">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50">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8">
        <f t="shared" ref="AD313:AD329" si="159">AB313*AH313+AC313*AI313</f>
        <v>0</v>
      </c>
      <c r="AE313" s="938">
        <f t="shared" si="156"/>
        <v>0</v>
      </c>
      <c r="AF313" s="938">
        <f t="shared" si="157"/>
        <v>0</v>
      </c>
      <c r="AG313" s="938">
        <f t="shared" si="158"/>
        <v>0</v>
      </c>
      <c r="AH313" s="1174">
        <f t="shared" si="154"/>
        <v>0</v>
      </c>
      <c r="AI313" s="938">
        <f t="shared" si="15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9">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50">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8">
        <f t="shared" si="159"/>
        <v>0</v>
      </c>
      <c r="AE314" s="938">
        <f t="shared" si="156"/>
        <v>0</v>
      </c>
      <c r="AF314" s="938">
        <f t="shared" si="157"/>
        <v>0</v>
      </c>
      <c r="AG314" s="938">
        <f t="shared" si="158"/>
        <v>0</v>
      </c>
      <c r="AH314" s="1174">
        <f t="shared" si="154"/>
        <v>0</v>
      </c>
      <c r="AI314" s="938">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1.0818346650343923E-7</v>
      </c>
      <c r="T315" s="343">
        <v>1.2938751150367217E-6</v>
      </c>
      <c r="U315" s="343">
        <v>3.2881990501694789E-6</v>
      </c>
      <c r="V315" s="343">
        <v>6.018530289235593E-6</v>
      </c>
      <c r="W315" s="343">
        <v>1.0762242954069091E-5</v>
      </c>
      <c r="X315" s="343">
        <v>1.3414509719930234E-5</v>
      </c>
      <c r="Y315" s="379">
        <v>1.8552826571523359E-5</v>
      </c>
      <c r="Z315" s="282">
        <f t="shared" si="151"/>
        <v>8.4001704545580399E-7</v>
      </c>
      <c r="AA315" s="284">
        <f t="shared" si="152"/>
        <v>3.9785627541661102E-7</v>
      </c>
      <c r="AB315" s="949">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50">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8">
        <f t="shared" si="159"/>
        <v>0</v>
      </c>
      <c r="AE315" s="938">
        <f t="shared" si="156"/>
        <v>0</v>
      </c>
      <c r="AF315" s="938">
        <f t="shared" si="157"/>
        <v>8.4001704545580399E-7</v>
      </c>
      <c r="AG315" s="938">
        <f t="shared" si="158"/>
        <v>8.4001704545580399E-7</v>
      </c>
      <c r="AH315" s="1174">
        <f t="shared" si="154"/>
        <v>0</v>
      </c>
      <c r="AI315" s="938">
        <f t="shared" si="155"/>
        <v>1</v>
      </c>
    </row>
    <row r="316" spans="1:35" x14ac:dyDescent="0.2">
      <c r="A316" s="330">
        <v>2037</v>
      </c>
      <c r="B316" s="344">
        <v>0</v>
      </c>
      <c r="C316" s="345">
        <v>0</v>
      </c>
      <c r="D316" s="345">
        <v>0</v>
      </c>
      <c r="E316" s="345">
        <v>0</v>
      </c>
      <c r="F316" s="345">
        <v>0</v>
      </c>
      <c r="G316" s="345">
        <v>1.6164422229310028E-4</v>
      </c>
      <c r="H316" s="345">
        <v>2.7545475750702375E-3</v>
      </c>
      <c r="I316" s="345">
        <v>1.0741260652871785E-2</v>
      </c>
      <c r="J316" s="345">
        <v>2.7156520177860889E-2</v>
      </c>
      <c r="K316" s="345">
        <v>4.448032785573184E-2</v>
      </c>
      <c r="L316" s="380">
        <v>7.991476523602159E-2</v>
      </c>
      <c r="M316" s="296">
        <f t="shared" si="149"/>
        <v>5.146115346992412E-3</v>
      </c>
      <c r="N316" s="298">
        <f t="shared" si="150"/>
        <v>2.1001208976921819E-3</v>
      </c>
      <c r="O316" s="344">
        <v>0</v>
      </c>
      <c r="P316" s="345">
        <v>0</v>
      </c>
      <c r="Q316" s="345">
        <v>1.4177645983426621E-7</v>
      </c>
      <c r="R316" s="345">
        <v>5.4041776879160381E-6</v>
      </c>
      <c r="S316" s="345">
        <v>2.027399977726264E-5</v>
      </c>
      <c r="T316" s="345">
        <v>4.1020348526553128E-5</v>
      </c>
      <c r="U316" s="345">
        <v>5.2039909606038854E-5</v>
      </c>
      <c r="V316" s="345">
        <v>5.9380976340610068E-5</v>
      </c>
      <c r="W316" s="345">
        <v>6.9580666945003898E-5</v>
      </c>
      <c r="X316" s="345">
        <v>7.5402787373273685E-5</v>
      </c>
      <c r="Y316" s="380">
        <v>8.2036803547222344E-5</v>
      </c>
      <c r="Z316" s="296">
        <f t="shared" si="151"/>
        <v>1.0501192724199113E-5</v>
      </c>
      <c r="AA316" s="298">
        <f t="shared" si="152"/>
        <v>6.5227011286234104E-6</v>
      </c>
      <c r="AB316" s="949">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50">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8">
        <f t="shared" si="159"/>
        <v>0</v>
      </c>
      <c r="AE316" s="938">
        <f t="shared" si="156"/>
        <v>5.146115346992412E-3</v>
      </c>
      <c r="AF316" s="938">
        <f t="shared" si="157"/>
        <v>1.0501192724199113E-5</v>
      </c>
      <c r="AG316" s="938">
        <f t="shared" si="158"/>
        <v>5.156616539716611E-3</v>
      </c>
      <c r="AH316" s="1174">
        <f t="shared" si="154"/>
        <v>0.99796354981152502</v>
      </c>
      <c r="AI316" s="938">
        <f t="shared" si="155"/>
        <v>2.0364501884749843E-3</v>
      </c>
    </row>
    <row r="317" spans="1:35" x14ac:dyDescent="0.2">
      <c r="A317" s="330">
        <v>2038</v>
      </c>
      <c r="B317" s="344">
        <v>0</v>
      </c>
      <c r="C317" s="345">
        <v>0</v>
      </c>
      <c r="D317" s="345">
        <v>0</v>
      </c>
      <c r="E317" s="345">
        <v>9.9912870129435609E-3</v>
      </c>
      <c r="F317" s="345">
        <v>5.1442684577898343E-2</v>
      </c>
      <c r="G317" s="345">
        <v>9.929552873884101E-2</v>
      </c>
      <c r="H317" s="345">
        <v>0.14120397546227387</v>
      </c>
      <c r="I317" s="345">
        <v>0.16908583805447383</v>
      </c>
      <c r="J317" s="345">
        <v>0.18790929190832767</v>
      </c>
      <c r="K317" s="345">
        <v>0.19868159191921858</v>
      </c>
      <c r="L317" s="380">
        <v>0.22194375204520439</v>
      </c>
      <c r="M317" s="296">
        <f t="shared" si="149"/>
        <v>5.4024320059707392E-2</v>
      </c>
      <c r="N317" s="298">
        <f t="shared" si="150"/>
        <v>3.0955369459669844E-2</v>
      </c>
      <c r="O317" s="344">
        <v>0</v>
      </c>
      <c r="P317" s="345">
        <v>4.1018836777126609E-8</v>
      </c>
      <c r="Q317" s="345">
        <v>1.5212461316437959E-5</v>
      </c>
      <c r="R317" s="345">
        <v>6.5589676670756671E-5</v>
      </c>
      <c r="S317" s="345">
        <v>1.0259279415911019E-4</v>
      </c>
      <c r="T317" s="345">
        <v>1.2269568846031236E-4</v>
      </c>
      <c r="U317" s="345">
        <v>1.2709580091688032E-4</v>
      </c>
      <c r="V317" s="345">
        <v>1.330093729522328E-4</v>
      </c>
      <c r="W317" s="345">
        <v>1.385260844214251E-4</v>
      </c>
      <c r="X317" s="345">
        <v>1.3917506836270171E-4</v>
      </c>
      <c r="Y317" s="380">
        <v>1.4244441993585996E-4</v>
      </c>
      <c r="Z317" s="296">
        <f t="shared" si="151"/>
        <v>3.3905325158015098E-5</v>
      </c>
      <c r="AA317" s="298">
        <f t="shared" si="152"/>
        <v>2.4734065295489414E-5</v>
      </c>
      <c r="AB317" s="949">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50">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8">
        <f t="shared" si="159"/>
        <v>0</v>
      </c>
      <c r="AE317" s="938">
        <f t="shared" si="156"/>
        <v>5.4024320059707392E-2</v>
      </c>
      <c r="AF317" s="938">
        <f t="shared" si="157"/>
        <v>3.3905325158015098E-5</v>
      </c>
      <c r="AG317" s="938">
        <f t="shared" si="158"/>
        <v>5.4058225384865405E-2</v>
      </c>
      <c r="AH317" s="1174">
        <f t="shared" si="154"/>
        <v>0.99937279988537131</v>
      </c>
      <c r="AI317" s="938">
        <f t="shared" si="155"/>
        <v>6.2720011462876315E-4</v>
      </c>
    </row>
    <row r="318" spans="1:35" x14ac:dyDescent="0.2">
      <c r="A318" s="330">
        <v>2039</v>
      </c>
      <c r="B318" s="344">
        <v>0</v>
      </c>
      <c r="C318" s="345">
        <v>0</v>
      </c>
      <c r="D318" s="345">
        <v>2.4041329349029299E-2</v>
      </c>
      <c r="E318" s="345">
        <v>0.1129954547612403</v>
      </c>
      <c r="F318" s="345">
        <v>0.18267600375087548</v>
      </c>
      <c r="G318" s="345">
        <v>0.21002257505523592</v>
      </c>
      <c r="H318" s="345">
        <v>0.23069671122565202</v>
      </c>
      <c r="I318" s="345">
        <v>0.24377400223229062</v>
      </c>
      <c r="J318" s="345">
        <v>0.24168991415143345</v>
      </c>
      <c r="K318" s="345">
        <v>0.24819683376888874</v>
      </c>
      <c r="L318" s="380">
        <v>0.25054875489544742</v>
      </c>
      <c r="M318" s="296">
        <f t="shared" si="149"/>
        <v>0.10453097833392309</v>
      </c>
      <c r="N318" s="298">
        <f t="shared" si="150"/>
        <v>7.0996249917599202E-2</v>
      </c>
      <c r="O318" s="344">
        <v>0</v>
      </c>
      <c r="P318" s="345">
        <v>9.5107274585144748E-6</v>
      </c>
      <c r="Q318" s="345">
        <v>1.3426286205471495E-4</v>
      </c>
      <c r="R318" s="345">
        <v>2.6475377173822829E-4</v>
      </c>
      <c r="S318" s="345">
        <v>3.163642463252167E-4</v>
      </c>
      <c r="T318" s="345">
        <v>3.3261475255334127E-4</v>
      </c>
      <c r="U318" s="345">
        <v>3.2699552367509174E-4</v>
      </c>
      <c r="V318" s="345">
        <v>3.318746092024983E-4</v>
      </c>
      <c r="W318" s="345">
        <v>3.2922859493887788E-4</v>
      </c>
      <c r="X318" s="345">
        <v>3.2248930190411653E-4</v>
      </c>
      <c r="Y318" s="380">
        <v>3.2321047408594719E-4</v>
      </c>
      <c r="Z318" s="296">
        <f t="shared" si="151"/>
        <v>1.0191996182653655E-4</v>
      </c>
      <c r="AA318" s="298">
        <f t="shared" si="152"/>
        <v>8.0970489398734976E-5</v>
      </c>
      <c r="AB318" s="949">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50">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8">
        <f t="shared" si="159"/>
        <v>0</v>
      </c>
      <c r="AE318" s="938">
        <f t="shared" si="156"/>
        <v>0.10453097833392309</v>
      </c>
      <c r="AF318" s="938">
        <f t="shared" si="157"/>
        <v>1.0191996182653655E-4</v>
      </c>
      <c r="AG318" s="938">
        <f t="shared" si="158"/>
        <v>0.10463289829574964</v>
      </c>
      <c r="AH318" s="1174">
        <f t="shared" si="154"/>
        <v>0.99902592814032098</v>
      </c>
      <c r="AI318" s="938">
        <f t="shared" si="155"/>
        <v>9.7407185967892382E-4</v>
      </c>
    </row>
    <row r="319" spans="1:35" ht="13.5" thickBot="1" x14ac:dyDescent="0.25">
      <c r="A319" s="328">
        <v>2040</v>
      </c>
      <c r="B319" s="346">
        <v>0</v>
      </c>
      <c r="C319" s="347">
        <v>3.6027419831764036E-3</v>
      </c>
      <c r="D319" s="347">
        <v>0.10007448626349792</v>
      </c>
      <c r="E319" s="347">
        <v>0.19226521085486922</v>
      </c>
      <c r="F319" s="347">
        <v>0.23807261064937191</v>
      </c>
      <c r="G319" s="347">
        <v>0.25042401128807684</v>
      </c>
      <c r="H319" s="347">
        <v>0.25665941389538244</v>
      </c>
      <c r="I319" s="347">
        <v>0.25798961980854357</v>
      </c>
      <c r="J319" s="347">
        <v>0.25821357841505921</v>
      </c>
      <c r="K319" s="347">
        <v>0.25751780703081878</v>
      </c>
      <c r="L319" s="381">
        <v>0.25447918117292873</v>
      </c>
      <c r="M319" s="310">
        <f t="shared" si="149"/>
        <v>0.12971029855633331</v>
      </c>
      <c r="N319" s="312">
        <f t="shared" si="150"/>
        <v>9.582893903583202E-2</v>
      </c>
      <c r="O319" s="346">
        <v>0</v>
      </c>
      <c r="P319" s="347">
        <v>1.0688725601532761E-4</v>
      </c>
      <c r="Q319" s="347">
        <v>4.892641349426135E-4</v>
      </c>
      <c r="R319" s="347">
        <v>6.7446211821527732E-4</v>
      </c>
      <c r="S319" s="347">
        <v>7.1567076228523381E-4</v>
      </c>
      <c r="T319" s="347">
        <v>7.0898078794582686E-4</v>
      </c>
      <c r="U319" s="347">
        <v>7.0386757964361398E-4</v>
      </c>
      <c r="V319" s="347">
        <v>6.8646513408015858E-4</v>
      </c>
      <c r="W319" s="347">
        <v>6.797118423287926E-4</v>
      </c>
      <c r="X319" s="347">
        <v>6.6658064289312844E-4</v>
      </c>
      <c r="Y319" s="381">
        <v>6.5771226111373151E-4</v>
      </c>
      <c r="Z319" s="310">
        <f t="shared" si="151"/>
        <v>2.3811090549314648E-4</v>
      </c>
      <c r="AA319" s="312">
        <f t="shared" si="152"/>
        <v>2.0158237488179494E-4</v>
      </c>
      <c r="AB319" s="949">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50">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8">
        <f t="shared" si="159"/>
        <v>0</v>
      </c>
      <c r="AE319" s="938">
        <f t="shared" si="156"/>
        <v>0.12971029855633331</v>
      </c>
      <c r="AF319" s="938">
        <f t="shared" si="157"/>
        <v>2.3811090549314648E-4</v>
      </c>
      <c r="AG319" s="938">
        <f t="shared" si="158"/>
        <v>0.12994840946182645</v>
      </c>
      <c r="AH319" s="1174">
        <f t="shared" si="154"/>
        <v>0.99816765048160838</v>
      </c>
      <c r="AI319" s="938">
        <f t="shared" si="155"/>
        <v>1.8323495183917105E-3</v>
      </c>
    </row>
    <row r="320" spans="1:35" x14ac:dyDescent="0.2">
      <c r="A320" s="329">
        <v>2041</v>
      </c>
      <c r="B320" s="342">
        <v>0</v>
      </c>
      <c r="C320" s="343">
        <v>2.393686016814604E-2</v>
      </c>
      <c r="D320" s="343">
        <v>0.15408286593707085</v>
      </c>
      <c r="E320" s="343">
        <v>0.23852285929661021</v>
      </c>
      <c r="F320" s="343">
        <v>0.25681667124430152</v>
      </c>
      <c r="G320" s="343">
        <v>0.26734508095077641</v>
      </c>
      <c r="H320" s="343">
        <v>0.26528192698512626</v>
      </c>
      <c r="I320" s="343">
        <v>0.26055189570785214</v>
      </c>
      <c r="J320" s="343">
        <v>0.25969791703351014</v>
      </c>
      <c r="K320" s="343">
        <v>0.25972321236243129</v>
      </c>
      <c r="L320" s="379">
        <v>0.25536102421543344</v>
      </c>
      <c r="M320" s="282">
        <f t="shared" si="149"/>
        <v>0.14213374361501882</v>
      </c>
      <c r="N320" s="284">
        <f t="shared" si="150"/>
        <v>0.11034487839059617</v>
      </c>
      <c r="O320" s="342">
        <v>0</v>
      </c>
      <c r="P320" s="343">
        <v>4.4362270337644288E-4</v>
      </c>
      <c r="Q320" s="343">
        <v>1.1556667711439795E-3</v>
      </c>
      <c r="R320" s="343">
        <v>1.3675973097907548E-3</v>
      </c>
      <c r="S320" s="343">
        <v>1.3843771033465453E-3</v>
      </c>
      <c r="T320" s="343">
        <v>1.3721298376816926E-3</v>
      </c>
      <c r="U320" s="343">
        <v>1.3533940448419907E-3</v>
      </c>
      <c r="V320" s="343">
        <v>1.3119045404310506E-3</v>
      </c>
      <c r="W320" s="343">
        <v>1.281131044755097E-3</v>
      </c>
      <c r="X320" s="343">
        <v>1.2699959095175939E-3</v>
      </c>
      <c r="Y320" s="379">
        <v>1.2510809828082542E-3</v>
      </c>
      <c r="Z320" s="282">
        <f t="shared" si="151"/>
        <v>4.7840660161654902E-4</v>
      </c>
      <c r="AA320" s="284">
        <f t="shared" si="152"/>
        <v>4.2248120064532343E-4</v>
      </c>
      <c r="AB320" s="949">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50">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8">
        <f t="shared" si="159"/>
        <v>0</v>
      </c>
      <c r="AE320" s="938">
        <f t="shared" si="156"/>
        <v>0.14213374361501882</v>
      </c>
      <c r="AF320" s="938">
        <f t="shared" si="157"/>
        <v>4.7840660161654902E-4</v>
      </c>
      <c r="AG320" s="938">
        <f t="shared" si="158"/>
        <v>0.14261215021663537</v>
      </c>
      <c r="AH320" s="1174">
        <f t="shared" si="154"/>
        <v>0.99664540082391417</v>
      </c>
      <c r="AI320" s="938">
        <f t="shared" si="155"/>
        <v>3.3545991760857976E-3</v>
      </c>
    </row>
    <row r="321" spans="1:35" x14ac:dyDescent="0.2">
      <c r="A321" s="330">
        <v>2042</v>
      </c>
      <c r="B321" s="344">
        <v>0</v>
      </c>
      <c r="C321" s="345">
        <v>6.7358971747395385E-2</v>
      </c>
      <c r="D321" s="345">
        <v>0.20619740102355086</v>
      </c>
      <c r="E321" s="345">
        <v>0.24691617025884061</v>
      </c>
      <c r="F321" s="345">
        <v>0.26802655498256261</v>
      </c>
      <c r="G321" s="345">
        <v>0.26605787309933715</v>
      </c>
      <c r="H321" s="345">
        <v>0.26152843637882078</v>
      </c>
      <c r="I321" s="345">
        <v>0.26134885165076921</v>
      </c>
      <c r="J321" s="345">
        <v>0.25772412562010139</v>
      </c>
      <c r="K321" s="345">
        <v>0.2570838516996124</v>
      </c>
      <c r="L321" s="380">
        <v>0.25422925335489088</v>
      </c>
      <c r="M321" s="296">
        <f t="shared" si="149"/>
        <v>0.14839977711105884</v>
      </c>
      <c r="N321" s="298">
        <f t="shared" si="150"/>
        <v>0.12073467569057343</v>
      </c>
      <c r="O321" s="344">
        <v>8.3933024457600439E-5</v>
      </c>
      <c r="P321" s="345">
        <v>1.286222079284242E-3</v>
      </c>
      <c r="Q321" s="345">
        <v>2.3439945715716098E-3</v>
      </c>
      <c r="R321" s="345">
        <v>2.5308123065543526E-3</v>
      </c>
      <c r="S321" s="345">
        <v>2.4849502088375602E-3</v>
      </c>
      <c r="T321" s="345">
        <v>2.4214231196241923E-3</v>
      </c>
      <c r="U321" s="345">
        <v>2.3749164249857175E-3</v>
      </c>
      <c r="V321" s="345">
        <v>2.3457961413749936E-3</v>
      </c>
      <c r="W321" s="345">
        <v>2.2991084165449264E-3</v>
      </c>
      <c r="X321" s="345">
        <v>2.2809354374599649E-3</v>
      </c>
      <c r="Y321" s="380">
        <v>2.2510979167188285E-3</v>
      </c>
      <c r="Z321" s="296">
        <f t="shared" si="151"/>
        <v>8.8414310935771873E-4</v>
      </c>
      <c r="AA321" s="298">
        <f t="shared" si="152"/>
        <v>8.1393918282208751E-4</v>
      </c>
      <c r="AB321" s="949">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50">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8">
        <f t="shared" si="159"/>
        <v>0</v>
      </c>
      <c r="AE321" s="938">
        <f t="shared" si="156"/>
        <v>0.14839977711105884</v>
      </c>
      <c r="AF321" s="938">
        <f t="shared" si="157"/>
        <v>8.8414310935771873E-4</v>
      </c>
      <c r="AG321" s="938">
        <f t="shared" si="158"/>
        <v>0.14928392022041656</v>
      </c>
      <c r="AH321" s="1174">
        <f t="shared" si="154"/>
        <v>0.99407743909690816</v>
      </c>
      <c r="AI321" s="938">
        <f t="shared" si="155"/>
        <v>5.9225609030918282E-3</v>
      </c>
    </row>
    <row r="322" spans="1:35" x14ac:dyDescent="0.2">
      <c r="A322" s="330">
        <v>2043</v>
      </c>
      <c r="B322" s="344">
        <v>0</v>
      </c>
      <c r="C322" s="345">
        <v>0.15171311437186658</v>
      </c>
      <c r="D322" s="345">
        <v>0.24688431833186775</v>
      </c>
      <c r="E322" s="345">
        <v>0.27405638461535331</v>
      </c>
      <c r="F322" s="345">
        <v>0.2756276085909749</v>
      </c>
      <c r="G322" s="345">
        <v>0.26542322836395899</v>
      </c>
      <c r="H322" s="345">
        <v>0.26567962036765036</v>
      </c>
      <c r="I322" s="345">
        <v>0.26141546796116283</v>
      </c>
      <c r="J322" s="345">
        <v>0.25687560832622575</v>
      </c>
      <c r="K322" s="345">
        <v>0.25576630477302759</v>
      </c>
      <c r="L322" s="380">
        <v>0.25326618623671443</v>
      </c>
      <c r="M322" s="296">
        <f t="shared" si="149"/>
        <v>0.15730051574940446</v>
      </c>
      <c r="N322" s="298">
        <f t="shared" si="150"/>
        <v>0.13554003611233062</v>
      </c>
      <c r="O322" s="344">
        <v>7.9261579486039667E-4</v>
      </c>
      <c r="P322" s="345">
        <v>2.6455518682413932E-3</v>
      </c>
      <c r="Q322" s="345">
        <v>3.7427394350561648E-3</v>
      </c>
      <c r="R322" s="345">
        <v>4.1128634534751659E-3</v>
      </c>
      <c r="S322" s="345">
        <v>4.124923629015064E-3</v>
      </c>
      <c r="T322" s="345">
        <v>4.0566397032552257E-3</v>
      </c>
      <c r="U322" s="345">
        <v>4.0176986462053229E-3</v>
      </c>
      <c r="V322" s="345">
        <v>4.0007498795854605E-3</v>
      </c>
      <c r="W322" s="345">
        <v>3.9273096457831738E-3</v>
      </c>
      <c r="X322" s="345">
        <v>3.8996981374594141E-3</v>
      </c>
      <c r="Y322" s="380">
        <v>3.8759907294433262E-3</v>
      </c>
      <c r="Z322" s="296">
        <f t="shared" si="151"/>
        <v>1.4868121531853686E-3</v>
      </c>
      <c r="AA322" s="298">
        <f t="shared" si="152"/>
        <v>1.4062442591015621E-3</v>
      </c>
      <c r="AB322" s="949">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50">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8">
        <f t="shared" si="159"/>
        <v>0</v>
      </c>
      <c r="AE322" s="938">
        <f t="shared" si="156"/>
        <v>0.15730051574940446</v>
      </c>
      <c r="AF322" s="938">
        <f t="shared" si="157"/>
        <v>1.4868121531853686E-3</v>
      </c>
      <c r="AG322" s="938">
        <f t="shared" si="158"/>
        <v>0.15878732790258981</v>
      </c>
      <c r="AH322" s="1174">
        <f t="shared" si="154"/>
        <v>0.99063645586316895</v>
      </c>
      <c r="AI322" s="938">
        <f t="shared" si="155"/>
        <v>9.3635441368310774E-3</v>
      </c>
    </row>
    <row r="323" spans="1:35" x14ac:dyDescent="0.2">
      <c r="A323" s="330">
        <v>2044</v>
      </c>
      <c r="B323" s="344">
        <v>8.6424609125156516E-4</v>
      </c>
      <c r="C323" s="345">
        <v>0.22507884950072415</v>
      </c>
      <c r="D323" s="345">
        <v>0.26746570350387661</v>
      </c>
      <c r="E323" s="345">
        <v>0.27328122337901828</v>
      </c>
      <c r="F323" s="345">
        <v>0.27591170144483912</v>
      </c>
      <c r="G323" s="345">
        <v>0.26470102348584623</v>
      </c>
      <c r="H323" s="345">
        <v>0.2635979374796083</v>
      </c>
      <c r="I323" s="345">
        <v>0.2583903166830952</v>
      </c>
      <c r="J323" s="345">
        <v>0.25578697493524355</v>
      </c>
      <c r="K323" s="345">
        <v>0.25460273061891131</v>
      </c>
      <c r="L323" s="380">
        <v>0.25248839667585898</v>
      </c>
      <c r="M323" s="296">
        <f t="shared" si="149"/>
        <v>0.16056782653103013</v>
      </c>
      <c r="N323" s="298">
        <f t="shared" si="150"/>
        <v>0.14372347254157328</v>
      </c>
      <c r="O323" s="344">
        <v>3.2475132987648415E-3</v>
      </c>
      <c r="P323" s="345">
        <v>3.3894573392184908E-3</v>
      </c>
      <c r="Q323" s="345">
        <v>4.2902331890981834E-3</v>
      </c>
      <c r="R323" s="345">
        <v>5.2710432231450124E-3</v>
      </c>
      <c r="S323" s="345">
        <v>5.1891340077239202E-3</v>
      </c>
      <c r="T323" s="345">
        <v>5.1408782361213471E-3</v>
      </c>
      <c r="U323" s="345">
        <v>5.1350881115914499E-3</v>
      </c>
      <c r="V323" s="345">
        <v>5.0901961978060389E-3</v>
      </c>
      <c r="W323" s="345">
        <v>5.0319749548754789E-3</v>
      </c>
      <c r="X323" s="345">
        <v>5.0014017750557183E-3</v>
      </c>
      <c r="Y323" s="380">
        <v>4.976233906747252E-3</v>
      </c>
      <c r="Z323" s="296">
        <f t="shared" si="151"/>
        <v>1.8893356687761692E-3</v>
      </c>
      <c r="AA323" s="298">
        <f t="shared" si="152"/>
        <v>1.8630192011578903E-3</v>
      </c>
      <c r="AB323" s="949">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50">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8">
        <f t="shared" si="159"/>
        <v>0</v>
      </c>
      <c r="AE323" s="938">
        <f t="shared" si="156"/>
        <v>0.16056782653103013</v>
      </c>
      <c r="AF323" s="938">
        <f t="shared" si="157"/>
        <v>1.8893356687761692E-3</v>
      </c>
      <c r="AG323" s="938">
        <f t="shared" si="158"/>
        <v>0.1624571621998063</v>
      </c>
      <c r="AH323" s="1174">
        <f t="shared" si="154"/>
        <v>0.98837025315970695</v>
      </c>
      <c r="AI323" s="938">
        <f t="shared" si="155"/>
        <v>1.1629746840293028E-2</v>
      </c>
    </row>
    <row r="324" spans="1:35" ht="13.5" thickBot="1" x14ac:dyDescent="0.25">
      <c r="A324" s="328">
        <v>2045</v>
      </c>
      <c r="B324" s="346">
        <v>8.634291797344245E-3</v>
      </c>
      <c r="C324" s="347">
        <v>0.31486981315154661</v>
      </c>
      <c r="D324" s="347">
        <v>0.26689132799398141</v>
      </c>
      <c r="E324" s="347">
        <v>0.28559463884307795</v>
      </c>
      <c r="F324" s="347">
        <v>0.27720839055851565</v>
      </c>
      <c r="G324" s="347">
        <v>0.26678612233943128</v>
      </c>
      <c r="H324" s="347">
        <v>0.26220280360743847</v>
      </c>
      <c r="I324" s="347">
        <v>0.25731458744018904</v>
      </c>
      <c r="J324" s="347">
        <v>0.25489168612818397</v>
      </c>
      <c r="K324" s="347">
        <v>0.25360842063092387</v>
      </c>
      <c r="L324" s="381">
        <v>0.25265136591768439</v>
      </c>
      <c r="M324" s="310">
        <f t="shared" si="149"/>
        <v>0.16483613757059948</v>
      </c>
      <c r="N324" s="312">
        <f t="shared" si="150"/>
        <v>0.15328338878756531</v>
      </c>
      <c r="O324" s="346">
        <v>1.1138816456173517E-2</v>
      </c>
      <c r="P324" s="347">
        <v>5.6084690661074715E-3</v>
      </c>
      <c r="Q324" s="347">
        <v>6.400469388458791E-3</v>
      </c>
      <c r="R324" s="347">
        <v>8.2465744087654846E-3</v>
      </c>
      <c r="S324" s="347">
        <v>8.3262239332518393E-3</v>
      </c>
      <c r="T324" s="347">
        <v>8.2007028252338784E-3</v>
      </c>
      <c r="U324" s="347">
        <v>8.1996328091682794E-3</v>
      </c>
      <c r="V324" s="347">
        <v>8.1345858359351941E-3</v>
      </c>
      <c r="W324" s="347">
        <v>8.0572502500548364E-3</v>
      </c>
      <c r="X324" s="347">
        <v>8.0168071892867693E-3</v>
      </c>
      <c r="Y324" s="381">
        <v>7.985762098822017E-3</v>
      </c>
      <c r="Z324" s="310">
        <f t="shared" si="151"/>
        <v>3.0452688761196931E-3</v>
      </c>
      <c r="AA324" s="312">
        <f t="shared" si="152"/>
        <v>3.2256822748408039E-3</v>
      </c>
      <c r="AB324" s="949">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50">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8">
        <f t="shared" si="159"/>
        <v>0</v>
      </c>
      <c r="AE324" s="938">
        <f t="shared" si="156"/>
        <v>0.16483613757059948</v>
      </c>
      <c r="AF324" s="938">
        <f t="shared" si="157"/>
        <v>3.0452688761196931E-3</v>
      </c>
      <c r="AG324" s="938">
        <f t="shared" si="158"/>
        <v>0.16788140644671917</v>
      </c>
      <c r="AH324" s="1174">
        <f t="shared" si="154"/>
        <v>0.98186059468660591</v>
      </c>
      <c r="AI324" s="938">
        <f t="shared" si="155"/>
        <v>1.8139405313394107E-2</v>
      </c>
    </row>
    <row r="325" spans="1:35" x14ac:dyDescent="0.2">
      <c r="A325" s="329">
        <v>2046</v>
      </c>
      <c r="B325" s="342">
        <v>2.0442703177147407E-2</v>
      </c>
      <c r="C325" s="343">
        <v>0.32882725329014389</v>
      </c>
      <c r="D325" s="343">
        <v>0.26524171461736434</v>
      </c>
      <c r="E325" s="343">
        <v>0.2910912530758149</v>
      </c>
      <c r="F325" s="343">
        <v>0.27914372551081829</v>
      </c>
      <c r="G325" s="343">
        <v>0.26805341880928762</v>
      </c>
      <c r="H325" s="343">
        <v>0.26091347725390091</v>
      </c>
      <c r="I325" s="343">
        <v>0.25637256925238394</v>
      </c>
      <c r="J325" s="343">
        <v>0.25414427664090844</v>
      </c>
      <c r="K325" s="343">
        <v>0.25375789134524629</v>
      </c>
      <c r="L325" s="379">
        <v>0.25206296437224573</v>
      </c>
      <c r="M325" s="282">
        <f t="shared" si="149"/>
        <v>0.16587973049291213</v>
      </c>
      <c r="N325" s="284">
        <f t="shared" si="150"/>
        <v>0.15551567238445388</v>
      </c>
      <c r="O325" s="342">
        <v>2.0902114401273948E-2</v>
      </c>
      <c r="P325" s="343">
        <v>1.0897243219373826E-2</v>
      </c>
      <c r="Q325" s="343">
        <v>9.3353069931127117E-3</v>
      </c>
      <c r="R325" s="343">
        <v>1.2587733351663586E-2</v>
      </c>
      <c r="S325" s="343">
        <v>1.264313144634471E-2</v>
      </c>
      <c r="T325" s="343">
        <v>1.2576056632970858E-2</v>
      </c>
      <c r="U325" s="343">
        <v>1.2640855841086797E-2</v>
      </c>
      <c r="V325" s="343">
        <v>1.2499621097098762E-2</v>
      </c>
      <c r="W325" s="343">
        <v>1.2469623473502413E-2</v>
      </c>
      <c r="X325" s="343">
        <v>1.2407277266463982E-2</v>
      </c>
      <c r="Y325" s="379">
        <v>1.2359417113203304E-2</v>
      </c>
      <c r="Z325" s="282">
        <f t="shared" si="151"/>
        <v>4.7366923836684553E-3</v>
      </c>
      <c r="AA325" s="284">
        <f t="shared" si="152"/>
        <v>5.2365637699998318E-3</v>
      </c>
      <c r="AB325" s="949">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50">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8">
        <f t="shared" si="159"/>
        <v>0</v>
      </c>
      <c r="AE325" s="938">
        <f t="shared" si="156"/>
        <v>0.16587973049291213</v>
      </c>
      <c r="AF325" s="938">
        <f t="shared" si="157"/>
        <v>4.7366923836684553E-3</v>
      </c>
      <c r="AG325" s="938">
        <f t="shared" si="158"/>
        <v>0.17061642287658058</v>
      </c>
      <c r="AH325" s="1174">
        <f t="shared" si="154"/>
        <v>0.97223776994143851</v>
      </c>
      <c r="AI325" s="938">
        <f t="shared" si="155"/>
        <v>2.7762230058561561E-2</v>
      </c>
    </row>
    <row r="326" spans="1:35" x14ac:dyDescent="0.2">
      <c r="A326" s="330">
        <v>2047</v>
      </c>
      <c r="B326" s="344">
        <v>3.9523392215023122E-2</v>
      </c>
      <c r="C326" s="345">
        <v>0.33074134986382603</v>
      </c>
      <c r="D326" s="345">
        <v>0.26707471768812002</v>
      </c>
      <c r="E326" s="345">
        <v>0.29480608057010643</v>
      </c>
      <c r="F326" s="345">
        <v>0.27725110297520278</v>
      </c>
      <c r="G326" s="345">
        <v>0.26787573396428915</v>
      </c>
      <c r="H326" s="345">
        <v>0.25974531421382974</v>
      </c>
      <c r="I326" s="345">
        <v>0.25675643575164431</v>
      </c>
      <c r="J326" s="345">
        <v>0.25452484081674465</v>
      </c>
      <c r="K326" s="345">
        <v>0.25314005026506792</v>
      </c>
      <c r="L326" s="380">
        <v>0.25240181651707438</v>
      </c>
      <c r="M326" s="296">
        <f t="shared" si="149"/>
        <v>0.1661742224391122</v>
      </c>
      <c r="N326" s="298">
        <f t="shared" si="150"/>
        <v>0.1566961862872443</v>
      </c>
      <c r="O326" s="344">
        <v>3.2861386979029933E-2</v>
      </c>
      <c r="P326" s="345">
        <v>1.7159193252355487E-2</v>
      </c>
      <c r="Q326" s="345">
        <v>1.325816004081508E-2</v>
      </c>
      <c r="R326" s="345">
        <v>1.8655795747505116E-2</v>
      </c>
      <c r="S326" s="345">
        <v>1.8831016571101779E-2</v>
      </c>
      <c r="T326" s="345">
        <v>1.8737078851304993E-2</v>
      </c>
      <c r="U326" s="345">
        <v>1.868445498735978E-2</v>
      </c>
      <c r="V326" s="345">
        <v>1.8627252930850595E-2</v>
      </c>
      <c r="W326" s="345">
        <v>1.8491743010073735E-2</v>
      </c>
      <c r="X326" s="345">
        <v>1.8491743010073735E-2</v>
      </c>
      <c r="Y326" s="380">
        <v>1.8420814593937063E-2</v>
      </c>
      <c r="Z326" s="296">
        <f t="shared" si="151"/>
        <v>7.0539156531386838E-3</v>
      </c>
      <c r="AA326" s="298">
        <f t="shared" si="152"/>
        <v>7.8902216280150022E-3</v>
      </c>
      <c r="AB326" s="949">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50">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8">
        <f t="shared" si="159"/>
        <v>0</v>
      </c>
      <c r="AE326" s="938">
        <f t="shared" si="156"/>
        <v>0.1661742224391122</v>
      </c>
      <c r="AF326" s="938">
        <f t="shared" si="157"/>
        <v>7.0539156531386838E-3</v>
      </c>
      <c r="AG326" s="938">
        <f t="shared" si="158"/>
        <v>0.17322813809225088</v>
      </c>
      <c r="AH326" s="1174">
        <f t="shared" si="154"/>
        <v>0.95927961974986886</v>
      </c>
      <c r="AI326" s="938">
        <f t="shared" si="155"/>
        <v>4.0720380250131145E-2</v>
      </c>
    </row>
    <row r="327" spans="1:35" x14ac:dyDescent="0.2">
      <c r="A327" s="330">
        <v>2048</v>
      </c>
      <c r="B327" s="344">
        <v>9.0641279894099175E-2</v>
      </c>
      <c r="C327" s="345">
        <v>0.3910420786533933</v>
      </c>
      <c r="D327" s="345">
        <v>0.28193696272165841</v>
      </c>
      <c r="E327" s="345">
        <v>0.2965180645567761</v>
      </c>
      <c r="F327" s="345">
        <v>0.27700557718253793</v>
      </c>
      <c r="G327" s="345">
        <v>0.26645099371286618</v>
      </c>
      <c r="H327" s="345">
        <v>0.26009882919725791</v>
      </c>
      <c r="I327" s="345">
        <v>0.25710602813153249</v>
      </c>
      <c r="J327" s="345">
        <v>0.25487138792028663</v>
      </c>
      <c r="K327" s="345">
        <v>0.25348452282685874</v>
      </c>
      <c r="L327" s="380">
        <v>0.25274500542906014</v>
      </c>
      <c r="M327" s="296">
        <f t="shared" si="149"/>
        <v>0.16959772495121761</v>
      </c>
      <c r="N327" s="298">
        <f t="shared" si="150"/>
        <v>0.16559496649793445</v>
      </c>
      <c r="O327" s="344">
        <v>5.8337154598021385E-2</v>
      </c>
      <c r="P327" s="345">
        <v>2.2128241085018631E-2</v>
      </c>
      <c r="Q327" s="345">
        <v>1.6027672825898058E-2</v>
      </c>
      <c r="R327" s="345">
        <v>2.226790037472073E-2</v>
      </c>
      <c r="S327" s="345">
        <v>2.2456524560278798E-2</v>
      </c>
      <c r="T327" s="345">
        <v>2.2389058980800732E-2</v>
      </c>
      <c r="U327" s="345">
        <v>2.2349241787494149E-2</v>
      </c>
      <c r="V327" s="345">
        <v>2.2304592998792144E-2</v>
      </c>
      <c r="W327" s="345">
        <v>2.2278155887505903E-2</v>
      </c>
      <c r="X327" s="345">
        <v>2.2192988684667916E-2</v>
      </c>
      <c r="Y327" s="380">
        <v>2.2136285704203593E-2</v>
      </c>
      <c r="Z327" s="296">
        <f t="shared" si="151"/>
        <v>8.6375069456870335E-3</v>
      </c>
      <c r="AA327" s="298">
        <f t="shared" si="152"/>
        <v>1.042475064109276E-2</v>
      </c>
      <c r="AB327" s="949">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50">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8">
        <f t="shared" si="159"/>
        <v>0</v>
      </c>
      <c r="AE327" s="938">
        <f t="shared" si="156"/>
        <v>0.16959772495121761</v>
      </c>
      <c r="AF327" s="938">
        <f t="shared" si="157"/>
        <v>8.6375069456870335E-3</v>
      </c>
      <c r="AG327" s="938">
        <f t="shared" si="158"/>
        <v>0.17823523189690466</v>
      </c>
      <c r="AH327" s="1174">
        <f t="shared" si="154"/>
        <v>0.9515387229911807</v>
      </c>
      <c r="AI327" s="938">
        <f t="shared" si="155"/>
        <v>4.8461277008819255E-2</v>
      </c>
    </row>
    <row r="328" spans="1:35" x14ac:dyDescent="0.2">
      <c r="A328" s="330">
        <v>2049</v>
      </c>
      <c r="B328" s="344">
        <v>0.15306765754433005</v>
      </c>
      <c r="C328" s="345">
        <v>0.42243371254311396</v>
      </c>
      <c r="D328" s="345">
        <v>0.28445627471863727</v>
      </c>
      <c r="E328" s="345">
        <v>0.29419286133401829</v>
      </c>
      <c r="F328" s="345">
        <v>0.27734252054651648</v>
      </c>
      <c r="G328" s="345">
        <v>0.26677627425471329</v>
      </c>
      <c r="H328" s="345">
        <v>0.26041759286176147</v>
      </c>
      <c r="I328" s="345">
        <v>0.25624120679307838</v>
      </c>
      <c r="J328" s="345">
        <v>0.25421774910006117</v>
      </c>
      <c r="K328" s="345">
        <v>0.25379500686588868</v>
      </c>
      <c r="L328" s="380">
        <v>0.2530542928224046</v>
      </c>
      <c r="M328" s="296">
        <f t="shared" si="149"/>
        <v>0.17107617543455711</v>
      </c>
      <c r="N328" s="298">
        <f t="shared" si="150"/>
        <v>0.17093085676844516</v>
      </c>
      <c r="O328" s="344">
        <v>0.1022886974816194</v>
      </c>
      <c r="P328" s="345">
        <v>3.1254742908236439E-2</v>
      </c>
      <c r="Q328" s="345">
        <v>2.3458853149813313E-2</v>
      </c>
      <c r="R328" s="345">
        <v>3.141254180917892E-2</v>
      </c>
      <c r="S328" s="345">
        <v>3.1706142177528839E-2</v>
      </c>
      <c r="T328" s="345">
        <v>3.1625468357962684E-2</v>
      </c>
      <c r="U328" s="345">
        <v>3.1574719687910126E-2</v>
      </c>
      <c r="V328" s="345">
        <v>3.1515946429322123E-2</v>
      </c>
      <c r="W328" s="345">
        <v>3.1482349108446168E-2</v>
      </c>
      <c r="X328" s="345">
        <v>3.1363067479185484E-2</v>
      </c>
      <c r="Y328" s="380">
        <v>3.1283647128403765E-2</v>
      </c>
      <c r="Z328" s="296">
        <f t="shared" si="151"/>
        <v>1.2393508882978964E-2</v>
      </c>
      <c r="AA328" s="298">
        <f t="shared" si="152"/>
        <v>1.5688454287451283E-2</v>
      </c>
      <c r="AB328" s="949">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50">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8">
        <f t="shared" si="159"/>
        <v>0</v>
      </c>
      <c r="AE328" s="938">
        <f t="shared" si="156"/>
        <v>0.17107617543455711</v>
      </c>
      <c r="AF328" s="938">
        <f t="shared" si="157"/>
        <v>1.2393508882978964E-2</v>
      </c>
      <c r="AG328" s="938">
        <f t="shared" si="158"/>
        <v>0.18346968431753607</v>
      </c>
      <c r="AH328" s="1174">
        <f t="shared" si="154"/>
        <v>0.93244928213028822</v>
      </c>
      <c r="AI328" s="938">
        <f t="shared" si="155"/>
        <v>6.7550717869711785E-2</v>
      </c>
    </row>
    <row r="329" spans="1:35" ht="13.5" thickBot="1" x14ac:dyDescent="0.25">
      <c r="A329" s="328">
        <v>2050</v>
      </c>
      <c r="B329" s="346">
        <v>0.26610857040464603</v>
      </c>
      <c r="C329" s="347">
        <v>0.42815854897009759</v>
      </c>
      <c r="D329" s="347">
        <v>0.28791344242410105</v>
      </c>
      <c r="E329" s="347">
        <v>0.29615684650978508</v>
      </c>
      <c r="F329" s="347">
        <v>0.27764267140157556</v>
      </c>
      <c r="G329" s="347">
        <v>0.26706595276622219</v>
      </c>
      <c r="H329" s="347">
        <v>0.2593123036006123</v>
      </c>
      <c r="I329" s="347">
        <v>0.25652008652376201</v>
      </c>
      <c r="J329" s="347">
        <v>0.25449442154407148</v>
      </c>
      <c r="K329" s="347">
        <v>0.25407137618000386</v>
      </c>
      <c r="L329" s="381">
        <v>0.25283491241024469</v>
      </c>
      <c r="M329" s="310">
        <f t="shared" si="149"/>
        <v>0.17235002246059303</v>
      </c>
      <c r="N329" s="312">
        <f t="shared" si="150"/>
        <v>0.17641659764458642</v>
      </c>
      <c r="O329" s="346">
        <v>0.1484107329453061</v>
      </c>
      <c r="P329" s="347">
        <v>3.8344922813758377E-2</v>
      </c>
      <c r="Q329" s="347">
        <v>2.7741818998981715E-2</v>
      </c>
      <c r="R329" s="347">
        <v>3.6840006511245027E-2</v>
      </c>
      <c r="S329" s="347">
        <v>3.7203561135408493E-2</v>
      </c>
      <c r="T329" s="347">
        <v>3.7119044154945262E-2</v>
      </c>
      <c r="U329" s="347">
        <v>3.706330052641927E-2</v>
      </c>
      <c r="V329" s="347">
        <v>3.6997301213068878E-2</v>
      </c>
      <c r="W329" s="347">
        <v>3.6960475132354849E-2</v>
      </c>
      <c r="X329" s="347">
        <v>3.6821158184697465E-2</v>
      </c>
      <c r="Y329" s="381">
        <v>3.6728394851719783E-2</v>
      </c>
      <c r="Z329" s="310">
        <f t="shared" si="151"/>
        <v>1.4829004830477359E-2</v>
      </c>
      <c r="AA329" s="312">
        <f t="shared" si="152"/>
        <v>1.9841227975178663E-2</v>
      </c>
      <c r="AB329" s="951">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2">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9">
        <f t="shared" si="159"/>
        <v>0</v>
      </c>
      <c r="AE329" s="938">
        <f t="shared" ref="AE329" si="160">SUMPRODUCT($B$74:$L$74,B329:L329)</f>
        <v>0.17235002246059303</v>
      </c>
      <c r="AF329" s="938">
        <f t="shared" ref="AF329" si="161">SUMPRODUCT($O$74:$Y$74,O329:Y329)</f>
        <v>1.4829004830477359E-2</v>
      </c>
      <c r="AG329" s="938">
        <f t="shared" ref="AG329" si="162">SUM(AE329:AF329)</f>
        <v>0.18717902729107039</v>
      </c>
      <c r="AH329" s="1174">
        <f t="shared" ref="AH329" si="163">IF(AG329&gt;0,AE329/AG329,0)</f>
        <v>0.92077635488821241</v>
      </c>
      <c r="AI329" s="938">
        <f t="shared" ref="AI329" si="164">IF(AG329&gt;0,AF329/AG329,0)</f>
        <v>7.9223645111787561E-2</v>
      </c>
    </row>
    <row r="330" spans="1:35" x14ac:dyDescent="0.2">
      <c r="B330" s="227" t="str">
        <f>B$120</f>
        <v>Output generated: 4/26/2020 19:05</v>
      </c>
      <c r="O330" s="227" t="str">
        <f>O$120</f>
        <v>Output generated: 4/26/2020 19:05</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140625" style="227" customWidth="1"/>
    <col min="11" max="11" width="8.42578125" style="227"/>
    <col min="12" max="12" width="12.28515625" style="227" customWidth="1"/>
    <col min="13" max="13" width="10"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8.42578125" style="227"/>
    <col min="29" max="29" width="12" style="227" customWidth="1"/>
    <col min="30" max="33" width="8.42578125" style="227"/>
    <col min="34" max="34" width="9.42578125" style="227" customWidth="1"/>
    <col min="35" max="39" width="8.42578125" style="323"/>
    <col min="40" max="40" width="9.5703125" style="227" customWidth="1"/>
    <col min="41" max="41" width="9" style="227" customWidth="1"/>
    <col min="42" max="42" width="9.28515625" style="227" customWidth="1"/>
    <col min="43" max="43" width="9.42578125" style="227" customWidth="1"/>
    <col min="44" max="44" width="8.42578125" style="227"/>
    <col min="45" max="46" width="9" style="227" customWidth="1"/>
    <col min="47" max="47" width="8.42578125" style="227"/>
    <col min="48" max="48" width="9" style="227" customWidth="1"/>
    <col min="49" max="54" width="8.42578125" style="227"/>
    <col min="55" max="55" width="9.140625" style="227" bestFit="1" customWidth="1"/>
    <col min="56" max="57" width="8.42578125" style="227"/>
    <col min="58" max="58" width="9.140625" style="227" bestFit="1" customWidth="1"/>
    <col min="59" max="60" width="9.5703125" style="227" bestFit="1" customWidth="1"/>
    <col min="61" max="16384" width="8.42578125" style="227"/>
  </cols>
  <sheetData>
    <row r="1" spans="2:64" ht="15.75" x14ac:dyDescent="0.25">
      <c r="B1" s="54" t="s">
        <v>245</v>
      </c>
      <c r="C1" s="232"/>
      <c r="D1" s="232"/>
      <c r="E1" s="232"/>
      <c r="F1" s="232"/>
      <c r="L1" s="227" t="s">
        <v>205</v>
      </c>
      <c r="AI1" s="227"/>
      <c r="AJ1" s="227"/>
      <c r="AK1" s="227"/>
      <c r="AL1" s="227"/>
      <c r="AM1" s="227"/>
    </row>
    <row r="2" spans="2:64" x14ac:dyDescent="0.2">
      <c r="Y2" s="235"/>
      <c r="AI2" s="227"/>
      <c r="AJ2" s="227"/>
      <c r="AK2" s="227"/>
      <c r="AL2" s="227"/>
      <c r="AM2" s="227"/>
    </row>
    <row r="3" spans="2:64" x14ac:dyDescent="0.2">
      <c r="B3" s="1570" t="s">
        <v>53</v>
      </c>
      <c r="C3" s="1571"/>
      <c r="D3" s="236">
        <v>7.4999999999999997E-2</v>
      </c>
      <c r="F3"/>
      <c r="G3"/>
      <c r="H3"/>
      <c r="L3" s="227" t="s">
        <v>375</v>
      </c>
      <c r="N3" s="227" t="s">
        <v>127</v>
      </c>
      <c r="P3" s="1553" t="s">
        <v>205</v>
      </c>
      <c r="Q3" s="1554"/>
      <c r="R3" s="1554"/>
      <c r="S3" s="1554"/>
      <c r="T3" s="1554"/>
      <c r="U3" s="1555"/>
      <c r="Y3" s="216"/>
      <c r="AI3" s="227"/>
      <c r="AJ3" s="227"/>
      <c r="AK3" s="227"/>
      <c r="AL3" s="227"/>
      <c r="AM3" s="227"/>
    </row>
    <row r="4" spans="2:64" x14ac:dyDescent="0.2">
      <c r="B4" s="1570" t="s">
        <v>104</v>
      </c>
      <c r="C4" s="1571"/>
      <c r="D4" s="225" t="s">
        <v>111</v>
      </c>
      <c r="F4"/>
      <c r="G4"/>
      <c r="H4"/>
      <c r="N4" s="227" t="s">
        <v>126</v>
      </c>
      <c r="P4" s="1567">
        <v>43947.795231481483</v>
      </c>
      <c r="Q4" s="1554"/>
      <c r="R4" s="1554"/>
      <c r="S4" s="1554"/>
      <c r="T4" s="1554"/>
      <c r="U4" s="1555"/>
      <c r="V4" s="227" t="s">
        <v>187</v>
      </c>
      <c r="AI4" s="227"/>
      <c r="AJ4" s="227"/>
      <c r="AK4" s="227"/>
      <c r="AL4" s="227"/>
      <c r="AM4" s="227"/>
    </row>
    <row r="5" spans="2:64" x14ac:dyDescent="0.2">
      <c r="B5" s="1570" t="s">
        <v>118</v>
      </c>
      <c r="C5" s="1571"/>
      <c r="D5" s="225" t="s">
        <v>15</v>
      </c>
      <c r="F5"/>
      <c r="G5"/>
      <c r="H5"/>
      <c r="P5" s="1567">
        <v>43947.795231481483</v>
      </c>
      <c r="Q5" s="1554"/>
      <c r="R5" s="1554"/>
      <c r="S5" s="1554"/>
      <c r="T5" s="1554"/>
      <c r="U5" s="1555"/>
      <c r="V5" s="227" t="s">
        <v>15</v>
      </c>
      <c r="AI5" s="227"/>
      <c r="AJ5" s="227"/>
      <c r="AK5" s="227"/>
      <c r="AL5" s="227"/>
      <c r="AM5" s="227"/>
    </row>
    <row r="6" spans="2:64" x14ac:dyDescent="0.2">
      <c r="B6" s="1570" t="s">
        <v>68</v>
      </c>
      <c r="C6" s="1571"/>
      <c r="D6" s="238">
        <v>225000</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8" customFormat="1" ht="28.5" customHeight="1" x14ac:dyDescent="0.2">
      <c r="B9" s="1060"/>
      <c r="C9" s="1061"/>
      <c r="D9" s="1062"/>
      <c r="E9" s="1062"/>
      <c r="F9" s="1060"/>
      <c r="G9" s="1063"/>
      <c r="H9" s="1064"/>
      <c r="I9" s="1064"/>
      <c r="J9" s="1541" t="s">
        <v>76</v>
      </c>
      <c r="K9" s="1542"/>
      <c r="L9" s="1587" t="s">
        <v>83</v>
      </c>
      <c r="M9" s="1588"/>
      <c r="N9" s="1587" t="s">
        <v>109</v>
      </c>
      <c r="O9" s="1589"/>
      <c r="P9" s="1589"/>
      <c r="Q9" s="1588"/>
      <c r="R9" s="1065"/>
      <c r="S9" s="1066"/>
      <c r="T9" s="1067"/>
      <c r="AD9" s="1069"/>
      <c r="AG9" s="1070"/>
      <c r="AH9" s="1070"/>
      <c r="AI9" s="1070"/>
      <c r="AJ9" s="1071"/>
      <c r="BF9" s="1072"/>
      <c r="BG9" s="1072"/>
      <c r="BH9" s="1072"/>
      <c r="BI9" s="1072"/>
      <c r="BJ9" s="1072"/>
      <c r="BK9" s="1072"/>
    </row>
    <row r="10" spans="2:64" s="240" customFormat="1" ht="39" customHeight="1" thickBot="1" x14ac:dyDescent="0.25">
      <c r="B10" s="273"/>
      <c r="C10" s="608" t="s">
        <v>75</v>
      </c>
      <c r="D10" s="591"/>
      <c r="E10" s="591"/>
      <c r="F10" s="731" t="s">
        <v>212</v>
      </c>
      <c r="G10" s="732" t="s">
        <v>211</v>
      </c>
      <c r="H10" s="836" t="s">
        <v>265</v>
      </c>
      <c r="I10" s="741" t="s">
        <v>81</v>
      </c>
      <c r="J10" s="1114" t="s">
        <v>284</v>
      </c>
      <c r="K10" s="1115" t="s">
        <v>285</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6"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7" t="b">
        <f t="shared" si="1"/>
        <v>0</v>
      </c>
      <c r="I12" s="743">
        <f t="shared" si="1"/>
        <v>2021</v>
      </c>
      <c r="J12" s="739">
        <f t="shared" si="1"/>
        <v>0</v>
      </c>
      <c r="K12" s="237">
        <f t="shared" si="1"/>
        <v>0.5</v>
      </c>
      <c r="L12" s="237">
        <f t="shared" si="1"/>
        <v>5000</v>
      </c>
      <c r="M12" s="237">
        <f t="shared" si="1"/>
        <v>100</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ISG</v>
      </c>
      <c r="D13" s="585"/>
      <c r="E13" s="585"/>
      <c r="F13" s="725" t="str">
        <f t="shared" si="1"/>
        <v>Diesel</v>
      </c>
      <c r="G13" s="726" t="str">
        <f t="shared" si="1"/>
        <v>N/A</v>
      </c>
      <c r="H13" s="887" t="b">
        <f t="shared" si="1"/>
        <v>0</v>
      </c>
      <c r="I13" s="743">
        <f t="shared" si="1"/>
        <v>2021</v>
      </c>
      <c r="J13" s="739">
        <f t="shared" si="1"/>
        <v>0</v>
      </c>
      <c r="K13" s="237">
        <f t="shared" si="1"/>
        <v>0.5</v>
      </c>
      <c r="L13" s="237">
        <f t="shared" si="1"/>
        <v>5000</v>
      </c>
      <c r="M13" s="237">
        <f t="shared" si="1"/>
        <v>100</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HEV</v>
      </c>
      <c r="D14" s="585"/>
      <c r="E14" s="585"/>
      <c r="F14" s="725" t="str">
        <f t="shared" si="1"/>
        <v>Diesel</v>
      </c>
      <c r="G14" s="726" t="str">
        <f t="shared" si="1"/>
        <v>N/A</v>
      </c>
      <c r="H14" s="887" t="b">
        <f t="shared" si="1"/>
        <v>0</v>
      </c>
      <c r="I14" s="743">
        <f t="shared" si="1"/>
        <v>2021</v>
      </c>
      <c r="J14" s="739">
        <f t="shared" si="1"/>
        <v>0</v>
      </c>
      <c r="K14" s="237">
        <f t="shared" si="1"/>
        <v>0.5</v>
      </c>
      <c r="L14" s="237">
        <f t="shared" si="1"/>
        <v>5000</v>
      </c>
      <c r="M14" s="237">
        <f t="shared" si="1"/>
        <v>100</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206</v>
      </c>
      <c r="C15" s="586" t="str">
        <f t="shared" si="0"/>
        <v>PHEV</v>
      </c>
      <c r="D15" s="587"/>
      <c r="E15" s="587"/>
      <c r="F15" s="727" t="str">
        <f t="shared" si="1"/>
        <v>Diesel</v>
      </c>
      <c r="G15" s="728" t="str">
        <f t="shared" si="1"/>
        <v>Electricity</v>
      </c>
      <c r="H15" s="887" t="b">
        <f t="shared" si="1"/>
        <v>0</v>
      </c>
      <c r="I15" s="743">
        <f t="shared" si="1"/>
        <v>2021</v>
      </c>
      <c r="J15" s="739">
        <f t="shared" si="1"/>
        <v>0</v>
      </c>
      <c r="K15" s="237">
        <f t="shared" si="1"/>
        <v>0.5</v>
      </c>
      <c r="L15" s="237">
        <f t="shared" si="1"/>
        <v>5000</v>
      </c>
      <c r="M15" s="237">
        <f t="shared" si="1"/>
        <v>100</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207</v>
      </c>
      <c r="C16" s="580" t="str">
        <f t="shared" si="0"/>
        <v>BEV</v>
      </c>
      <c r="D16" s="581"/>
      <c r="E16" s="581"/>
      <c r="F16" s="263" t="str">
        <f t="shared" si="1"/>
        <v>Electricity</v>
      </c>
      <c r="G16" s="262" t="str">
        <f t="shared" si="1"/>
        <v>N/A</v>
      </c>
      <c r="H16" s="888" t="b">
        <f t="shared" si="1"/>
        <v>1</v>
      </c>
      <c r="I16" s="744">
        <f t="shared" si="1"/>
        <v>2021</v>
      </c>
      <c r="J16" s="740">
        <f t="shared" si="1"/>
        <v>0</v>
      </c>
      <c r="K16" s="264">
        <f t="shared" si="1"/>
        <v>0.5</v>
      </c>
      <c r="L16" s="264">
        <f t="shared" si="1"/>
        <v>5000</v>
      </c>
      <c r="M16" s="264">
        <f t="shared" si="1"/>
        <v>100</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234</v>
      </c>
      <c r="AT17" s="800"/>
      <c r="AU17" s="800"/>
      <c r="AV17" s="799"/>
      <c r="AW17" s="789"/>
      <c r="AX17" s="787"/>
      <c r="AY17" s="788"/>
      <c r="AZ17" s="788"/>
      <c r="BA17" s="788"/>
      <c r="BB17"/>
      <c r="BC17"/>
      <c r="BD17"/>
      <c r="BE17"/>
      <c r="BF17"/>
      <c r="BG17"/>
      <c r="BH17"/>
    </row>
    <row r="18" spans="1:60" ht="13.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5.75" thickBot="1" x14ac:dyDescent="0.3">
      <c r="A19" s="805"/>
      <c r="B19" s="1564" t="s">
        <v>235</v>
      </c>
      <c r="C19" s="1565"/>
      <c r="D19" s="1565"/>
      <c r="E19" s="1565"/>
      <c r="F19" s="1565"/>
      <c r="G19" s="1566"/>
      <c r="H19" s="1564" t="s">
        <v>221</v>
      </c>
      <c r="I19" s="1565"/>
      <c r="J19" s="1565"/>
      <c r="K19" s="1565"/>
      <c r="L19" s="1565"/>
      <c r="M19" s="1566"/>
      <c r="N19" s="1565" t="s">
        <v>71</v>
      </c>
      <c r="O19" s="1565"/>
      <c r="P19" s="1565"/>
      <c r="Q19" s="1565"/>
      <c r="R19" s="1565"/>
      <c r="S19" s="1566"/>
      <c r="T19" s="1564" t="s">
        <v>107</v>
      </c>
      <c r="U19" s="1565"/>
      <c r="V19" s="1565"/>
      <c r="W19" s="1565"/>
      <c r="X19" s="1566"/>
      <c r="Y19" s="1564" t="s">
        <v>72</v>
      </c>
      <c r="Z19" s="1565"/>
      <c r="AA19" s="1565"/>
      <c r="AB19" s="1565"/>
      <c r="AC19" s="1566"/>
      <c r="AD19" s="1564" t="s">
        <v>92</v>
      </c>
      <c r="AE19" s="1565"/>
      <c r="AF19" s="1565"/>
      <c r="AG19" s="1565"/>
      <c r="AH19" s="1566"/>
      <c r="AI19" s="1564" t="s">
        <v>76</v>
      </c>
      <c r="AJ19" s="1565"/>
      <c r="AK19" s="1565"/>
      <c r="AL19" s="1565"/>
      <c r="AM19" s="1566"/>
      <c r="AN19" s="1564" t="s">
        <v>100</v>
      </c>
      <c r="AO19" s="1565"/>
      <c r="AP19" s="1565"/>
      <c r="AQ19" s="1565"/>
      <c r="AR19" s="1566"/>
      <c r="AS19" s="1564" t="s">
        <v>73</v>
      </c>
      <c r="AT19" s="1565"/>
      <c r="AU19" s="1565"/>
      <c r="AV19" s="1565"/>
      <c r="AW19" s="1566"/>
      <c r="AX19" s="1564" t="s">
        <v>102</v>
      </c>
      <c r="AY19" s="1565"/>
      <c r="AZ19" s="1565"/>
      <c r="BA19" s="1565"/>
      <c r="BB19" s="1566"/>
      <c r="BC19" s="1564" t="s">
        <v>82</v>
      </c>
      <c r="BD19" s="1565"/>
      <c r="BE19" s="1565"/>
      <c r="BF19" s="1565"/>
      <c r="BG19" s="1565"/>
      <c r="BH19" s="1566"/>
    </row>
    <row r="20" spans="1:60" ht="15" customHeight="1" x14ac:dyDescent="0.2">
      <c r="A20" s="272"/>
      <c r="B20" s="1038" t="s">
        <v>69</v>
      </c>
      <c r="C20" s="1039" t="s">
        <v>65</v>
      </c>
      <c r="D20" s="1039" t="s">
        <v>66</v>
      </c>
      <c r="E20" s="1039" t="s">
        <v>67</v>
      </c>
      <c r="F20" s="1039" t="s">
        <v>206</v>
      </c>
      <c r="G20" s="1085" t="s">
        <v>207</v>
      </c>
      <c r="H20" s="1038" t="s">
        <v>69</v>
      </c>
      <c r="I20" s="1039" t="s">
        <v>65</v>
      </c>
      <c r="J20" s="1039" t="s">
        <v>66</v>
      </c>
      <c r="K20" s="1039" t="s">
        <v>67</v>
      </c>
      <c r="L20" s="1039" t="s">
        <v>206</v>
      </c>
      <c r="M20" s="1085" t="s">
        <v>207</v>
      </c>
      <c r="N20" s="1038" t="s">
        <v>69</v>
      </c>
      <c r="O20" s="1039" t="s">
        <v>65</v>
      </c>
      <c r="P20" s="1039" t="s">
        <v>66</v>
      </c>
      <c r="Q20" s="1039" t="s">
        <v>67</v>
      </c>
      <c r="R20" s="1039" t="s">
        <v>206</v>
      </c>
      <c r="S20" s="1085" t="s">
        <v>207</v>
      </c>
      <c r="T20" s="1044" t="s">
        <v>65</v>
      </c>
      <c r="U20" s="1045" t="s">
        <v>66</v>
      </c>
      <c r="V20" s="1045" t="s">
        <v>67</v>
      </c>
      <c r="W20" s="1039" t="s">
        <v>206</v>
      </c>
      <c r="X20" s="1085" t="s">
        <v>207</v>
      </c>
      <c r="Y20" s="1044" t="s">
        <v>65</v>
      </c>
      <c r="Z20" s="1045" t="s">
        <v>66</v>
      </c>
      <c r="AA20" s="1045" t="s">
        <v>67</v>
      </c>
      <c r="AB20" s="1039" t="s">
        <v>206</v>
      </c>
      <c r="AC20" s="1085" t="s">
        <v>207</v>
      </c>
      <c r="AD20" s="1044" t="s">
        <v>65</v>
      </c>
      <c r="AE20" s="1045" t="s">
        <v>66</v>
      </c>
      <c r="AF20" s="1045" t="s">
        <v>67</v>
      </c>
      <c r="AG20" s="1039" t="s">
        <v>206</v>
      </c>
      <c r="AH20" s="1085" t="s">
        <v>207</v>
      </c>
      <c r="AI20" s="1044" t="s">
        <v>65</v>
      </c>
      <c r="AJ20" s="1045" t="s">
        <v>66</v>
      </c>
      <c r="AK20" s="1045" t="s">
        <v>67</v>
      </c>
      <c r="AL20" s="1039" t="s">
        <v>206</v>
      </c>
      <c r="AM20" s="1085" t="s">
        <v>207</v>
      </c>
      <c r="AN20" s="1044" t="s">
        <v>65</v>
      </c>
      <c r="AO20" s="1045" t="s">
        <v>66</v>
      </c>
      <c r="AP20" s="1045" t="s">
        <v>67</v>
      </c>
      <c r="AQ20" s="1039" t="s">
        <v>206</v>
      </c>
      <c r="AR20" s="1085" t="s">
        <v>207</v>
      </c>
      <c r="AS20" s="1044" t="s">
        <v>65</v>
      </c>
      <c r="AT20" s="1045" t="s">
        <v>66</v>
      </c>
      <c r="AU20" s="1045" t="s">
        <v>67</v>
      </c>
      <c r="AV20" s="1039" t="s">
        <v>206</v>
      </c>
      <c r="AW20" s="1085" t="s">
        <v>207</v>
      </c>
      <c r="AX20" s="1044" t="s">
        <v>65</v>
      </c>
      <c r="AY20" s="1045" t="s">
        <v>66</v>
      </c>
      <c r="AZ20" s="1045" t="s">
        <v>67</v>
      </c>
      <c r="BA20" s="1039" t="s">
        <v>206</v>
      </c>
      <c r="BB20" s="1085" t="s">
        <v>207</v>
      </c>
      <c r="BC20" s="1044" t="s">
        <v>69</v>
      </c>
      <c r="BD20" s="1045" t="s">
        <v>65</v>
      </c>
      <c r="BE20" s="1045" t="s">
        <v>66</v>
      </c>
      <c r="BF20" s="1045" t="s">
        <v>67</v>
      </c>
      <c r="BG20" s="1039" t="s">
        <v>206</v>
      </c>
      <c r="BH20" s="1085" t="s">
        <v>207</v>
      </c>
    </row>
    <row r="21" spans="1:60" s="234" customFormat="1" x14ac:dyDescent="0.2">
      <c r="A21" s="767"/>
      <c r="B21" s="1073"/>
      <c r="C21" s="1074"/>
      <c r="D21" s="1074"/>
      <c r="E21" s="1074"/>
      <c r="F21" s="1074"/>
      <c r="G21" s="1075"/>
      <c r="H21" s="994" t="str">
        <f>IF(INDEX($G$11:$G$16,MATCH(H20,$B$11:$B$16,0))="N/A","Single-fuel","Dual-Fuel")</f>
        <v>Single-fuel</v>
      </c>
      <c r="I21" s="995" t="str">
        <f t="shared" ref="I21:M21" si="3">IF(INDEX($G$11:$G$16,MATCH(I20,$B$11:$B$16,0))="N/A","Single-fuel","Dual-Fuel")</f>
        <v>Single-fuel</v>
      </c>
      <c r="J21" s="995" t="str">
        <f t="shared" si="3"/>
        <v>Single-fuel</v>
      </c>
      <c r="K21" s="995" t="str">
        <f t="shared" si="3"/>
        <v>Single-fuel</v>
      </c>
      <c r="L21" s="995" t="str">
        <f t="shared" si="3"/>
        <v>Dual-Fuel</v>
      </c>
      <c r="M21" s="996" t="str">
        <f t="shared" si="3"/>
        <v>Single-fuel</v>
      </c>
      <c r="N21" s="994" t="str">
        <f>INDEX($F$11:$F$16,MATCH(N20,$B$11:$B$16,0))</f>
        <v>Diesel</v>
      </c>
      <c r="O21" s="995" t="str">
        <f t="shared" ref="O21:S21" si="4">INDEX($F$11:$F$16,MATCH(O20,$B$11:$B$16,0))</f>
        <v>Diesel</v>
      </c>
      <c r="P21" s="995" t="str">
        <f t="shared" si="4"/>
        <v>Diesel</v>
      </c>
      <c r="Q21" s="995" t="str">
        <f t="shared" si="4"/>
        <v>Diesel</v>
      </c>
      <c r="R21" s="995" t="str">
        <f t="shared" si="4"/>
        <v>Diesel</v>
      </c>
      <c r="S21" s="996" t="str">
        <f t="shared" si="4"/>
        <v>Electricity</v>
      </c>
      <c r="T21" s="1575" t="s">
        <v>117</v>
      </c>
      <c r="U21" s="1576"/>
      <c r="V21" s="1576"/>
      <c r="W21" s="1576"/>
      <c r="X21" s="1577"/>
      <c r="Y21" s="994" t="str">
        <f t="shared" ref="Y21" si="5">INDEX($F$11:$F$16,MATCH(Y20,$B$11:$B$16,0))</f>
        <v>Diesel</v>
      </c>
      <c r="Z21" s="995" t="str">
        <f t="shared" ref="Z21" si="6">INDEX($F$11:$F$16,MATCH(Z20,$B$11:$B$16,0))</f>
        <v>Diesel</v>
      </c>
      <c r="AA21" s="995" t="str">
        <f t="shared" ref="AA21" si="7">INDEX($F$11:$F$16,MATCH(AA20,$B$11:$B$16,0))</f>
        <v>Diesel</v>
      </c>
      <c r="AB21" s="995" t="str">
        <f t="shared" ref="AB21" si="8">INDEX($F$11:$F$16,MATCH(AB20,$B$11:$B$16,0))</f>
        <v>Diesel</v>
      </c>
      <c r="AC21" s="996" t="str">
        <f t="shared" ref="AC21" si="9">INDEX($F$11:$F$16,MATCH(AC20,$B$11:$B$16,0))</f>
        <v>Electricity</v>
      </c>
      <c r="AD21" s="1017">
        <f>INDEX($L$11:$L$16,MATCH(AD20,$B$11:$B$16,0))</f>
        <v>5000</v>
      </c>
      <c r="AE21" s="1018">
        <f>INDEX($L$11:$L$16,MATCH(AE20,$B$11:$B$16,0))</f>
        <v>5000</v>
      </c>
      <c r="AF21" s="1018">
        <f>INDEX($L$11:$L$16,MATCH(AF20,$B$11:$B$16,0))</f>
        <v>5000</v>
      </c>
      <c r="AG21" s="1018">
        <f>INDEX($L$11:$L$16,MATCH(AG20,$B$11:$B$16,0))</f>
        <v>5000</v>
      </c>
      <c r="AH21" s="1019">
        <f>INDEX($L$11:$L$16,MATCH(AH20,$B$11:$B$16,0))</f>
        <v>5000</v>
      </c>
      <c r="AI21" s="1053">
        <f>INDEX($J$11:$J$16,MATCH(AI20,$B$11:$B$16,0))</f>
        <v>0</v>
      </c>
      <c r="AJ21" s="1054">
        <f t="shared" ref="AJ21:AM21" si="10">INDEX($J$11:$J$16,MATCH(AJ20,$B$11:$B$16,0))</f>
        <v>0</v>
      </c>
      <c r="AK21" s="1054">
        <f t="shared" si="10"/>
        <v>0</v>
      </c>
      <c r="AL21" s="1054">
        <f t="shared" si="10"/>
        <v>0</v>
      </c>
      <c r="AM21" s="1055">
        <f t="shared" si="10"/>
        <v>0</v>
      </c>
      <c r="AN21" s="994" t="str">
        <f t="shared" ref="AN21" si="11">INDEX($F$11:$F$16,MATCH(AN20,$B$11:$B$16,0))</f>
        <v>Diesel</v>
      </c>
      <c r="AO21" s="995" t="str">
        <f t="shared" ref="AO21" si="12">INDEX($F$11:$F$16,MATCH(AO20,$B$11:$B$16,0))</f>
        <v>Diesel</v>
      </c>
      <c r="AP21" s="995" t="str">
        <f t="shared" ref="AP21" si="13">INDEX($F$11:$F$16,MATCH(AP20,$B$11:$B$16,0))</f>
        <v>Diesel</v>
      </c>
      <c r="AQ21" s="995" t="str">
        <f t="shared" ref="AQ21" si="14">INDEX($F$11:$F$16,MATCH(AQ20,$B$11:$B$16,0))</f>
        <v>Diesel</v>
      </c>
      <c r="AR21" s="996" t="str">
        <f t="shared" ref="AR21" si="15">INDEX($F$11:$F$16,MATCH(AR20,$B$11:$B$16,0))</f>
        <v>Electricity</v>
      </c>
      <c r="AS21" s="994" t="str">
        <f t="shared" ref="AS21" si="16">INDEX($F$11:$F$16,MATCH(AS20,$B$11:$B$16,0))</f>
        <v>Diesel</v>
      </c>
      <c r="AT21" s="995" t="str">
        <f t="shared" ref="AT21" si="17">INDEX($F$11:$F$16,MATCH(AT20,$B$11:$B$16,0))</f>
        <v>Diesel</v>
      </c>
      <c r="AU21" s="995" t="str">
        <f t="shared" ref="AU21" si="18">INDEX($F$11:$F$16,MATCH(AU20,$B$11:$B$16,0))</f>
        <v>Diesel</v>
      </c>
      <c r="AV21" s="995" t="str">
        <f t="shared" ref="AV21" si="19">INDEX($F$11:$F$16,MATCH(AV20,$B$11:$B$16,0))</f>
        <v>Diesel</v>
      </c>
      <c r="AW21" s="996" t="str">
        <f t="shared" ref="AW21" si="20">INDEX($F$11:$F$16,MATCH(AW20,$B$11:$B$16,0))</f>
        <v>Electricity</v>
      </c>
      <c r="AX21" s="994" t="str">
        <f t="shared" ref="AX21" si="21">INDEX($F$11:$F$16,MATCH(AX20,$B$11:$B$16,0))</f>
        <v>Diesel</v>
      </c>
      <c r="AY21" s="995" t="str">
        <f t="shared" ref="AY21" si="22">INDEX($F$11:$F$16,MATCH(AY20,$B$11:$B$16,0))</f>
        <v>Diesel</v>
      </c>
      <c r="AZ21" s="995" t="str">
        <f t="shared" ref="AZ21" si="23">INDEX($F$11:$F$16,MATCH(AZ20,$B$11:$B$16,0))</f>
        <v>Diesel</v>
      </c>
      <c r="BA21" s="995" t="str">
        <f t="shared" ref="BA21" si="24">INDEX($F$11:$F$16,MATCH(BA20,$B$11:$B$16,0))</f>
        <v>Diesel</v>
      </c>
      <c r="BB21" s="996" t="str">
        <f t="shared" ref="BB21" si="25">INDEX($F$11:$F$16,MATCH(BB20,$B$11:$B$16,0))</f>
        <v>Electricity</v>
      </c>
      <c r="BC21" s="1027" t="str">
        <f>INDEX($F$11:$F$16,MATCH(BC20,$B$11:$B$16,0))</f>
        <v>Diesel</v>
      </c>
      <c r="BD21" s="995" t="str">
        <f t="shared" ref="BD21:BH21" si="26">INDEX($F$11:$F$16,MATCH(BD20,$B$11:$B$16,0))</f>
        <v>Diesel</v>
      </c>
      <c r="BE21" s="995" t="str">
        <f t="shared" si="26"/>
        <v>Diesel</v>
      </c>
      <c r="BF21" s="995" t="str">
        <f t="shared" si="26"/>
        <v>Diesel</v>
      </c>
      <c r="BG21" s="995" t="str">
        <f t="shared" si="26"/>
        <v>Diesel</v>
      </c>
      <c r="BH21" s="996" t="str">
        <f t="shared" si="26"/>
        <v>Electricity</v>
      </c>
    </row>
    <row r="22" spans="1:60" x14ac:dyDescent="0.2">
      <c r="A22" s="767"/>
      <c r="B22" s="1073"/>
      <c r="C22" s="1074"/>
      <c r="D22" s="1074"/>
      <c r="E22" s="1074"/>
      <c r="F22" s="1074"/>
      <c r="G22" s="1075"/>
      <c r="H22" s="1079"/>
      <c r="I22" s="1080"/>
      <c r="J22" s="1080"/>
      <c r="K22" s="1080"/>
      <c r="L22" s="1080"/>
      <c r="M22" s="1081"/>
      <c r="N22" s="997"/>
      <c r="O22" s="998"/>
      <c r="P22" s="998"/>
      <c r="Q22" s="998"/>
      <c r="R22" s="998"/>
      <c r="S22" s="999"/>
      <c r="T22" s="1003">
        <f>Q12</f>
        <v>0</v>
      </c>
      <c r="U22" s="1004">
        <f>Q13</f>
        <v>0</v>
      </c>
      <c r="V22" s="1004">
        <f>Q14</f>
        <v>0</v>
      </c>
      <c r="W22" s="1004">
        <f>Q15</f>
        <v>0</v>
      </c>
      <c r="X22" s="1005">
        <f>Q16</f>
        <v>0</v>
      </c>
      <c r="Y22" s="994" t="b">
        <f>INDEX($H$11:$H$16,MATCH(Y20,$B$11:$B$16,0))</f>
        <v>0</v>
      </c>
      <c r="Z22" s="1012" t="b">
        <f t="shared" ref="Z22:AC22" si="27">INDEX($H$11:$H$16,MATCH(Z20,$B$11:$B$16,0))</f>
        <v>0</v>
      </c>
      <c r="AA22" s="1012" t="b">
        <f t="shared" si="27"/>
        <v>0</v>
      </c>
      <c r="AB22" s="1012" t="b">
        <f t="shared" si="27"/>
        <v>0</v>
      </c>
      <c r="AC22" s="1013" t="b">
        <f t="shared" si="27"/>
        <v>1</v>
      </c>
      <c r="AD22" s="1017">
        <f>INDEX($M$11:$M$16,MATCH(AD20,$B$11:$B$16,0))</f>
        <v>100</v>
      </c>
      <c r="AE22" s="1020">
        <f>INDEX($M$11:$M$16,MATCH(AE20,$B$11:$B$16,0))</f>
        <v>100</v>
      </c>
      <c r="AF22" s="1020">
        <f>INDEX($M$11:$M$16,MATCH(AF20,$B$11:$B$16,0))</f>
        <v>100</v>
      </c>
      <c r="AG22" s="1020">
        <f>INDEX($M$11:$M$16,MATCH(AG20,$B$11:$B$16,0))</f>
        <v>100</v>
      </c>
      <c r="AH22" s="1021">
        <f>INDEX($M$11:$M$16,MATCH(AH20,$B$11:$B$16,0))</f>
        <v>100</v>
      </c>
      <c r="AI22" s="1053">
        <f>INDEX($K$11:$K$16,MATCH(AI20,$B$11:$B$16,0))</f>
        <v>0.5</v>
      </c>
      <c r="AJ22" s="1054">
        <f t="shared" ref="AJ22:AM22" si="28">INDEX($K$11:$K$16,MATCH(AJ20,$B$11:$B$16,0))</f>
        <v>0.5</v>
      </c>
      <c r="AK22" s="1054">
        <f t="shared" si="28"/>
        <v>0.5</v>
      </c>
      <c r="AL22" s="1054">
        <f t="shared" si="28"/>
        <v>0.5</v>
      </c>
      <c r="AM22" s="1055">
        <f t="shared" si="28"/>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3.5" thickBot="1" x14ac:dyDescent="0.25">
      <c r="A23" s="746"/>
      <c r="B23" s="1076"/>
      <c r="C23" s="1077"/>
      <c r="D23" s="1077"/>
      <c r="E23" s="1077"/>
      <c r="F23" s="1077"/>
      <c r="G23" s="1078"/>
      <c r="H23" s="1082"/>
      <c r="I23" s="1083"/>
      <c r="J23" s="1083"/>
      <c r="K23" s="1083"/>
      <c r="L23" s="1083"/>
      <c r="M23" s="1084"/>
      <c r="N23" s="1000"/>
      <c r="O23" s="1001"/>
      <c r="P23" s="1001"/>
      <c r="Q23" s="1001"/>
      <c r="R23" s="1001"/>
      <c r="S23" s="1002"/>
      <c r="T23" s="1006"/>
      <c r="U23" s="1007"/>
      <c r="V23" s="1007"/>
      <c r="W23" s="1007"/>
      <c r="X23" s="1008"/>
      <c r="Y23" s="1022"/>
      <c r="Z23" s="1025"/>
      <c r="AA23" s="1025"/>
      <c r="AB23" s="1025"/>
      <c r="AC23" s="1026"/>
      <c r="AD23" s="1022"/>
      <c r="AE23" s="1023"/>
      <c r="AF23" s="1023"/>
      <c r="AG23" s="1023"/>
      <c r="AH23" s="1024"/>
      <c r="AI23" s="1022">
        <f>INDEX($I$11:$I$16,MATCH(AI20,$B$11:$B$16,0))</f>
        <v>2021</v>
      </c>
      <c r="AJ23" s="1025">
        <f t="shared" ref="AJ23:AM23" si="29">INDEX($I$11:$I$16,MATCH(AJ20,$B$11:$B$16,0))</f>
        <v>2021</v>
      </c>
      <c r="AK23" s="1025">
        <f t="shared" si="29"/>
        <v>2021</v>
      </c>
      <c r="AL23" s="1025">
        <f t="shared" si="29"/>
        <v>2021</v>
      </c>
      <c r="AM23" s="1026">
        <f t="shared" si="29"/>
        <v>2021</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3.5" thickTop="1" x14ac:dyDescent="0.2">
      <c r="A24" s="609">
        <v>2007</v>
      </c>
      <c r="B24" s="809">
        <f t="shared" ref="B24:G33" si="30">ROUND(INDEX(COST_Cls3,$A24-($A$24-1),MATCH(B$20,TECHOPTS_Cls3,0)),2)</f>
        <v>96771.81</v>
      </c>
      <c r="C24" s="809">
        <f t="shared" si="30"/>
        <v>1000000</v>
      </c>
      <c r="D24" s="809">
        <f t="shared" si="30"/>
        <v>1000000</v>
      </c>
      <c r="E24" s="809">
        <f t="shared" si="30"/>
        <v>1000000</v>
      </c>
      <c r="F24" s="809">
        <f t="shared" si="30"/>
        <v>1000000</v>
      </c>
      <c r="G24" s="810">
        <f t="shared" si="30"/>
        <v>1000000</v>
      </c>
      <c r="H24" s="781">
        <f t="shared" ref="H24:M33" si="31">IF(H$21="Single-fuel",1,1-MIN(INDEX(CDRANGE_CLS3,$A24-($A$24-1),MATCH(H$20,TECHOPTS_Cls3,0))*OPDAYS_Cls3/$D$6,1))</f>
        <v>1</v>
      </c>
      <c r="I24" s="782">
        <f t="shared" si="31"/>
        <v>1</v>
      </c>
      <c r="J24" s="782">
        <f t="shared" si="31"/>
        <v>1</v>
      </c>
      <c r="K24" s="782">
        <f t="shared" si="31"/>
        <v>1</v>
      </c>
      <c r="L24" s="782">
        <f t="shared" si="31"/>
        <v>1</v>
      </c>
      <c r="M24" s="783">
        <f t="shared" si="31"/>
        <v>1</v>
      </c>
      <c r="N24" s="733">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7481.362058855304</v>
      </c>
      <c r="O24" s="276">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43872.666565487925</v>
      </c>
      <c r="R24" s="276">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43872.666565487925</v>
      </c>
      <c r="S24" s="276">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75">
        <f t="shared" ref="T24:T67" si="38">$N24-O24+T$22</f>
        <v>-36391.304506632623</v>
      </c>
      <c r="U24" s="276">
        <f t="shared" ref="U24:U67" si="39">$N24-P24+U$22</f>
        <v>-36391.304506632623</v>
      </c>
      <c r="V24" s="276">
        <f t="shared" ref="V24:V67" si="40">$N24-Q24+V$22</f>
        <v>-36391.304506632623</v>
      </c>
      <c r="W24" s="276">
        <f t="shared" ref="W24:W67" si="41">$N24-R24+W$22</f>
        <v>-36391.304506632623</v>
      </c>
      <c r="X24" s="278">
        <f t="shared" ref="X24:X67" si="42">$N24-S24+X$22</f>
        <v>-75749.560566144704</v>
      </c>
      <c r="Y24" s="279">
        <f ca="1">IF(AND(Y$22=TRUE,INDEX(CDRANGE_CLS3,MATCH($A24,$A$24:$A$67,0),MATCH(Y$20,$B$20:$G$20,0))&lt;$D$6/OPDAYS_Cls3),86,payback(C24,T24,disc_rate/12,85))</f>
        <v>86</v>
      </c>
      <c r="Z24" s="280">
        <f ca="1">IF(AND(Z$22=TRUE,INDEX(CDRANGE_CLS3,MATCH($A24,$A$24:$A$67,0),MATCH(Z$20,$B$20:$G$20,0))&lt;$D$6/OPDAYS_Cls3),86,payback(D24,U24,disc_rate/12,85))</f>
        <v>86</v>
      </c>
      <c r="AA24" s="280">
        <f ca="1">IF(AND(AA$22=TRUE,INDEX(CDRANGE_CLS3,MATCH($A24,$A$24:$A$67,0),MATCH(AA$20,$B$20:$G$20,0))&lt;$D$6/OPDAYS_Cls3),86,payback(E24,V24,disc_rate/12,85))</f>
        <v>86</v>
      </c>
      <c r="AB24" s="280">
        <f ca="1">IF(AND(AB$22=TRUE,INDEX(CDRANGE_CLS3,MATCH($A24,$A$24:$A$67,0),MATCH(AB$20,$B$20:$G$20,0))&lt;$D$6/OPDAYS_Cls3),86,payback(F24,W24,disc_rate/12,85))</f>
        <v>86</v>
      </c>
      <c r="AC24" s="281">
        <f>IF(AND(AC$22=TRUE,INDEX(CDRANGE_CLS3,MATCH($A24,$A$24:$A$67,0),MATCH(AC$20,$B$20:$G$20,0))&lt;$D$6/OPDAYS_Cls3),86,payback(G24,X24,disc_rate/12,85))</f>
        <v>86</v>
      </c>
      <c r="AD24" s="282">
        <f t="shared" ref="AD24:AD67" si="43">IF(AND(C24&lt;=AD$21,$N24-O24&gt;=-AD$22),AI24*VLOOKUP(C24/AD$21,FirstCostInd,2,TRUE)*VLOOKUP(($N24-O24)/AD$22,FuelCostInd,2,1),0)</f>
        <v>0</v>
      </c>
      <c r="AE24" s="283">
        <f t="shared" ref="AE24:AE67" si="44">IF(AND(D24&lt;=AE$21,$N24-P24&gt;=-AE$22),AJ24*VLOOKUP(D24/AE$21,FirstCostInd,2,TRUE)*VLOOKUP(($N24-P24)/AE$22,FuelCostInd,2,1),0)</f>
        <v>0</v>
      </c>
      <c r="AF24" s="283">
        <f t="shared" ref="AF24:AF67" si="45">IF(AND(E24&lt;=AF$21,$N24-Q24&gt;=-AF$22),AK24*VLOOKUP(E24/AF$21,FirstCostInd,2,TRUE)*VLOOKUP(($N24-Q24)/AF$22,FuelCostInd,2,1),0)</f>
        <v>0</v>
      </c>
      <c r="AG24" s="283">
        <f t="shared" ref="AG24:AG67" si="46">IF(AND(F24&lt;=AG$21,$N24-R24&gt;=-AG$22),AL24*VLOOKUP(F24/AG$21,FirstCostInd,2,TRUE)*VLOOKUP(($N24-R24)/AG$22,FuelCostInd,2,1),0)</f>
        <v>0</v>
      </c>
      <c r="AH24" s="644">
        <f t="shared" ref="AH24:AH67" si="47">IF(AND(G24&lt;=AH$21,$N24-S24&gt;=-AH$22),AM24*VLOOKUP(G24/AH$21,FirstCostInd,2,TRUE)*VLOOKUP(($N24-S24)/AH$22,FuelCostInd,2,1),0)</f>
        <v>0</v>
      </c>
      <c r="AI24" s="285">
        <f t="shared" ref="AI24:AI67" si="48">IF($A24&lt;AI$23,0,AI$21+VLOOKUP($A24-AI$23,SCdata,2,1)*(AI$22-AI$21))*IF($D$5="Non-Central",INDEX(fuel_avail,$A24-$A$24+1,MATCH(O$21,Fuels,0)),1)</f>
        <v>0</v>
      </c>
      <c r="AJ24" s="286">
        <f t="shared" ref="AJ24:AJ67" si="49">IF($A24&lt;AJ$23,0,AJ$21+VLOOKUP($A24-AJ$23,SCdata,2,1)*(AJ$22-AJ$21))*IF($D$5="Non-Central",INDEX(fuel_avail,$A24-$A$24+1,MATCH(P$21,Fuels,0)),1)</f>
        <v>0</v>
      </c>
      <c r="AK24" s="286">
        <f t="shared" ref="AK24:AK67" si="50">IF($A24&lt;AK$23,0,AK$21+VLOOKUP($A24-AK$23,SCdata,2,1)*(AK$22-AK$21))*IF($D$5="Non-Central",INDEX(fuel_avail,$A24-$A$24+1,MATCH(Q$21,Fuels,0)),1)</f>
        <v>0</v>
      </c>
      <c r="AL24" s="286">
        <f t="shared" ref="AL24:AL67" si="51">IF($A24&lt;AL$23,0,AL$21+VLOOKUP($A24-AL$23,SCdata,2,1)*(AL$22-AL$21))*IF($D$5="Non-Central",INDEX(fuel_avail,$A24-$A$24+1,MATCH(R$21,Fuels,0)),1)</f>
        <v>0</v>
      </c>
      <c r="AM24" s="287">
        <f t="shared" ref="AM24:AM67" si="52">IF($A24&lt;AM$23,0,AM$21+VLOOKUP($A24-AM$23,SCdata,2,1)*(AM$22-AM$21))*IF($D$5="Non-Central",INDEX(fuel_avail,$A24-$A$24+1,MATCH(S$21,Fuels,0)),1)</f>
        <v>0</v>
      </c>
      <c r="AN24" s="285">
        <f>IF(C24&lt;0,1,$AQ$17*(1-WEIBULL(C24/$B24,$AO$17,$AO$18,1)))</f>
        <v>0</v>
      </c>
      <c r="AO24" s="286">
        <f t="shared" ref="AO24:AR39" si="53">IF(D24&lt;0,1,$AQ$17*(1-WEIBULL(D24/$B24,$AO$17,$AO$18,1)))</f>
        <v>0</v>
      </c>
      <c r="AP24" s="286">
        <f t="shared" si="53"/>
        <v>0</v>
      </c>
      <c r="AQ24" s="286">
        <f t="shared" si="53"/>
        <v>0</v>
      </c>
      <c r="AR24" s="287">
        <f t="shared" si="53"/>
        <v>0</v>
      </c>
      <c r="AS24" s="282">
        <f t="shared" ref="AS24:AS67" ca="1" si="54">MIN(1,MAX(AD24,IF(Y24&gt;85,0,(AI24/0.5)*VLOOKUP(Y24,AdoptDec,$AU$18,0))))</f>
        <v>0</v>
      </c>
      <c r="AT24" s="283">
        <f t="shared" ref="AT24:AT67" ca="1" si="55">MIN(1,MAX(AE24,IF(Z24&gt;85,0,(AJ24/0.5)*VLOOKUP(Z24,AdoptDec,$AU$18,0))))</f>
        <v>0</v>
      </c>
      <c r="AU24" s="806">
        <f t="shared" ref="AU24:AU67" ca="1" si="56">MIN(1,MAX(AF24,IF(AA24&gt;85,0,(AK24/0.5)*VLOOKUP(AA24,AdoptDec,$AU$18,0))))</f>
        <v>0</v>
      </c>
      <c r="AV24" s="806">
        <f t="shared" ref="AV24:AV67" ca="1" si="57">MIN(1,MAX(AG24,IF(AB24&gt;85,0,(AL24/0.5)*VLOOKUP(AB24,AdoptDec,$AU$18,0))))</f>
        <v>0</v>
      </c>
      <c r="AW24" s="807">
        <f t="shared" ref="AW24:AW67" si="58">MIN(1,MAX(AH24,IF(AC24&gt;85,0,(AM24/0.5)*VLOOKUP(AC24,AdoptDec,$AU$18,0))))</f>
        <v>0</v>
      </c>
      <c r="AX24" s="756">
        <f t="shared" ref="AX24:BB67" ca="1" si="59">MIN(AS24*AN24,1)</f>
        <v>0</v>
      </c>
      <c r="AY24" s="283">
        <f t="shared" ca="1" si="59"/>
        <v>0</v>
      </c>
      <c r="AZ24" s="283">
        <f t="shared" ca="1" si="59"/>
        <v>0</v>
      </c>
      <c r="BA24" s="283">
        <f t="shared" ca="1" si="59"/>
        <v>0</v>
      </c>
      <c r="BB24" s="644">
        <f t="shared" si="59"/>
        <v>0</v>
      </c>
      <c r="BC24" s="282">
        <f ca="1">1-SUM(BD24:BH24)</f>
        <v>1</v>
      </c>
      <c r="BD24" s="283">
        <f t="shared" ref="BD24:BD67" ca="1" si="60">IF(SUM($AX24:$BB24)=0,0,MAX($AX24:$BB24)*(AI24*AX24/SUMPRODUCT($AI24:$AM24,$AX24:$BB24)))</f>
        <v>0</v>
      </c>
      <c r="BE24" s="283">
        <f t="shared" ref="BE24:BE67" ca="1" si="61">IF(SUM($AX24:$BB24)=0,0,MAX($AX24:$BB24)*(AJ24*AY24/SUMPRODUCT($AI24:$AM24,$AX24:$BB24)))</f>
        <v>0</v>
      </c>
      <c r="BF24" s="283">
        <f t="shared" ref="BF24:BF67" ca="1" si="62">IF(SUM($AX24:$BB24)=0,0,MAX($AX24:$BB24)*(AK24*AZ24/SUMPRODUCT($AI24:$AM24,$AX24:$BB24)))</f>
        <v>0</v>
      </c>
      <c r="BG24" s="283">
        <f t="shared" ref="BG24:BG67" ca="1" si="63">IF(SUM($AX24:$BB24)=0,0,MAX($AX24:$BB24)*(AL24*BA24/SUMPRODUCT($AI24:$AM24,$AX24:$BB24)))</f>
        <v>0</v>
      </c>
      <c r="BH24" s="284">
        <f t="shared" ref="BH24:BH67" ca="1" si="64">IF(SUM($AX24:$BB24)=0,0,MAX($AX24:$BB24)*(AM24*BB24/SUMPRODUCT($AI24:$AM24,$AX24:$BB24)))</f>
        <v>0</v>
      </c>
    </row>
    <row r="25" spans="1:60" x14ac:dyDescent="0.2">
      <c r="A25" s="288">
        <v>2008</v>
      </c>
      <c r="B25" s="811">
        <f t="shared" si="30"/>
        <v>96771.81</v>
      </c>
      <c r="C25" s="812">
        <f t="shared" si="30"/>
        <v>1000000</v>
      </c>
      <c r="D25" s="812">
        <f t="shared" si="30"/>
        <v>1000000</v>
      </c>
      <c r="E25" s="812">
        <f t="shared" si="30"/>
        <v>1000000</v>
      </c>
      <c r="F25" s="812">
        <f t="shared" si="30"/>
        <v>1000000</v>
      </c>
      <c r="G25" s="813">
        <f t="shared" si="30"/>
        <v>1000000</v>
      </c>
      <c r="H25" s="781">
        <f t="shared" si="31"/>
        <v>1</v>
      </c>
      <c r="I25" s="782">
        <f t="shared" si="31"/>
        <v>1</v>
      </c>
      <c r="J25" s="782">
        <f t="shared" si="31"/>
        <v>1</v>
      </c>
      <c r="K25" s="782">
        <f t="shared" si="31"/>
        <v>1</v>
      </c>
      <c r="L25" s="782">
        <f t="shared" si="31"/>
        <v>1</v>
      </c>
      <c r="M25" s="783">
        <f t="shared" si="31"/>
        <v>1</v>
      </c>
      <c r="N25" s="733">
        <f t="shared" si="32"/>
        <v>10240.223985280858</v>
      </c>
      <c r="O25" s="276">
        <f t="shared" si="33"/>
        <v>60051.355478828358</v>
      </c>
      <c r="P25" s="276">
        <f t="shared" si="34"/>
        <v>60051.355478828358</v>
      </c>
      <c r="Q25" s="276">
        <f t="shared" si="35"/>
        <v>60051.355478828358</v>
      </c>
      <c r="R25" s="276">
        <f t="shared" si="36"/>
        <v>60051.355478828358</v>
      </c>
      <c r="S25" s="278">
        <f t="shared" si="37"/>
        <v>108100.35101624999</v>
      </c>
      <c r="T25" s="289">
        <f t="shared" si="38"/>
        <v>-49811.131493547502</v>
      </c>
      <c r="U25" s="290">
        <f t="shared" si="39"/>
        <v>-49811.131493547502</v>
      </c>
      <c r="V25" s="290">
        <f t="shared" si="40"/>
        <v>-49811.131493547502</v>
      </c>
      <c r="W25" s="290">
        <f t="shared" si="41"/>
        <v>-49811.131493547502</v>
      </c>
      <c r="X25" s="292">
        <f t="shared" si="42"/>
        <v>-97860.127030969132</v>
      </c>
      <c r="Y25" s="279">
        <f ca="1">IF(AND(Y$22=TRUE,INDEX(CDRANGE_CLS3,MATCH($A25,$A$24:$A$67,0),MATCH(Y$20,$B$20:$G$20,0))&lt;$D$6/OPDAYS_Cls3),86,payback(C25,T25,disc_rate/12,85))</f>
        <v>86</v>
      </c>
      <c r="Z25" s="280">
        <f ca="1">IF(AND(Z$22=TRUE,INDEX(CDRANGE_CLS3,MATCH($A25,$A$24:$A$67,0),MATCH(Z$20,$B$20:$G$20,0))&lt;$D$6/OPDAYS_Cls3),86,payback(D25,U25,disc_rate/12,85))</f>
        <v>86</v>
      </c>
      <c r="AA25" s="280">
        <f ca="1">IF(AND(AA$22=TRUE,INDEX(CDRANGE_CLS3,MATCH($A25,$A$24:$A$67,0),MATCH(AA$20,$B$20:$G$20,0))&lt;$D$6/OPDAYS_Cls3),86,payback(E25,V25,disc_rate/12,85))</f>
        <v>86</v>
      </c>
      <c r="AB25" s="280">
        <f ca="1">IF(AND(AB$22=TRUE,INDEX(CDRANGE_CLS3,MATCH($A25,$A$24:$A$67,0),MATCH(AB$20,$B$20:$G$20,0))&lt;$D$6/OPDAYS_Cls3),86,payback(F25,W25,disc_rate/12,85))</f>
        <v>86</v>
      </c>
      <c r="AC25" s="281">
        <f>IF(AND(AC$22=TRUE,INDEX(CDRANGE_CLS3,MATCH($A25,$A$24:$A$67,0),MATCH(AC$20,$B$20:$G$20,0))&lt;$D$6/OPDAYS_Cls3),86,payback(G25,X25,disc_rate/12,85))</f>
        <v>86</v>
      </c>
      <c r="AD25" s="296">
        <f t="shared" si="43"/>
        <v>0</v>
      </c>
      <c r="AE25" s="297">
        <f t="shared" si="44"/>
        <v>0</v>
      </c>
      <c r="AF25" s="297">
        <f t="shared" si="45"/>
        <v>0</v>
      </c>
      <c r="AG25" s="297">
        <f t="shared" si="46"/>
        <v>0</v>
      </c>
      <c r="AH25" s="597">
        <f t="shared" si="47"/>
        <v>0</v>
      </c>
      <c r="AI25" s="299">
        <f t="shared" si="48"/>
        <v>0</v>
      </c>
      <c r="AJ25" s="300">
        <f t="shared" si="49"/>
        <v>0</v>
      </c>
      <c r="AK25" s="300">
        <f t="shared" si="50"/>
        <v>0</v>
      </c>
      <c r="AL25" s="300">
        <f t="shared" si="51"/>
        <v>0</v>
      </c>
      <c r="AM25" s="301">
        <f t="shared" si="52"/>
        <v>0</v>
      </c>
      <c r="AN25" s="299">
        <f t="shared" ref="AN25:AR67" si="65">IF(C25&lt;0,1,$AQ$17*(1-WEIBULL(C25/$B25,$AO$17,$AO$18,1)))</f>
        <v>0</v>
      </c>
      <c r="AO25" s="300">
        <f t="shared" si="53"/>
        <v>0</v>
      </c>
      <c r="AP25" s="300">
        <f t="shared" si="53"/>
        <v>0</v>
      </c>
      <c r="AQ25" s="300">
        <f t="shared" si="53"/>
        <v>0</v>
      </c>
      <c r="AR25" s="301">
        <f t="shared" si="53"/>
        <v>0</v>
      </c>
      <c r="AS25" s="296">
        <f t="shared" ca="1" si="54"/>
        <v>0</v>
      </c>
      <c r="AT25" s="297">
        <f t="shared" ca="1" si="55"/>
        <v>0</v>
      </c>
      <c r="AU25" s="297">
        <f t="shared" ca="1" si="56"/>
        <v>0</v>
      </c>
      <c r="AV25" s="297">
        <f t="shared" ca="1" si="57"/>
        <v>0</v>
      </c>
      <c r="AW25" s="298">
        <f t="shared" si="58"/>
        <v>0</v>
      </c>
      <c r="AX25" s="757">
        <f t="shared" ca="1" si="59"/>
        <v>0</v>
      </c>
      <c r="AY25" s="297">
        <f t="shared" ca="1" si="59"/>
        <v>0</v>
      </c>
      <c r="AZ25" s="297">
        <f t="shared" ca="1" si="59"/>
        <v>0</v>
      </c>
      <c r="BA25" s="297">
        <f t="shared" ca="1" si="59"/>
        <v>0</v>
      </c>
      <c r="BB25" s="597">
        <f t="shared" si="59"/>
        <v>0</v>
      </c>
      <c r="BC25" s="296">
        <f t="shared" ref="BC25:BC67" ca="1" si="66">1-SUM(BD25:BH25)</f>
        <v>1</v>
      </c>
      <c r="BD25" s="297">
        <f t="shared" ca="1" si="60"/>
        <v>0</v>
      </c>
      <c r="BE25" s="297">
        <f t="shared" ca="1" si="61"/>
        <v>0</v>
      </c>
      <c r="BF25" s="297">
        <f t="shared" ca="1" si="62"/>
        <v>0</v>
      </c>
      <c r="BG25" s="297">
        <f t="shared" ca="1" si="63"/>
        <v>0</v>
      </c>
      <c r="BH25" s="298">
        <f t="shared" ca="1" si="64"/>
        <v>0</v>
      </c>
    </row>
    <row r="26" spans="1:60" x14ac:dyDescent="0.2">
      <c r="A26" s="288">
        <v>2009</v>
      </c>
      <c r="B26" s="811">
        <f t="shared" si="30"/>
        <v>96771.81</v>
      </c>
      <c r="C26" s="812">
        <f t="shared" si="30"/>
        <v>1000000</v>
      </c>
      <c r="D26" s="812">
        <f t="shared" si="30"/>
        <v>1000000</v>
      </c>
      <c r="E26" s="812">
        <f t="shared" si="30"/>
        <v>1000000</v>
      </c>
      <c r="F26" s="812">
        <f t="shared" si="30"/>
        <v>1000000</v>
      </c>
      <c r="G26" s="813">
        <f t="shared" si="30"/>
        <v>1000000</v>
      </c>
      <c r="H26" s="781">
        <f t="shared" si="31"/>
        <v>1</v>
      </c>
      <c r="I26" s="782">
        <f t="shared" si="31"/>
        <v>1</v>
      </c>
      <c r="J26" s="782">
        <f t="shared" si="31"/>
        <v>1</v>
      </c>
      <c r="K26" s="782">
        <f t="shared" si="31"/>
        <v>1</v>
      </c>
      <c r="L26" s="782">
        <f t="shared" si="31"/>
        <v>1</v>
      </c>
      <c r="M26" s="783">
        <f t="shared" si="31"/>
        <v>1</v>
      </c>
      <c r="N26" s="733">
        <f t="shared" si="32"/>
        <v>6618.87448119499</v>
      </c>
      <c r="O26" s="276">
        <f t="shared" si="33"/>
        <v>38814.81351494915</v>
      </c>
      <c r="P26" s="276">
        <f t="shared" si="34"/>
        <v>38814.81351494915</v>
      </c>
      <c r="Q26" s="276">
        <f t="shared" si="35"/>
        <v>38814.81351494915</v>
      </c>
      <c r="R26" s="276">
        <f t="shared" si="36"/>
        <v>38814.81351494915</v>
      </c>
      <c r="S26" s="278">
        <f t="shared" si="37"/>
        <v>161994.03391500001</v>
      </c>
      <c r="T26" s="289">
        <f t="shared" si="38"/>
        <v>-32195.939033754159</v>
      </c>
      <c r="U26" s="290">
        <f t="shared" si="39"/>
        <v>-32195.939033754159</v>
      </c>
      <c r="V26" s="290">
        <f t="shared" si="40"/>
        <v>-32195.939033754159</v>
      </c>
      <c r="W26" s="290">
        <f t="shared" si="41"/>
        <v>-32195.939033754159</v>
      </c>
      <c r="X26" s="292">
        <f t="shared" si="42"/>
        <v>-155375.15943380501</v>
      </c>
      <c r="Y26" s="279">
        <f ca="1">IF(AND(Y$22=TRUE,INDEX(CDRANGE_CLS3,MATCH($A26,$A$24:$A$67,0),MATCH(Y$20,$B$20:$G$20,0))&lt;$D$6/OPDAYS_Cls3),86,payback(C26,T26,disc_rate/12,85))</f>
        <v>86</v>
      </c>
      <c r="Z26" s="280">
        <f ca="1">IF(AND(Z$22=TRUE,INDEX(CDRANGE_CLS3,MATCH($A26,$A$24:$A$67,0),MATCH(Z$20,$B$20:$G$20,0))&lt;$D$6/OPDAYS_Cls3),86,payback(D26,U26,disc_rate/12,85))</f>
        <v>86</v>
      </c>
      <c r="AA26" s="280">
        <f ca="1">IF(AND(AA$22=TRUE,INDEX(CDRANGE_CLS3,MATCH($A26,$A$24:$A$67,0),MATCH(AA$20,$B$20:$G$20,0))&lt;$D$6/OPDAYS_Cls3),86,payback(E26,V26,disc_rate/12,85))</f>
        <v>86</v>
      </c>
      <c r="AB26" s="280">
        <f ca="1">IF(AND(AB$22=TRUE,INDEX(CDRANGE_CLS3,MATCH($A26,$A$24:$A$67,0),MATCH(AB$20,$B$20:$G$20,0))&lt;$D$6/OPDAYS_Cls3),86,payback(F26,W26,disc_rate/12,85))</f>
        <v>86</v>
      </c>
      <c r="AC26" s="281">
        <f>IF(AND(AC$22=TRUE,INDEX(CDRANGE_CLS3,MATCH($A26,$A$24:$A$67,0),MATCH(AC$20,$B$20:$G$20,0))&lt;$D$6/OPDAYS_Cls3),86,payback(G26,X26,disc_rate/12,85))</f>
        <v>86</v>
      </c>
      <c r="AD26" s="296">
        <f t="shared" si="43"/>
        <v>0</v>
      </c>
      <c r="AE26" s="297">
        <f t="shared" si="44"/>
        <v>0</v>
      </c>
      <c r="AF26" s="297">
        <f t="shared" si="45"/>
        <v>0</v>
      </c>
      <c r="AG26" s="297">
        <f t="shared" si="46"/>
        <v>0</v>
      </c>
      <c r="AH26" s="597">
        <f t="shared" si="47"/>
        <v>0</v>
      </c>
      <c r="AI26" s="299">
        <f t="shared" si="48"/>
        <v>0</v>
      </c>
      <c r="AJ26" s="300">
        <f t="shared" si="49"/>
        <v>0</v>
      </c>
      <c r="AK26" s="300">
        <f t="shared" si="50"/>
        <v>0</v>
      </c>
      <c r="AL26" s="300">
        <f t="shared" si="51"/>
        <v>0</v>
      </c>
      <c r="AM26" s="301">
        <f t="shared" si="52"/>
        <v>0</v>
      </c>
      <c r="AN26" s="299">
        <f t="shared" si="65"/>
        <v>0</v>
      </c>
      <c r="AO26" s="300">
        <f t="shared" si="53"/>
        <v>0</v>
      </c>
      <c r="AP26" s="300">
        <f t="shared" si="53"/>
        <v>0</v>
      </c>
      <c r="AQ26" s="300">
        <f t="shared" si="53"/>
        <v>0</v>
      </c>
      <c r="AR26" s="301">
        <f t="shared" si="53"/>
        <v>0</v>
      </c>
      <c r="AS26" s="296">
        <f t="shared" ca="1" si="54"/>
        <v>0</v>
      </c>
      <c r="AT26" s="297">
        <f t="shared" ca="1" si="55"/>
        <v>0</v>
      </c>
      <c r="AU26" s="297">
        <f t="shared" ca="1" si="56"/>
        <v>0</v>
      </c>
      <c r="AV26" s="297">
        <f t="shared" ca="1" si="57"/>
        <v>0</v>
      </c>
      <c r="AW26" s="298">
        <f t="shared" si="58"/>
        <v>0</v>
      </c>
      <c r="AX26" s="757">
        <f t="shared" ca="1" si="59"/>
        <v>0</v>
      </c>
      <c r="AY26" s="297">
        <f t="shared" ca="1" si="59"/>
        <v>0</v>
      </c>
      <c r="AZ26" s="297">
        <f t="shared" ca="1" si="59"/>
        <v>0</v>
      </c>
      <c r="BA26" s="297">
        <f t="shared" ca="1" si="59"/>
        <v>0</v>
      </c>
      <c r="BB26" s="597">
        <f t="shared" si="59"/>
        <v>0</v>
      </c>
      <c r="BC26" s="296">
        <f t="shared" ca="1" si="66"/>
        <v>1</v>
      </c>
      <c r="BD26" s="297">
        <f t="shared" ca="1" si="60"/>
        <v>0</v>
      </c>
      <c r="BE26" s="297">
        <f t="shared" ca="1" si="61"/>
        <v>0</v>
      </c>
      <c r="BF26" s="297">
        <f t="shared" ca="1" si="62"/>
        <v>0</v>
      </c>
      <c r="BG26" s="297">
        <f t="shared" ca="1" si="63"/>
        <v>0</v>
      </c>
      <c r="BH26" s="298">
        <f t="shared" ca="1" si="64"/>
        <v>0</v>
      </c>
    </row>
    <row r="27" spans="1:60" ht="13.5" thickBot="1" x14ac:dyDescent="0.25">
      <c r="A27" s="618">
        <v>2010</v>
      </c>
      <c r="B27" s="814">
        <f t="shared" si="30"/>
        <v>96771.81</v>
      </c>
      <c r="C27" s="815">
        <f t="shared" si="30"/>
        <v>1000000</v>
      </c>
      <c r="D27" s="815">
        <f t="shared" si="30"/>
        <v>1000000</v>
      </c>
      <c r="E27" s="815">
        <f t="shared" si="30"/>
        <v>1000000</v>
      </c>
      <c r="F27" s="815">
        <f t="shared" si="30"/>
        <v>1000000</v>
      </c>
      <c r="G27" s="816">
        <f t="shared" si="30"/>
        <v>1000000</v>
      </c>
      <c r="H27" s="781">
        <f t="shared" si="31"/>
        <v>1</v>
      </c>
      <c r="I27" s="782">
        <f t="shared" si="31"/>
        <v>1</v>
      </c>
      <c r="J27" s="782">
        <f t="shared" si="31"/>
        <v>1</v>
      </c>
      <c r="K27" s="782">
        <f t="shared" si="31"/>
        <v>1</v>
      </c>
      <c r="L27" s="782">
        <f t="shared" si="31"/>
        <v>1</v>
      </c>
      <c r="M27" s="783">
        <f t="shared" si="31"/>
        <v>1</v>
      </c>
      <c r="N27" s="883">
        <f t="shared" si="32"/>
        <v>7905.3032615962993</v>
      </c>
      <c r="O27" s="776">
        <f t="shared" si="33"/>
        <v>47849.749582637734</v>
      </c>
      <c r="P27" s="776">
        <f t="shared" si="34"/>
        <v>47849.749582637734</v>
      </c>
      <c r="Q27" s="776">
        <f t="shared" si="35"/>
        <v>47849.749582637734</v>
      </c>
      <c r="R27" s="776">
        <f t="shared" si="36"/>
        <v>47849.749582637734</v>
      </c>
      <c r="S27" s="777">
        <f t="shared" si="37"/>
        <v>116500.398373125</v>
      </c>
      <c r="T27" s="303">
        <f t="shared" si="38"/>
        <v>-39944.446321041432</v>
      </c>
      <c r="U27" s="304">
        <f t="shared" si="39"/>
        <v>-39944.446321041432</v>
      </c>
      <c r="V27" s="304">
        <f t="shared" si="40"/>
        <v>-39944.446321041432</v>
      </c>
      <c r="W27" s="304">
        <f t="shared" si="41"/>
        <v>-39944.446321041432</v>
      </c>
      <c r="X27" s="306">
        <f t="shared" si="42"/>
        <v>-108595.0951115287</v>
      </c>
      <c r="Y27" s="723">
        <f ca="1">IF(AND(Y$22=TRUE,INDEX(CDRANGE_CLS3,MATCH($A27,$A$24:$A$67,0),MATCH(Y$20,$B$20:$G$20,0))&lt;$D$6/OPDAYS_Cls3),86,payback(C27,T27,disc_rate/12,85))</f>
        <v>86</v>
      </c>
      <c r="Z27" s="724">
        <f ca="1">IF(AND(Z$22=TRUE,INDEX(CDRANGE_CLS3,MATCH($A27,$A$24:$A$67,0),MATCH(Z$20,$B$20:$G$20,0))&lt;$D$6/OPDAYS_Cls3),86,payback(D27,U27,disc_rate/12,85))</f>
        <v>86</v>
      </c>
      <c r="AA27" s="724">
        <f ca="1">IF(AND(AA$22=TRUE,INDEX(CDRANGE_CLS3,MATCH($A27,$A$24:$A$67,0),MATCH(AA$20,$B$20:$G$20,0))&lt;$D$6/OPDAYS_Cls3),86,payback(E27,V27,disc_rate/12,85))</f>
        <v>86</v>
      </c>
      <c r="AB27" s="724">
        <f ca="1">IF(AND(AB$22=TRUE,INDEX(CDRANGE_CLS3,MATCH($A27,$A$24:$A$67,0),MATCH(AB$20,$B$20:$G$20,0))&lt;$D$6/OPDAYS_Cls3),86,payback(F27,W27,disc_rate/12,85))</f>
        <v>86</v>
      </c>
      <c r="AC27" s="892">
        <f>IF(AND(AC$22=TRUE,INDEX(CDRANGE_CLS3,MATCH($A27,$A$24:$A$67,0),MATCH(AC$20,$B$20:$G$20,0))&lt;$D$6/OPDAYS_Cls3),86,payback(G27,X27,disc_rate/12,85))</f>
        <v>86</v>
      </c>
      <c r="AD27" s="310">
        <f t="shared" si="43"/>
        <v>0</v>
      </c>
      <c r="AE27" s="311">
        <f t="shared" si="44"/>
        <v>0</v>
      </c>
      <c r="AF27" s="311">
        <f t="shared" si="45"/>
        <v>0</v>
      </c>
      <c r="AG27" s="311">
        <f t="shared" si="46"/>
        <v>0</v>
      </c>
      <c r="AH27" s="759">
        <f t="shared" si="47"/>
        <v>0</v>
      </c>
      <c r="AI27" s="313">
        <f t="shared" si="48"/>
        <v>0</v>
      </c>
      <c r="AJ27" s="314">
        <f t="shared" si="49"/>
        <v>0</v>
      </c>
      <c r="AK27" s="314">
        <f t="shared" si="50"/>
        <v>0</v>
      </c>
      <c r="AL27" s="314">
        <f t="shared" si="51"/>
        <v>0</v>
      </c>
      <c r="AM27" s="315">
        <f t="shared" si="52"/>
        <v>0</v>
      </c>
      <c r="AN27" s="313">
        <f t="shared" si="65"/>
        <v>0</v>
      </c>
      <c r="AO27" s="314">
        <f t="shared" si="53"/>
        <v>0</v>
      </c>
      <c r="AP27" s="314">
        <f t="shared" si="53"/>
        <v>0</v>
      </c>
      <c r="AQ27" s="314">
        <f t="shared" si="53"/>
        <v>0</v>
      </c>
      <c r="AR27" s="315">
        <f t="shared" si="53"/>
        <v>0</v>
      </c>
      <c r="AS27" s="310">
        <f t="shared" ca="1" si="54"/>
        <v>0</v>
      </c>
      <c r="AT27" s="311">
        <f t="shared" ca="1" si="55"/>
        <v>0</v>
      </c>
      <c r="AU27" s="311">
        <f t="shared" ca="1" si="56"/>
        <v>0</v>
      </c>
      <c r="AV27" s="311">
        <f t="shared" ca="1" si="57"/>
        <v>0</v>
      </c>
      <c r="AW27" s="312">
        <f t="shared" si="58"/>
        <v>0</v>
      </c>
      <c r="AX27" s="758">
        <f t="shared" ca="1" si="59"/>
        <v>0</v>
      </c>
      <c r="AY27" s="625">
        <f t="shared" ca="1" si="59"/>
        <v>0</v>
      </c>
      <c r="AZ27" s="625">
        <f t="shared" ca="1" si="59"/>
        <v>0</v>
      </c>
      <c r="BA27" s="625">
        <f t="shared" ca="1" si="59"/>
        <v>0</v>
      </c>
      <c r="BB27" s="645">
        <f t="shared" si="59"/>
        <v>0</v>
      </c>
      <c r="BC27" s="310">
        <f t="shared" ca="1" si="66"/>
        <v>1</v>
      </c>
      <c r="BD27" s="311">
        <f t="shared" ca="1" si="60"/>
        <v>0</v>
      </c>
      <c r="BE27" s="311">
        <f t="shared" ca="1" si="61"/>
        <v>0</v>
      </c>
      <c r="BF27" s="311">
        <f t="shared" ca="1" si="62"/>
        <v>0</v>
      </c>
      <c r="BG27" s="311">
        <f t="shared" ca="1" si="63"/>
        <v>0</v>
      </c>
      <c r="BH27" s="312">
        <f t="shared" ca="1" si="64"/>
        <v>0</v>
      </c>
    </row>
    <row r="28" spans="1:60" x14ac:dyDescent="0.2">
      <c r="A28" s="318">
        <v>2011</v>
      </c>
      <c r="B28" s="817">
        <f t="shared" si="30"/>
        <v>96771.81</v>
      </c>
      <c r="C28" s="818">
        <f t="shared" si="30"/>
        <v>1000000</v>
      </c>
      <c r="D28" s="818">
        <f t="shared" si="30"/>
        <v>1000000</v>
      </c>
      <c r="E28" s="818">
        <f t="shared" si="30"/>
        <v>1000000</v>
      </c>
      <c r="F28" s="818">
        <f t="shared" si="30"/>
        <v>1000000</v>
      </c>
      <c r="G28" s="819">
        <f t="shared" si="30"/>
        <v>1000000</v>
      </c>
      <c r="H28" s="781">
        <f t="shared" si="31"/>
        <v>1</v>
      </c>
      <c r="I28" s="782">
        <f t="shared" si="31"/>
        <v>1</v>
      </c>
      <c r="J28" s="782">
        <f t="shared" si="31"/>
        <v>1</v>
      </c>
      <c r="K28" s="782">
        <f t="shared" si="31"/>
        <v>1</v>
      </c>
      <c r="L28" s="782">
        <f t="shared" si="31"/>
        <v>1</v>
      </c>
      <c r="M28" s="783">
        <f t="shared" si="31"/>
        <v>1</v>
      </c>
      <c r="N28" s="736">
        <f t="shared" si="32"/>
        <v>10333.072288486244</v>
      </c>
      <c r="O28" s="632">
        <f t="shared" si="33"/>
        <v>63345.575959933216</v>
      </c>
      <c r="P28" s="632">
        <f t="shared" si="34"/>
        <v>63345.575959933216</v>
      </c>
      <c r="Q28" s="632">
        <f t="shared" si="35"/>
        <v>63345.575959933216</v>
      </c>
      <c r="R28" s="632">
        <f t="shared" si="36"/>
        <v>63345.575959933216</v>
      </c>
      <c r="S28" s="745">
        <f t="shared" si="37"/>
        <v>92033.102025000015</v>
      </c>
      <c r="T28" s="736">
        <f t="shared" si="38"/>
        <v>-53012.503671446975</v>
      </c>
      <c r="U28" s="632">
        <f t="shared" si="39"/>
        <v>-53012.503671446975</v>
      </c>
      <c r="V28" s="632">
        <f t="shared" si="40"/>
        <v>-53012.503671446975</v>
      </c>
      <c r="W28" s="632">
        <f t="shared" si="41"/>
        <v>-53012.503671446975</v>
      </c>
      <c r="X28" s="633">
        <f t="shared" si="42"/>
        <v>-81700.029736513767</v>
      </c>
      <c r="Y28" s="634">
        <f ca="1">IF(AND(Y$22=TRUE,INDEX(CDRANGE_CLS3,MATCH($A28,$A$24:$A$67,0),MATCH(Y$20,$B$20:$G$20,0))&lt;$D$6/OPDAYS_Cls3),86,payback(C28,T28,disc_rate/12,85))</f>
        <v>86</v>
      </c>
      <c r="Z28" s="635">
        <f ca="1">IF(AND(Z$22=TRUE,INDEX(CDRANGE_CLS3,MATCH($A28,$A$24:$A$67,0),MATCH(Z$20,$B$20:$G$20,0))&lt;$D$6/OPDAYS_Cls3),86,payback(D28,U28,disc_rate/12,85))</f>
        <v>86</v>
      </c>
      <c r="AA28" s="635">
        <f ca="1">IF(AND(AA$22=TRUE,INDEX(CDRANGE_CLS3,MATCH($A28,$A$24:$A$67,0),MATCH(AA$20,$B$20:$G$20,0))&lt;$D$6/OPDAYS_Cls3),86,payback(E28,V28,disc_rate/12,85))</f>
        <v>86</v>
      </c>
      <c r="AB28" s="635">
        <f ca="1">IF(AND(AB$22=TRUE,INDEX(CDRANGE_CLS3,MATCH($A28,$A$24:$A$67,0),MATCH(AB$20,$B$20:$G$20,0))&lt;$D$6/OPDAYS_Cls3),86,payback(F28,W28,disc_rate/12,85))</f>
        <v>86</v>
      </c>
      <c r="AC28" s="893">
        <f>IF(AND(AC$22=TRUE,INDEX(CDRANGE_CLS3,MATCH($A28,$A$24:$A$67,0),MATCH(AC$20,$B$20:$G$20,0))&lt;$D$6/OPDAYS_Cls3),86,payback(G28,X28,disc_rate/12,85))</f>
        <v>86</v>
      </c>
      <c r="AD28" s="637">
        <f t="shared" si="43"/>
        <v>0</v>
      </c>
      <c r="AE28" s="638">
        <f t="shared" si="44"/>
        <v>0</v>
      </c>
      <c r="AF28" s="638">
        <f t="shared" si="45"/>
        <v>0</v>
      </c>
      <c r="AG28" s="638">
        <f t="shared" si="46"/>
        <v>0</v>
      </c>
      <c r="AH28" s="639">
        <f t="shared" si="47"/>
        <v>0</v>
      </c>
      <c r="AI28" s="640">
        <f t="shared" si="48"/>
        <v>0</v>
      </c>
      <c r="AJ28" s="641">
        <f t="shared" si="49"/>
        <v>0</v>
      </c>
      <c r="AK28" s="641">
        <f t="shared" si="50"/>
        <v>0</v>
      </c>
      <c r="AL28" s="641">
        <f t="shared" si="51"/>
        <v>0</v>
      </c>
      <c r="AM28" s="642">
        <f t="shared" si="52"/>
        <v>0</v>
      </c>
      <c r="AN28" s="643">
        <f t="shared" si="65"/>
        <v>0</v>
      </c>
      <c r="AO28" s="641">
        <f t="shared" si="53"/>
        <v>0</v>
      </c>
      <c r="AP28" s="641">
        <f t="shared" si="53"/>
        <v>0</v>
      </c>
      <c r="AQ28" s="641">
        <f t="shared" si="53"/>
        <v>0</v>
      </c>
      <c r="AR28" s="642">
        <f t="shared" si="53"/>
        <v>0</v>
      </c>
      <c r="AS28" s="637">
        <f t="shared" ca="1" si="54"/>
        <v>0</v>
      </c>
      <c r="AT28" s="638">
        <f t="shared" ca="1" si="55"/>
        <v>0</v>
      </c>
      <c r="AU28" s="638">
        <f t="shared" ca="1" si="56"/>
        <v>0</v>
      </c>
      <c r="AV28" s="638">
        <f t="shared" ca="1" si="57"/>
        <v>0</v>
      </c>
      <c r="AW28" s="639">
        <f t="shared" si="58"/>
        <v>0</v>
      </c>
      <c r="AX28" s="637">
        <f t="shared" ca="1" si="59"/>
        <v>0</v>
      </c>
      <c r="AY28" s="638">
        <f t="shared" ca="1" si="59"/>
        <v>0</v>
      </c>
      <c r="AZ28" s="638">
        <f t="shared" ca="1" si="59"/>
        <v>0</v>
      </c>
      <c r="BA28" s="638">
        <f t="shared" ca="1" si="59"/>
        <v>0</v>
      </c>
      <c r="BB28" s="639">
        <f t="shared" si="59"/>
        <v>0</v>
      </c>
      <c r="BC28" s="637">
        <f t="shared" ca="1" si="66"/>
        <v>1</v>
      </c>
      <c r="BD28" s="638">
        <f t="shared" ca="1" si="60"/>
        <v>0</v>
      </c>
      <c r="BE28" s="638">
        <f t="shared" ca="1" si="61"/>
        <v>0</v>
      </c>
      <c r="BF28" s="638">
        <f t="shared" ca="1" si="62"/>
        <v>0</v>
      </c>
      <c r="BG28" s="638">
        <f t="shared" ca="1" si="63"/>
        <v>0</v>
      </c>
      <c r="BH28" s="639">
        <f t="shared" ca="1" si="64"/>
        <v>0</v>
      </c>
    </row>
    <row r="29" spans="1:60" x14ac:dyDescent="0.2">
      <c r="A29" s="317">
        <v>2012</v>
      </c>
      <c r="B29" s="820">
        <f t="shared" si="30"/>
        <v>96771.81</v>
      </c>
      <c r="C29" s="821">
        <f t="shared" si="30"/>
        <v>1000000</v>
      </c>
      <c r="D29" s="821">
        <f t="shared" si="30"/>
        <v>1000000</v>
      </c>
      <c r="E29" s="821">
        <f t="shared" si="30"/>
        <v>1000000</v>
      </c>
      <c r="F29" s="821">
        <f t="shared" si="30"/>
        <v>1000000</v>
      </c>
      <c r="G29" s="822">
        <f t="shared" si="30"/>
        <v>1000000</v>
      </c>
      <c r="H29" s="781">
        <f t="shared" si="31"/>
        <v>1</v>
      </c>
      <c r="I29" s="782">
        <f t="shared" si="31"/>
        <v>1</v>
      </c>
      <c r="J29" s="782">
        <f t="shared" si="31"/>
        <v>1</v>
      </c>
      <c r="K29" s="782">
        <f t="shared" si="31"/>
        <v>1</v>
      </c>
      <c r="L29" s="782">
        <f t="shared" si="31"/>
        <v>1</v>
      </c>
      <c r="M29" s="783">
        <f t="shared" si="31"/>
        <v>1</v>
      </c>
      <c r="N29" s="733">
        <f t="shared" si="32"/>
        <v>10840.706072077373</v>
      </c>
      <c r="O29" s="276">
        <f t="shared" si="33"/>
        <v>66812.080740628313</v>
      </c>
      <c r="P29" s="276">
        <f t="shared" si="34"/>
        <v>66812.080740628313</v>
      </c>
      <c r="Q29" s="276">
        <f t="shared" si="35"/>
        <v>66812.080740628313</v>
      </c>
      <c r="R29" s="276">
        <f t="shared" si="36"/>
        <v>66812.080740628313</v>
      </c>
      <c r="S29" s="278">
        <f t="shared" si="37"/>
        <v>78666.019556249987</v>
      </c>
      <c r="T29" s="734">
        <f t="shared" si="38"/>
        <v>-55971.37466855094</v>
      </c>
      <c r="U29" s="290">
        <f t="shared" si="39"/>
        <v>-55971.37466855094</v>
      </c>
      <c r="V29" s="290">
        <f t="shared" si="40"/>
        <v>-55971.37466855094</v>
      </c>
      <c r="W29" s="290">
        <f t="shared" si="41"/>
        <v>-55971.37466855094</v>
      </c>
      <c r="X29" s="291">
        <f t="shared" si="42"/>
        <v>-67825.313484172613</v>
      </c>
      <c r="Y29" s="279">
        <f ca="1">IF(AND(Y$22=TRUE,INDEX(CDRANGE_CLS3,MATCH($A29,$A$24:$A$67,0),MATCH(Y$20,$B$20:$G$20,0))&lt;$D$6/OPDAYS_Cls3),86,payback(C29,T29,disc_rate/12,85))</f>
        <v>86</v>
      </c>
      <c r="Z29" s="280">
        <f ca="1">IF(AND(Z$22=TRUE,INDEX(CDRANGE_CLS3,MATCH($A29,$A$24:$A$67,0),MATCH(Z$20,$B$20:$G$20,0))&lt;$D$6/OPDAYS_Cls3),86,payback(D29,U29,disc_rate/12,85))</f>
        <v>86</v>
      </c>
      <c r="AA29" s="280">
        <f ca="1">IF(AND(AA$22=TRUE,INDEX(CDRANGE_CLS3,MATCH($A29,$A$24:$A$67,0),MATCH(AA$20,$B$20:$G$20,0))&lt;$D$6/OPDAYS_Cls3),86,payback(E29,V29,disc_rate/12,85))</f>
        <v>86</v>
      </c>
      <c r="AB29" s="280">
        <f ca="1">IF(AND(AB$22=TRUE,INDEX(CDRANGE_CLS3,MATCH($A29,$A$24:$A$67,0),MATCH(AB$20,$B$20:$G$20,0))&lt;$D$6/OPDAYS_Cls3),86,payback(F29,W29,disc_rate/12,85))</f>
        <v>86</v>
      </c>
      <c r="AC29" s="281">
        <f>IF(AND(AC$22=TRUE,INDEX(CDRANGE_CLS3,MATCH($A29,$A$24:$A$67,0),MATCH(AC$20,$B$20:$G$20,0))&lt;$D$6/OPDAYS_Cls3),86,payback(G29,X29,disc_rate/12,85))</f>
        <v>86</v>
      </c>
      <c r="AD29" s="296">
        <f t="shared" si="43"/>
        <v>0</v>
      </c>
      <c r="AE29" s="297">
        <f t="shared" si="44"/>
        <v>0</v>
      </c>
      <c r="AF29" s="297">
        <f t="shared" si="45"/>
        <v>0</v>
      </c>
      <c r="AG29" s="297">
        <f t="shared" si="46"/>
        <v>0</v>
      </c>
      <c r="AH29" s="298">
        <f t="shared" si="47"/>
        <v>0</v>
      </c>
      <c r="AI29" s="595">
        <f t="shared" si="48"/>
        <v>0</v>
      </c>
      <c r="AJ29" s="300">
        <f t="shared" si="49"/>
        <v>0</v>
      </c>
      <c r="AK29" s="300">
        <f t="shared" si="50"/>
        <v>0</v>
      </c>
      <c r="AL29" s="300">
        <f t="shared" si="51"/>
        <v>0</v>
      </c>
      <c r="AM29" s="598">
        <f t="shared" si="52"/>
        <v>0</v>
      </c>
      <c r="AN29" s="299">
        <f t="shared" si="65"/>
        <v>0</v>
      </c>
      <c r="AO29" s="300">
        <f t="shared" si="53"/>
        <v>0</v>
      </c>
      <c r="AP29" s="300">
        <f t="shared" si="53"/>
        <v>0</v>
      </c>
      <c r="AQ29" s="300">
        <f t="shared" si="53"/>
        <v>0</v>
      </c>
      <c r="AR29" s="598">
        <f t="shared" si="53"/>
        <v>0</v>
      </c>
      <c r="AS29" s="296">
        <f t="shared" ca="1" si="54"/>
        <v>0</v>
      </c>
      <c r="AT29" s="297">
        <f t="shared" ca="1" si="55"/>
        <v>0</v>
      </c>
      <c r="AU29" s="297">
        <f t="shared" ca="1" si="56"/>
        <v>0</v>
      </c>
      <c r="AV29" s="297">
        <f t="shared" ca="1" si="57"/>
        <v>0</v>
      </c>
      <c r="AW29" s="298">
        <f t="shared" si="58"/>
        <v>0</v>
      </c>
      <c r="AX29" s="296">
        <f t="shared" ca="1" si="59"/>
        <v>0</v>
      </c>
      <c r="AY29" s="297">
        <f t="shared" ca="1" si="59"/>
        <v>0</v>
      </c>
      <c r="AZ29" s="297">
        <f t="shared" ca="1" si="59"/>
        <v>0</v>
      </c>
      <c r="BA29" s="297">
        <f t="shared" ca="1" si="59"/>
        <v>0</v>
      </c>
      <c r="BB29" s="298">
        <f t="shared" si="59"/>
        <v>0</v>
      </c>
      <c r="BC29" s="296">
        <f t="shared" ca="1" si="66"/>
        <v>1</v>
      </c>
      <c r="BD29" s="297">
        <f t="shared" ca="1" si="60"/>
        <v>0</v>
      </c>
      <c r="BE29" s="297">
        <f t="shared" ca="1" si="61"/>
        <v>0</v>
      </c>
      <c r="BF29" s="297">
        <f t="shared" ca="1" si="62"/>
        <v>0</v>
      </c>
      <c r="BG29" s="297">
        <f t="shared" ca="1" si="63"/>
        <v>0</v>
      </c>
      <c r="BH29" s="298">
        <f t="shared" ca="1" si="64"/>
        <v>0</v>
      </c>
    </row>
    <row r="30" spans="1:60" x14ac:dyDescent="0.2">
      <c r="A30" s="317">
        <v>2013</v>
      </c>
      <c r="B30" s="820">
        <f t="shared" si="30"/>
        <v>96771.81</v>
      </c>
      <c r="C30" s="821">
        <f t="shared" si="30"/>
        <v>1000000</v>
      </c>
      <c r="D30" s="821">
        <f t="shared" si="30"/>
        <v>1000000</v>
      </c>
      <c r="E30" s="821">
        <f t="shared" si="30"/>
        <v>1000000</v>
      </c>
      <c r="F30" s="821">
        <f t="shared" si="30"/>
        <v>1000000</v>
      </c>
      <c r="G30" s="822">
        <f t="shared" si="30"/>
        <v>1000000</v>
      </c>
      <c r="H30" s="781">
        <f t="shared" si="31"/>
        <v>1</v>
      </c>
      <c r="I30" s="782">
        <f t="shared" si="31"/>
        <v>1</v>
      </c>
      <c r="J30" s="782">
        <f t="shared" si="31"/>
        <v>1</v>
      </c>
      <c r="K30" s="782">
        <f t="shared" si="31"/>
        <v>1</v>
      </c>
      <c r="L30" s="782">
        <f t="shared" si="31"/>
        <v>1</v>
      </c>
      <c r="M30" s="783">
        <f t="shared" si="31"/>
        <v>1</v>
      </c>
      <c r="N30" s="733">
        <f t="shared" si="32"/>
        <v>10770.039360993798</v>
      </c>
      <c r="O30" s="276">
        <f t="shared" si="33"/>
        <v>67008.521778722105</v>
      </c>
      <c r="P30" s="276">
        <f t="shared" si="34"/>
        <v>67008.521778722105</v>
      </c>
      <c r="Q30" s="276">
        <f t="shared" si="35"/>
        <v>67008.521778722105</v>
      </c>
      <c r="R30" s="276">
        <f t="shared" si="36"/>
        <v>67008.521778722105</v>
      </c>
      <c r="S30" s="278">
        <f t="shared" si="37"/>
        <v>80635.311629999997</v>
      </c>
      <c r="T30" s="734">
        <f t="shared" si="38"/>
        <v>-56238.482417728308</v>
      </c>
      <c r="U30" s="290">
        <f t="shared" si="39"/>
        <v>-56238.482417728308</v>
      </c>
      <c r="V30" s="290">
        <f t="shared" si="40"/>
        <v>-56238.482417728308</v>
      </c>
      <c r="W30" s="290">
        <f t="shared" si="41"/>
        <v>-56238.482417728308</v>
      </c>
      <c r="X30" s="291">
        <f t="shared" si="42"/>
        <v>-69865.272269006193</v>
      </c>
      <c r="Y30" s="279">
        <f ca="1">IF(AND(Y$22=TRUE,INDEX(CDRANGE_CLS3,MATCH($A30,$A$24:$A$67,0),MATCH(Y$20,$B$20:$G$20,0))&lt;$D$6/OPDAYS_Cls3),86,payback(C30,T30,disc_rate/12,85))</f>
        <v>86</v>
      </c>
      <c r="Z30" s="280">
        <f ca="1">IF(AND(Z$22=TRUE,INDEX(CDRANGE_CLS3,MATCH($A30,$A$24:$A$67,0),MATCH(Z$20,$B$20:$G$20,0))&lt;$D$6/OPDAYS_Cls3),86,payback(D30,U30,disc_rate/12,85))</f>
        <v>86</v>
      </c>
      <c r="AA30" s="280">
        <f ca="1">IF(AND(AA$22=TRUE,INDEX(CDRANGE_CLS3,MATCH($A30,$A$24:$A$67,0),MATCH(AA$20,$B$20:$G$20,0))&lt;$D$6/OPDAYS_Cls3),86,payback(E30,V30,disc_rate/12,85))</f>
        <v>86</v>
      </c>
      <c r="AB30" s="280">
        <f ca="1">IF(AND(AB$22=TRUE,INDEX(CDRANGE_CLS3,MATCH($A30,$A$24:$A$67,0),MATCH(AB$20,$B$20:$G$20,0))&lt;$D$6/OPDAYS_Cls3),86,payback(F30,W30,disc_rate/12,85))</f>
        <v>86</v>
      </c>
      <c r="AC30" s="281">
        <f>IF(AND(AC$22=TRUE,INDEX(CDRANGE_CLS3,MATCH($A30,$A$24:$A$67,0),MATCH(AC$20,$B$20:$G$20,0))&lt;$D$6/OPDAYS_Cls3),86,payback(G30,X30,disc_rate/12,85))</f>
        <v>86</v>
      </c>
      <c r="AD30" s="296">
        <f t="shared" si="43"/>
        <v>0</v>
      </c>
      <c r="AE30" s="297">
        <f t="shared" si="44"/>
        <v>0</v>
      </c>
      <c r="AF30" s="297">
        <f t="shared" si="45"/>
        <v>0</v>
      </c>
      <c r="AG30" s="297">
        <f t="shared" si="46"/>
        <v>0</v>
      </c>
      <c r="AH30" s="298">
        <f t="shared" si="47"/>
        <v>0</v>
      </c>
      <c r="AI30" s="595">
        <f t="shared" si="48"/>
        <v>0</v>
      </c>
      <c r="AJ30" s="300">
        <f t="shared" si="49"/>
        <v>0</v>
      </c>
      <c r="AK30" s="300">
        <f t="shared" si="50"/>
        <v>0</v>
      </c>
      <c r="AL30" s="300">
        <f t="shared" si="51"/>
        <v>0</v>
      </c>
      <c r="AM30" s="598">
        <f t="shared" si="52"/>
        <v>0</v>
      </c>
      <c r="AN30" s="299">
        <f t="shared" si="65"/>
        <v>0</v>
      </c>
      <c r="AO30" s="300">
        <f t="shared" si="53"/>
        <v>0</v>
      </c>
      <c r="AP30" s="300">
        <f t="shared" si="53"/>
        <v>0</v>
      </c>
      <c r="AQ30" s="300">
        <f t="shared" si="53"/>
        <v>0</v>
      </c>
      <c r="AR30" s="598">
        <f t="shared" si="53"/>
        <v>0</v>
      </c>
      <c r="AS30" s="296">
        <f t="shared" ca="1" si="54"/>
        <v>0</v>
      </c>
      <c r="AT30" s="297">
        <f t="shared" ca="1" si="55"/>
        <v>0</v>
      </c>
      <c r="AU30" s="297">
        <f t="shared" ca="1" si="56"/>
        <v>0</v>
      </c>
      <c r="AV30" s="297">
        <f t="shared" ca="1" si="57"/>
        <v>0</v>
      </c>
      <c r="AW30" s="298">
        <f t="shared" si="58"/>
        <v>0</v>
      </c>
      <c r="AX30" s="296">
        <f t="shared" ca="1" si="59"/>
        <v>0</v>
      </c>
      <c r="AY30" s="297">
        <f t="shared" ca="1" si="59"/>
        <v>0</v>
      </c>
      <c r="AZ30" s="297">
        <f t="shared" ca="1" si="59"/>
        <v>0</v>
      </c>
      <c r="BA30" s="297">
        <f t="shared" ca="1" si="59"/>
        <v>0</v>
      </c>
      <c r="BB30" s="298">
        <f t="shared" si="59"/>
        <v>0</v>
      </c>
      <c r="BC30" s="296">
        <f t="shared" ca="1" si="66"/>
        <v>1</v>
      </c>
      <c r="BD30" s="297">
        <f t="shared" ca="1" si="60"/>
        <v>0</v>
      </c>
      <c r="BE30" s="297">
        <f t="shared" ca="1" si="61"/>
        <v>0</v>
      </c>
      <c r="BF30" s="297">
        <f t="shared" ca="1" si="62"/>
        <v>0</v>
      </c>
      <c r="BG30" s="297">
        <f t="shared" ca="1" si="63"/>
        <v>0</v>
      </c>
      <c r="BH30" s="298">
        <f t="shared" ca="1" si="64"/>
        <v>0</v>
      </c>
    </row>
    <row r="31" spans="1:60" x14ac:dyDescent="0.2">
      <c r="A31" s="317">
        <v>2014</v>
      </c>
      <c r="B31" s="820">
        <f t="shared" si="30"/>
        <v>96771.81</v>
      </c>
      <c r="C31" s="821">
        <f t="shared" si="30"/>
        <v>1000000</v>
      </c>
      <c r="D31" s="821">
        <f t="shared" si="30"/>
        <v>1000000</v>
      </c>
      <c r="E31" s="821">
        <f t="shared" si="30"/>
        <v>1000000</v>
      </c>
      <c r="F31" s="821">
        <f t="shared" si="30"/>
        <v>1000000</v>
      </c>
      <c r="G31" s="822">
        <f t="shared" si="30"/>
        <v>1000000</v>
      </c>
      <c r="H31" s="781">
        <f t="shared" si="31"/>
        <v>1</v>
      </c>
      <c r="I31" s="782">
        <f t="shared" si="31"/>
        <v>1</v>
      </c>
      <c r="J31" s="782">
        <f t="shared" si="31"/>
        <v>1</v>
      </c>
      <c r="K31" s="782">
        <f t="shared" si="31"/>
        <v>1</v>
      </c>
      <c r="L31" s="782">
        <f t="shared" si="31"/>
        <v>1</v>
      </c>
      <c r="M31" s="783">
        <f t="shared" si="31"/>
        <v>1</v>
      </c>
      <c r="N31" s="733">
        <f t="shared" si="32"/>
        <v>10588.593032365839</v>
      </c>
      <c r="O31" s="276">
        <f t="shared" si="33"/>
        <v>66407.056268022468</v>
      </c>
      <c r="P31" s="276">
        <f t="shared" si="34"/>
        <v>66407.056268022468</v>
      </c>
      <c r="Q31" s="276">
        <f t="shared" si="35"/>
        <v>66407.056268022468</v>
      </c>
      <c r="R31" s="276">
        <f t="shared" si="36"/>
        <v>66407.056268022468</v>
      </c>
      <c r="S31" s="278">
        <f t="shared" si="37"/>
        <v>83691.059008125027</v>
      </c>
      <c r="T31" s="734">
        <f t="shared" si="38"/>
        <v>-55818.463235656629</v>
      </c>
      <c r="U31" s="290">
        <f t="shared" si="39"/>
        <v>-55818.463235656629</v>
      </c>
      <c r="V31" s="290">
        <f t="shared" si="40"/>
        <v>-55818.463235656629</v>
      </c>
      <c r="W31" s="290">
        <f t="shared" si="41"/>
        <v>-55818.463235656629</v>
      </c>
      <c r="X31" s="291">
        <f t="shared" si="42"/>
        <v>-73102.465975759187</v>
      </c>
      <c r="Y31" s="279">
        <f ca="1">IF(AND(Y$22=TRUE,INDEX(CDRANGE_CLS3,MATCH($A31,$A$24:$A$67,0),MATCH(Y$20,$B$20:$G$20,0))&lt;$D$6/OPDAYS_Cls3),86,payback(C31,T31,disc_rate/12,85))</f>
        <v>86</v>
      </c>
      <c r="Z31" s="280">
        <f ca="1">IF(AND(Z$22=TRUE,INDEX(CDRANGE_CLS3,MATCH($A31,$A$24:$A$67,0),MATCH(Z$20,$B$20:$G$20,0))&lt;$D$6/OPDAYS_Cls3),86,payback(D31,U31,disc_rate/12,85))</f>
        <v>86</v>
      </c>
      <c r="AA31" s="280">
        <f ca="1">IF(AND(AA$22=TRUE,INDEX(CDRANGE_CLS3,MATCH($A31,$A$24:$A$67,0),MATCH(AA$20,$B$20:$G$20,0))&lt;$D$6/OPDAYS_Cls3),86,payback(E31,V31,disc_rate/12,85))</f>
        <v>86</v>
      </c>
      <c r="AB31" s="280">
        <f ca="1">IF(AND(AB$22=TRUE,INDEX(CDRANGE_CLS3,MATCH($A31,$A$24:$A$67,0),MATCH(AB$20,$B$20:$G$20,0))&lt;$D$6/OPDAYS_Cls3),86,payback(F31,W31,disc_rate/12,85))</f>
        <v>86</v>
      </c>
      <c r="AC31" s="281">
        <f>IF(AND(AC$22=TRUE,INDEX(CDRANGE_CLS3,MATCH($A31,$A$24:$A$67,0),MATCH(AC$20,$B$20:$G$20,0))&lt;$D$6/OPDAYS_Cls3),86,payback(G31,X31,disc_rate/12,85))</f>
        <v>86</v>
      </c>
      <c r="AD31" s="296">
        <f t="shared" si="43"/>
        <v>0</v>
      </c>
      <c r="AE31" s="297">
        <f t="shared" si="44"/>
        <v>0</v>
      </c>
      <c r="AF31" s="297">
        <f t="shared" si="45"/>
        <v>0</v>
      </c>
      <c r="AG31" s="297">
        <f t="shared" si="46"/>
        <v>0</v>
      </c>
      <c r="AH31" s="298">
        <f t="shared" si="47"/>
        <v>0</v>
      </c>
      <c r="AI31" s="595">
        <f t="shared" si="48"/>
        <v>0</v>
      </c>
      <c r="AJ31" s="300">
        <f t="shared" si="49"/>
        <v>0</v>
      </c>
      <c r="AK31" s="300">
        <f t="shared" si="50"/>
        <v>0</v>
      </c>
      <c r="AL31" s="300">
        <f t="shared" si="51"/>
        <v>0</v>
      </c>
      <c r="AM31" s="598">
        <f t="shared" si="52"/>
        <v>0</v>
      </c>
      <c r="AN31" s="299">
        <f t="shared" si="65"/>
        <v>0</v>
      </c>
      <c r="AO31" s="300">
        <f t="shared" si="53"/>
        <v>0</v>
      </c>
      <c r="AP31" s="300">
        <f t="shared" si="53"/>
        <v>0</v>
      </c>
      <c r="AQ31" s="300">
        <f t="shared" si="53"/>
        <v>0</v>
      </c>
      <c r="AR31" s="598">
        <f t="shared" si="53"/>
        <v>0</v>
      </c>
      <c r="AS31" s="296">
        <f t="shared" ca="1" si="54"/>
        <v>0</v>
      </c>
      <c r="AT31" s="297">
        <f t="shared" ca="1" si="55"/>
        <v>0</v>
      </c>
      <c r="AU31" s="297">
        <f t="shared" ca="1" si="56"/>
        <v>0</v>
      </c>
      <c r="AV31" s="297">
        <f t="shared" ca="1" si="57"/>
        <v>0</v>
      </c>
      <c r="AW31" s="298">
        <f t="shared" si="58"/>
        <v>0</v>
      </c>
      <c r="AX31" s="296">
        <f t="shared" ca="1" si="59"/>
        <v>0</v>
      </c>
      <c r="AY31" s="297">
        <f t="shared" ca="1" si="59"/>
        <v>0</v>
      </c>
      <c r="AZ31" s="297">
        <f t="shared" ca="1" si="59"/>
        <v>0</v>
      </c>
      <c r="BA31" s="297">
        <f t="shared" ca="1" si="59"/>
        <v>0</v>
      </c>
      <c r="BB31" s="298">
        <f t="shared" si="59"/>
        <v>0</v>
      </c>
      <c r="BC31" s="296">
        <f t="shared" ca="1" si="66"/>
        <v>1</v>
      </c>
      <c r="BD31" s="297">
        <f t="shared" ca="1" si="60"/>
        <v>0</v>
      </c>
      <c r="BE31" s="297">
        <f t="shared" ca="1" si="61"/>
        <v>0</v>
      </c>
      <c r="BF31" s="297">
        <f t="shared" ca="1" si="62"/>
        <v>0</v>
      </c>
      <c r="BG31" s="297">
        <f t="shared" ca="1" si="63"/>
        <v>0</v>
      </c>
      <c r="BH31" s="298">
        <f t="shared" ca="1" si="64"/>
        <v>0</v>
      </c>
    </row>
    <row r="32" spans="1:60" ht="13.5" thickBot="1" x14ac:dyDescent="0.25">
      <c r="A32" s="302">
        <v>2015</v>
      </c>
      <c r="B32" s="823">
        <f t="shared" si="30"/>
        <v>96771.81</v>
      </c>
      <c r="C32" s="824">
        <f t="shared" si="30"/>
        <v>1000000</v>
      </c>
      <c r="D32" s="824">
        <f t="shared" si="30"/>
        <v>1000000</v>
      </c>
      <c r="E32" s="824">
        <f t="shared" si="30"/>
        <v>1000000</v>
      </c>
      <c r="F32" s="824">
        <f t="shared" si="30"/>
        <v>1000000</v>
      </c>
      <c r="G32" s="825">
        <f t="shared" si="30"/>
        <v>1000000</v>
      </c>
      <c r="H32" s="781">
        <f t="shared" si="31"/>
        <v>1</v>
      </c>
      <c r="I32" s="782">
        <f t="shared" si="31"/>
        <v>1</v>
      </c>
      <c r="J32" s="782">
        <f t="shared" si="31"/>
        <v>1</v>
      </c>
      <c r="K32" s="782">
        <f t="shared" si="31"/>
        <v>1</v>
      </c>
      <c r="L32" s="782">
        <f t="shared" si="31"/>
        <v>1</v>
      </c>
      <c r="M32" s="783">
        <f t="shared" si="31"/>
        <v>1</v>
      </c>
      <c r="N32" s="884">
        <f t="shared" si="32"/>
        <v>7416.6980175890603</v>
      </c>
      <c r="O32" s="779">
        <f t="shared" si="33"/>
        <v>47058.723820003019</v>
      </c>
      <c r="P32" s="779">
        <f t="shared" si="34"/>
        <v>47058.723820003019</v>
      </c>
      <c r="Q32" s="779">
        <f t="shared" si="35"/>
        <v>47058.723820003019</v>
      </c>
      <c r="R32" s="779">
        <f t="shared" si="36"/>
        <v>47058.723820003019</v>
      </c>
      <c r="S32" s="780">
        <f t="shared" si="37"/>
        <v>76680.694629374993</v>
      </c>
      <c r="T32" s="737">
        <f t="shared" si="38"/>
        <v>-39642.025802413962</v>
      </c>
      <c r="U32" s="304">
        <f t="shared" si="39"/>
        <v>-39642.025802413962</v>
      </c>
      <c r="V32" s="304">
        <f t="shared" si="40"/>
        <v>-39642.025802413962</v>
      </c>
      <c r="W32" s="304">
        <f t="shared" si="41"/>
        <v>-39642.025802413962</v>
      </c>
      <c r="X32" s="305">
        <f t="shared" si="42"/>
        <v>-69263.996611785929</v>
      </c>
      <c r="Y32" s="889">
        <f ca="1">IF(AND(Y$22=TRUE,INDEX(CDRANGE_CLS3,MATCH($A32,$A$24:$A$67,0),MATCH(Y$20,$B$20:$G$20,0))&lt;$D$6/OPDAYS_Cls3),86,payback(C32,T32,disc_rate/12,85))</f>
        <v>86</v>
      </c>
      <c r="Z32" s="890">
        <f ca="1">IF(AND(Z$22=TRUE,INDEX(CDRANGE_CLS3,MATCH($A32,$A$24:$A$67,0),MATCH(Z$20,$B$20:$G$20,0))&lt;$D$6/OPDAYS_Cls3),86,payback(D32,U32,disc_rate/12,85))</f>
        <v>86</v>
      </c>
      <c r="AA32" s="890">
        <f ca="1">IF(AND(AA$22=TRUE,INDEX(CDRANGE_CLS3,MATCH($A32,$A$24:$A$67,0),MATCH(AA$20,$B$20:$G$20,0))&lt;$D$6/OPDAYS_Cls3),86,payback(E32,V32,disc_rate/12,85))</f>
        <v>86</v>
      </c>
      <c r="AB32" s="890">
        <f ca="1">IF(AND(AB$22=TRUE,INDEX(CDRANGE_CLS3,MATCH($A32,$A$24:$A$67,0),MATCH(AB$20,$B$20:$G$20,0))&lt;$D$6/OPDAYS_Cls3),86,payback(F32,W32,disc_rate/12,85))</f>
        <v>86</v>
      </c>
      <c r="AC32" s="891">
        <f>IF(AND(AC$22=TRUE,INDEX(CDRANGE_CLS3,MATCH($A32,$A$24:$A$67,0),MATCH(AC$20,$B$20:$G$20,0))&lt;$D$6/OPDAYS_Cls3),86,payback(G32,X32,disc_rate/12,85))</f>
        <v>86</v>
      </c>
      <c r="AD32" s="310">
        <f t="shared" si="43"/>
        <v>0</v>
      </c>
      <c r="AE32" s="311">
        <f t="shared" si="44"/>
        <v>0</v>
      </c>
      <c r="AF32" s="311">
        <f t="shared" si="45"/>
        <v>0</v>
      </c>
      <c r="AG32" s="311">
        <f t="shared" si="46"/>
        <v>0</v>
      </c>
      <c r="AH32" s="312">
        <f t="shared" si="47"/>
        <v>0</v>
      </c>
      <c r="AI32" s="596">
        <f t="shared" si="48"/>
        <v>0</v>
      </c>
      <c r="AJ32" s="314">
        <f t="shared" si="49"/>
        <v>0</v>
      </c>
      <c r="AK32" s="314">
        <f t="shared" si="50"/>
        <v>0</v>
      </c>
      <c r="AL32" s="314">
        <f t="shared" si="51"/>
        <v>0</v>
      </c>
      <c r="AM32" s="599">
        <f t="shared" si="52"/>
        <v>0</v>
      </c>
      <c r="AN32" s="313">
        <f t="shared" si="65"/>
        <v>0</v>
      </c>
      <c r="AO32" s="314">
        <f t="shared" si="53"/>
        <v>0</v>
      </c>
      <c r="AP32" s="314">
        <f t="shared" si="53"/>
        <v>0</v>
      </c>
      <c r="AQ32" s="314">
        <f t="shared" si="53"/>
        <v>0</v>
      </c>
      <c r="AR32" s="599">
        <f t="shared" si="53"/>
        <v>0</v>
      </c>
      <c r="AS32" s="310">
        <f t="shared" ca="1" si="54"/>
        <v>0</v>
      </c>
      <c r="AT32" s="311">
        <f t="shared" ca="1" si="55"/>
        <v>0</v>
      </c>
      <c r="AU32" s="311">
        <f t="shared" ca="1" si="56"/>
        <v>0</v>
      </c>
      <c r="AV32" s="311">
        <f t="shared" ca="1" si="57"/>
        <v>0</v>
      </c>
      <c r="AW32" s="312">
        <f t="shared" si="58"/>
        <v>0</v>
      </c>
      <c r="AX32" s="310">
        <f t="shared" ca="1" si="59"/>
        <v>0</v>
      </c>
      <c r="AY32" s="311">
        <f t="shared" ca="1" si="59"/>
        <v>0</v>
      </c>
      <c r="AZ32" s="311">
        <f t="shared" ca="1" si="59"/>
        <v>0</v>
      </c>
      <c r="BA32" s="311">
        <f t="shared" ca="1" si="59"/>
        <v>0</v>
      </c>
      <c r="BB32" s="312">
        <f t="shared" si="59"/>
        <v>0</v>
      </c>
      <c r="BC32" s="310">
        <f t="shared" ca="1" si="66"/>
        <v>1</v>
      </c>
      <c r="BD32" s="311">
        <f t="shared" ca="1" si="60"/>
        <v>0</v>
      </c>
      <c r="BE32" s="311">
        <f t="shared" ca="1" si="61"/>
        <v>0</v>
      </c>
      <c r="BF32" s="311">
        <f t="shared" ca="1" si="62"/>
        <v>0</v>
      </c>
      <c r="BG32" s="311">
        <f t="shared" ca="1" si="63"/>
        <v>0</v>
      </c>
      <c r="BH32" s="312">
        <f t="shared" ca="1" si="64"/>
        <v>0</v>
      </c>
    </row>
    <row r="33" spans="1:62" x14ac:dyDescent="0.2">
      <c r="A33" s="316">
        <v>2016</v>
      </c>
      <c r="B33" s="826">
        <f t="shared" si="30"/>
        <v>96771.81</v>
      </c>
      <c r="C33" s="827">
        <f t="shared" si="30"/>
        <v>1000000</v>
      </c>
      <c r="D33" s="827">
        <f t="shared" si="30"/>
        <v>1000000</v>
      </c>
      <c r="E33" s="827">
        <f t="shared" si="30"/>
        <v>1000000</v>
      </c>
      <c r="F33" s="827">
        <f t="shared" si="30"/>
        <v>1000000</v>
      </c>
      <c r="G33" s="828">
        <f t="shared" si="30"/>
        <v>1000000</v>
      </c>
      <c r="H33" s="781">
        <f t="shared" si="31"/>
        <v>1</v>
      </c>
      <c r="I33" s="782">
        <f t="shared" si="31"/>
        <v>1</v>
      </c>
      <c r="J33" s="782">
        <f t="shared" si="31"/>
        <v>1</v>
      </c>
      <c r="K33" s="782">
        <f t="shared" si="31"/>
        <v>1</v>
      </c>
      <c r="L33" s="782">
        <f t="shared" si="31"/>
        <v>1</v>
      </c>
      <c r="M33" s="783">
        <f t="shared" si="31"/>
        <v>1</v>
      </c>
      <c r="N33" s="733">
        <f t="shared" si="32"/>
        <v>6333.0074291680739</v>
      </c>
      <c r="O33" s="276">
        <f t="shared" si="33"/>
        <v>40557.778115040222</v>
      </c>
      <c r="P33" s="276">
        <f t="shared" si="34"/>
        <v>40557.778115040222</v>
      </c>
      <c r="Q33" s="276">
        <f t="shared" si="35"/>
        <v>40557.778115040222</v>
      </c>
      <c r="R33" s="276">
        <f t="shared" si="36"/>
        <v>40557.778115040222</v>
      </c>
      <c r="S33" s="278">
        <f t="shared" si="37"/>
        <v>75120.124582499979</v>
      </c>
      <c r="T33" s="733">
        <f t="shared" si="38"/>
        <v>-34224.77068587215</v>
      </c>
      <c r="U33" s="276">
        <f t="shared" si="39"/>
        <v>-34224.77068587215</v>
      </c>
      <c r="V33" s="276">
        <f t="shared" si="40"/>
        <v>-34224.77068587215</v>
      </c>
      <c r="W33" s="276">
        <f t="shared" si="41"/>
        <v>-34224.77068587215</v>
      </c>
      <c r="X33" s="277">
        <f t="shared" si="42"/>
        <v>-68787.117153331899</v>
      </c>
      <c r="Y33" s="279">
        <f ca="1">IF(AND(Y$22=TRUE,INDEX(CDRANGE_CLS3,MATCH($A33,$A$24:$A$67,0),MATCH(Y$20,$B$20:$G$20,0))&lt;$D$6/OPDAYS_Cls3),86,payback(C33,T33,disc_rate/12,85))</f>
        <v>86</v>
      </c>
      <c r="Z33" s="280">
        <f ca="1">IF(AND(Z$22=TRUE,INDEX(CDRANGE_CLS3,MATCH($A33,$A$24:$A$67,0),MATCH(Z$20,$B$20:$G$20,0))&lt;$D$6/OPDAYS_Cls3),86,payback(D33,U33,disc_rate/12,85))</f>
        <v>86</v>
      </c>
      <c r="AA33" s="280">
        <f ca="1">IF(AND(AA$22=TRUE,INDEX(CDRANGE_CLS3,MATCH($A33,$A$24:$A$67,0),MATCH(AA$20,$B$20:$G$20,0))&lt;$D$6/OPDAYS_Cls3),86,payback(E33,V33,disc_rate/12,85))</f>
        <v>86</v>
      </c>
      <c r="AB33" s="280">
        <f ca="1">IF(AND(AB$22=TRUE,INDEX(CDRANGE_CLS3,MATCH($A33,$A$24:$A$67,0),MATCH(AB$20,$B$20:$G$20,0))&lt;$D$6/OPDAYS_Cls3),86,payback(F33,W33,disc_rate/12,85))</f>
        <v>86</v>
      </c>
      <c r="AC33" s="281">
        <f>IF(AND(AC$22=TRUE,INDEX(CDRANGE_CLS3,MATCH($A33,$A$24:$A$67,0),MATCH(AC$20,$B$20:$G$20,0))&lt;$D$6/OPDAYS_Cls3),86,payback(G33,X33,disc_rate/12,85))</f>
        <v>86</v>
      </c>
      <c r="AD33" s="282">
        <f t="shared" si="43"/>
        <v>0</v>
      </c>
      <c r="AE33" s="283">
        <f t="shared" si="44"/>
        <v>0</v>
      </c>
      <c r="AF33" s="283">
        <f t="shared" si="45"/>
        <v>0</v>
      </c>
      <c r="AG33" s="283">
        <f t="shared" si="46"/>
        <v>0</v>
      </c>
      <c r="AH33" s="284">
        <f t="shared" si="47"/>
        <v>0</v>
      </c>
      <c r="AI33" s="594">
        <f t="shared" si="48"/>
        <v>0</v>
      </c>
      <c r="AJ33" s="286">
        <f t="shared" si="49"/>
        <v>0</v>
      </c>
      <c r="AK33" s="286">
        <f t="shared" si="50"/>
        <v>0</v>
      </c>
      <c r="AL33" s="286">
        <f t="shared" si="51"/>
        <v>0</v>
      </c>
      <c r="AM33" s="611">
        <f t="shared" si="52"/>
        <v>0</v>
      </c>
      <c r="AN33" s="285">
        <f t="shared" si="65"/>
        <v>0</v>
      </c>
      <c r="AO33" s="286">
        <f t="shared" si="53"/>
        <v>0</v>
      </c>
      <c r="AP33" s="286">
        <f t="shared" si="53"/>
        <v>0</v>
      </c>
      <c r="AQ33" s="286">
        <f t="shared" si="53"/>
        <v>0</v>
      </c>
      <c r="AR33" s="611">
        <f t="shared" si="53"/>
        <v>0</v>
      </c>
      <c r="AS33" s="282">
        <f t="shared" ca="1" si="54"/>
        <v>0</v>
      </c>
      <c r="AT33" s="283">
        <f t="shared" ca="1" si="55"/>
        <v>0</v>
      </c>
      <c r="AU33" s="283">
        <f t="shared" ca="1" si="56"/>
        <v>0</v>
      </c>
      <c r="AV33" s="283">
        <f t="shared" ca="1" si="57"/>
        <v>0</v>
      </c>
      <c r="AW33" s="284">
        <f t="shared" si="58"/>
        <v>0</v>
      </c>
      <c r="AX33" s="282">
        <f t="shared" ca="1" si="59"/>
        <v>0</v>
      </c>
      <c r="AY33" s="283">
        <f t="shared" ca="1" si="59"/>
        <v>0</v>
      </c>
      <c r="AZ33" s="283">
        <f t="shared" ca="1" si="59"/>
        <v>0</v>
      </c>
      <c r="BA33" s="283">
        <f t="shared" ca="1" si="59"/>
        <v>0</v>
      </c>
      <c r="BB33" s="284">
        <f t="shared" si="59"/>
        <v>0</v>
      </c>
      <c r="BC33" s="282">
        <f t="shared" ca="1" si="66"/>
        <v>1</v>
      </c>
      <c r="BD33" s="283">
        <f t="shared" ca="1" si="60"/>
        <v>0</v>
      </c>
      <c r="BE33" s="283">
        <f t="shared" ca="1" si="61"/>
        <v>0</v>
      </c>
      <c r="BF33" s="283">
        <f t="shared" ca="1" si="62"/>
        <v>0</v>
      </c>
      <c r="BG33" s="283">
        <f t="shared" ca="1" si="63"/>
        <v>0</v>
      </c>
      <c r="BH33" s="284">
        <f t="shared" ca="1" si="64"/>
        <v>0</v>
      </c>
    </row>
    <row r="34" spans="1:62" x14ac:dyDescent="0.2">
      <c r="A34" s="317">
        <v>2017</v>
      </c>
      <c r="B34" s="820">
        <f t="shared" ref="B34:G43" si="67">ROUND(INDEX(COST_Cls3,$A34-($A$24-1),MATCH(B$20,TECHOPTS_Cls3,0)),2)</f>
        <v>96771.81</v>
      </c>
      <c r="C34" s="821">
        <f t="shared" si="67"/>
        <v>1000000</v>
      </c>
      <c r="D34" s="821">
        <f t="shared" si="67"/>
        <v>1000000</v>
      </c>
      <c r="E34" s="821">
        <f t="shared" si="67"/>
        <v>1000000</v>
      </c>
      <c r="F34" s="821">
        <f t="shared" si="67"/>
        <v>1000000</v>
      </c>
      <c r="G34" s="822">
        <f t="shared" si="67"/>
        <v>1000000</v>
      </c>
      <c r="H34" s="781">
        <f t="shared" ref="H34:M43" si="68">IF(H$21="Single-fuel",1,1-MIN(INDEX(CDRANGE_CLS3,$A34-($A$24-1),MATCH(H$20,TECHOPTS_Cls3,0))*OPDAYS_Cls3/$D$6,1))</f>
        <v>1</v>
      </c>
      <c r="I34" s="782">
        <f t="shared" si="68"/>
        <v>1</v>
      </c>
      <c r="J34" s="782">
        <f t="shared" si="68"/>
        <v>1</v>
      </c>
      <c r="K34" s="782">
        <f t="shared" si="68"/>
        <v>1</v>
      </c>
      <c r="L34" s="782">
        <f t="shared" si="68"/>
        <v>1</v>
      </c>
      <c r="M34" s="783">
        <f t="shared" si="68"/>
        <v>1</v>
      </c>
      <c r="N34" s="733">
        <f t="shared" si="32"/>
        <v>7332.0626666461731</v>
      </c>
      <c r="O34" s="276">
        <f t="shared" si="33"/>
        <v>47643.895128244047</v>
      </c>
      <c r="P34" s="276">
        <f t="shared" si="34"/>
        <v>47643.895128244047</v>
      </c>
      <c r="Q34" s="276">
        <f t="shared" si="35"/>
        <v>47643.895128244047</v>
      </c>
      <c r="R34" s="276">
        <f t="shared" si="36"/>
        <v>47643.895128244047</v>
      </c>
      <c r="S34" s="278">
        <f t="shared" si="37"/>
        <v>75681.963607499987</v>
      </c>
      <c r="T34" s="734">
        <f t="shared" si="38"/>
        <v>-40311.832461597871</v>
      </c>
      <c r="U34" s="290">
        <f t="shared" si="39"/>
        <v>-40311.832461597871</v>
      </c>
      <c r="V34" s="290">
        <f t="shared" si="40"/>
        <v>-40311.832461597871</v>
      </c>
      <c r="W34" s="290">
        <f t="shared" si="41"/>
        <v>-40311.832461597871</v>
      </c>
      <c r="X34" s="291">
        <f t="shared" si="42"/>
        <v>-68349.900940853811</v>
      </c>
      <c r="Y34" s="279">
        <f ca="1">IF(AND(Y$22=TRUE,INDEX(CDRANGE_CLS3,MATCH($A34,$A$24:$A$67,0),MATCH(Y$20,$B$20:$G$20,0))&lt;$D$6/OPDAYS_Cls3),86,payback(C34,T34,disc_rate/12,85))</f>
        <v>86</v>
      </c>
      <c r="Z34" s="280">
        <f ca="1">IF(AND(Z$22=TRUE,INDEX(CDRANGE_CLS3,MATCH($A34,$A$24:$A$67,0),MATCH(Z$20,$B$20:$G$20,0))&lt;$D$6/OPDAYS_Cls3),86,payback(D34,U34,disc_rate/12,85))</f>
        <v>86</v>
      </c>
      <c r="AA34" s="280">
        <f ca="1">IF(AND(AA$22=TRUE,INDEX(CDRANGE_CLS3,MATCH($A34,$A$24:$A$67,0),MATCH(AA$20,$B$20:$G$20,0))&lt;$D$6/OPDAYS_Cls3),86,payback(E34,V34,disc_rate/12,85))</f>
        <v>86</v>
      </c>
      <c r="AB34" s="280">
        <f ca="1">IF(AND(AB$22=TRUE,INDEX(CDRANGE_CLS3,MATCH($A34,$A$24:$A$67,0),MATCH(AB$20,$B$20:$G$20,0))&lt;$D$6/OPDAYS_Cls3),86,payback(F34,W34,disc_rate/12,85))</f>
        <v>86</v>
      </c>
      <c r="AC34" s="281">
        <f>IF(AND(AC$22=TRUE,INDEX(CDRANGE_CLS3,MATCH($A34,$A$24:$A$67,0),MATCH(AC$20,$B$20:$G$20,0))&lt;$D$6/OPDAYS_Cls3),86,payback(G34,X34,disc_rate/12,85))</f>
        <v>86</v>
      </c>
      <c r="AD34" s="296">
        <f t="shared" si="43"/>
        <v>0</v>
      </c>
      <c r="AE34" s="297">
        <f t="shared" si="44"/>
        <v>0</v>
      </c>
      <c r="AF34" s="297">
        <f t="shared" si="45"/>
        <v>0</v>
      </c>
      <c r="AG34" s="297">
        <f t="shared" si="46"/>
        <v>0</v>
      </c>
      <c r="AH34" s="298">
        <f t="shared" si="47"/>
        <v>0</v>
      </c>
      <c r="AI34" s="595">
        <f t="shared" si="48"/>
        <v>0</v>
      </c>
      <c r="AJ34" s="300">
        <f t="shared" si="49"/>
        <v>0</v>
      </c>
      <c r="AK34" s="300">
        <f t="shared" si="50"/>
        <v>0</v>
      </c>
      <c r="AL34" s="300">
        <f t="shared" si="51"/>
        <v>0</v>
      </c>
      <c r="AM34" s="598">
        <f t="shared" si="52"/>
        <v>0</v>
      </c>
      <c r="AN34" s="299">
        <f t="shared" si="65"/>
        <v>0</v>
      </c>
      <c r="AO34" s="300">
        <f t="shared" si="53"/>
        <v>0</v>
      </c>
      <c r="AP34" s="300">
        <f t="shared" si="53"/>
        <v>0</v>
      </c>
      <c r="AQ34" s="300">
        <f t="shared" si="53"/>
        <v>0</v>
      </c>
      <c r="AR34" s="598">
        <f t="shared" si="53"/>
        <v>0</v>
      </c>
      <c r="AS34" s="296">
        <f t="shared" ca="1" si="54"/>
        <v>0</v>
      </c>
      <c r="AT34" s="297">
        <f t="shared" ca="1" si="55"/>
        <v>0</v>
      </c>
      <c r="AU34" s="297">
        <f t="shared" ca="1" si="56"/>
        <v>0</v>
      </c>
      <c r="AV34" s="297">
        <f t="shared" ca="1" si="57"/>
        <v>0</v>
      </c>
      <c r="AW34" s="298">
        <f t="shared" si="58"/>
        <v>0</v>
      </c>
      <c r="AX34" s="296">
        <f t="shared" ca="1" si="59"/>
        <v>0</v>
      </c>
      <c r="AY34" s="297">
        <f t="shared" ca="1" si="59"/>
        <v>0</v>
      </c>
      <c r="AZ34" s="297">
        <f t="shared" ca="1" si="59"/>
        <v>0</v>
      </c>
      <c r="BA34" s="297">
        <f t="shared" ca="1" si="59"/>
        <v>0</v>
      </c>
      <c r="BB34" s="298">
        <f t="shared" si="59"/>
        <v>0</v>
      </c>
      <c r="BC34" s="296">
        <f t="shared" ca="1" si="66"/>
        <v>1</v>
      </c>
      <c r="BD34" s="297">
        <f t="shared" ca="1" si="60"/>
        <v>0</v>
      </c>
      <c r="BE34" s="297">
        <f t="shared" ca="1" si="61"/>
        <v>0</v>
      </c>
      <c r="BF34" s="297">
        <f t="shared" ca="1" si="62"/>
        <v>0</v>
      </c>
      <c r="BG34" s="297">
        <f t="shared" ca="1" si="63"/>
        <v>0</v>
      </c>
      <c r="BH34" s="298">
        <f t="shared" ca="1" si="64"/>
        <v>0</v>
      </c>
    </row>
    <row r="35" spans="1:62" x14ac:dyDescent="0.2">
      <c r="A35" s="317">
        <v>2018</v>
      </c>
      <c r="B35" s="820">
        <f t="shared" si="67"/>
        <v>96771.81</v>
      </c>
      <c r="C35" s="821">
        <f t="shared" si="67"/>
        <v>1000000</v>
      </c>
      <c r="D35" s="821">
        <f t="shared" si="67"/>
        <v>1000000</v>
      </c>
      <c r="E35" s="821">
        <f t="shared" si="67"/>
        <v>1000000</v>
      </c>
      <c r="F35" s="821">
        <f t="shared" si="67"/>
        <v>1000000</v>
      </c>
      <c r="G35" s="822">
        <f t="shared" si="67"/>
        <v>1000000</v>
      </c>
      <c r="H35" s="781">
        <f t="shared" si="68"/>
        <v>1</v>
      </c>
      <c r="I35" s="782">
        <f t="shared" si="68"/>
        <v>1</v>
      </c>
      <c r="J35" s="782">
        <f t="shared" si="68"/>
        <v>1</v>
      </c>
      <c r="K35" s="782">
        <f t="shared" si="68"/>
        <v>1</v>
      </c>
      <c r="L35" s="782">
        <f t="shared" si="68"/>
        <v>1</v>
      </c>
      <c r="M35" s="783">
        <f t="shared" si="68"/>
        <v>1</v>
      </c>
      <c r="N35" s="733">
        <f t="shared" si="32"/>
        <v>8622.1388557382434</v>
      </c>
      <c r="O35" s="276">
        <f t="shared" si="33"/>
        <v>58529.412657459405</v>
      </c>
      <c r="P35" s="276">
        <f t="shared" si="34"/>
        <v>58529.412657459405</v>
      </c>
      <c r="Q35" s="276">
        <f t="shared" si="35"/>
        <v>58529.412657459405</v>
      </c>
      <c r="R35" s="276">
        <f t="shared" si="36"/>
        <v>58529.412657459405</v>
      </c>
      <c r="S35" s="278">
        <f t="shared" si="37"/>
        <v>86568.231870000003</v>
      </c>
      <c r="T35" s="734">
        <f t="shared" si="38"/>
        <v>-49907.27380172116</v>
      </c>
      <c r="U35" s="290">
        <f t="shared" si="39"/>
        <v>-49907.27380172116</v>
      </c>
      <c r="V35" s="290">
        <f t="shared" si="40"/>
        <v>-49907.27380172116</v>
      </c>
      <c r="W35" s="290">
        <f t="shared" si="41"/>
        <v>-49907.27380172116</v>
      </c>
      <c r="X35" s="291">
        <f t="shared" si="42"/>
        <v>-77946.093014261758</v>
      </c>
      <c r="Y35" s="279">
        <f ca="1">IF(AND(Y$22=TRUE,INDEX(CDRANGE_CLS3,MATCH($A35,$A$24:$A$67,0),MATCH(Y$20,$B$20:$G$20,0))&lt;$D$6/OPDAYS_Cls3),86,payback(C35,T35,disc_rate/12,85))</f>
        <v>86</v>
      </c>
      <c r="Z35" s="280">
        <f ca="1">IF(AND(Z$22=TRUE,INDEX(CDRANGE_CLS3,MATCH($A35,$A$24:$A$67,0),MATCH(Z$20,$B$20:$G$20,0))&lt;$D$6/OPDAYS_Cls3),86,payback(D35,U35,disc_rate/12,85))</f>
        <v>86</v>
      </c>
      <c r="AA35" s="280">
        <f ca="1">IF(AND(AA$22=TRUE,INDEX(CDRANGE_CLS3,MATCH($A35,$A$24:$A$67,0),MATCH(AA$20,$B$20:$G$20,0))&lt;$D$6/OPDAYS_Cls3),86,payback(E35,V35,disc_rate/12,85))</f>
        <v>86</v>
      </c>
      <c r="AB35" s="280">
        <f ca="1">IF(AND(AB$22=TRUE,INDEX(CDRANGE_CLS3,MATCH($A35,$A$24:$A$67,0),MATCH(AB$20,$B$20:$G$20,0))&lt;$D$6/OPDAYS_Cls3),86,payback(F35,W35,disc_rate/12,85))</f>
        <v>86</v>
      </c>
      <c r="AC35" s="281">
        <f>IF(AND(AC$22=TRUE,INDEX(CDRANGE_CLS3,MATCH($A35,$A$24:$A$67,0),MATCH(AC$20,$B$20:$G$20,0))&lt;$D$6/OPDAYS_Cls3),86,payback(G35,X35,disc_rate/12,85))</f>
        <v>86</v>
      </c>
      <c r="AD35" s="296">
        <f t="shared" si="43"/>
        <v>0</v>
      </c>
      <c r="AE35" s="297">
        <f t="shared" si="44"/>
        <v>0</v>
      </c>
      <c r="AF35" s="297">
        <f t="shared" si="45"/>
        <v>0</v>
      </c>
      <c r="AG35" s="297">
        <f t="shared" si="46"/>
        <v>0</v>
      </c>
      <c r="AH35" s="298">
        <f t="shared" si="47"/>
        <v>0</v>
      </c>
      <c r="AI35" s="595">
        <f t="shared" si="48"/>
        <v>0</v>
      </c>
      <c r="AJ35" s="300">
        <f t="shared" si="49"/>
        <v>0</v>
      </c>
      <c r="AK35" s="300">
        <f t="shared" si="50"/>
        <v>0</v>
      </c>
      <c r="AL35" s="300">
        <f t="shared" si="51"/>
        <v>0</v>
      </c>
      <c r="AM35" s="598">
        <f t="shared" si="52"/>
        <v>0</v>
      </c>
      <c r="AN35" s="299">
        <f t="shared" si="65"/>
        <v>0</v>
      </c>
      <c r="AO35" s="300">
        <f t="shared" si="53"/>
        <v>0</v>
      </c>
      <c r="AP35" s="300">
        <f t="shared" si="53"/>
        <v>0</v>
      </c>
      <c r="AQ35" s="300">
        <f t="shared" si="53"/>
        <v>0</v>
      </c>
      <c r="AR35" s="598">
        <f t="shared" si="53"/>
        <v>0</v>
      </c>
      <c r="AS35" s="296">
        <f t="shared" ca="1" si="54"/>
        <v>0</v>
      </c>
      <c r="AT35" s="297">
        <f t="shared" ca="1" si="55"/>
        <v>0</v>
      </c>
      <c r="AU35" s="297">
        <f t="shared" ca="1" si="56"/>
        <v>0</v>
      </c>
      <c r="AV35" s="297">
        <f t="shared" ca="1" si="57"/>
        <v>0</v>
      </c>
      <c r="AW35" s="298">
        <f t="shared" si="58"/>
        <v>0</v>
      </c>
      <c r="AX35" s="296">
        <f t="shared" ca="1" si="59"/>
        <v>0</v>
      </c>
      <c r="AY35" s="297">
        <f t="shared" ca="1" si="59"/>
        <v>0</v>
      </c>
      <c r="AZ35" s="297">
        <f t="shared" ca="1" si="59"/>
        <v>0</v>
      </c>
      <c r="BA35" s="297">
        <f t="shared" ca="1" si="59"/>
        <v>0</v>
      </c>
      <c r="BB35" s="298">
        <f t="shared" si="59"/>
        <v>0</v>
      </c>
      <c r="BC35" s="296">
        <f t="shared" ca="1" si="66"/>
        <v>1</v>
      </c>
      <c r="BD35" s="297">
        <f t="shared" ca="1" si="60"/>
        <v>0</v>
      </c>
      <c r="BE35" s="297">
        <f t="shared" ca="1" si="61"/>
        <v>0</v>
      </c>
      <c r="BF35" s="297">
        <f t="shared" ca="1" si="62"/>
        <v>0</v>
      </c>
      <c r="BG35" s="297">
        <f t="shared" ca="1" si="63"/>
        <v>0</v>
      </c>
      <c r="BH35" s="298">
        <f t="shared" ca="1" si="64"/>
        <v>0</v>
      </c>
    </row>
    <row r="36" spans="1:62" x14ac:dyDescent="0.2">
      <c r="A36" s="317">
        <v>2019</v>
      </c>
      <c r="B36" s="820">
        <f t="shared" si="67"/>
        <v>96771.81</v>
      </c>
      <c r="C36" s="821">
        <f t="shared" si="67"/>
        <v>1000000</v>
      </c>
      <c r="D36" s="821">
        <f t="shared" si="67"/>
        <v>1000000</v>
      </c>
      <c r="E36" s="821">
        <f t="shared" si="67"/>
        <v>1000000</v>
      </c>
      <c r="F36" s="821">
        <f t="shared" si="67"/>
        <v>1000000</v>
      </c>
      <c r="G36" s="822">
        <f t="shared" si="67"/>
        <v>1000000</v>
      </c>
      <c r="H36" s="781">
        <f t="shared" si="68"/>
        <v>1</v>
      </c>
      <c r="I36" s="782">
        <f t="shared" si="68"/>
        <v>1</v>
      </c>
      <c r="J36" s="782">
        <f t="shared" si="68"/>
        <v>1</v>
      </c>
      <c r="K36" s="782">
        <f t="shared" si="68"/>
        <v>1</v>
      </c>
      <c r="L36" s="782">
        <f t="shared" si="68"/>
        <v>1</v>
      </c>
      <c r="M36" s="783">
        <f t="shared" si="68"/>
        <v>1</v>
      </c>
      <c r="N36" s="733">
        <f t="shared" si="32"/>
        <v>8431.5739596198</v>
      </c>
      <c r="O36" s="276">
        <f t="shared" si="33"/>
        <v>57501.868042499998</v>
      </c>
      <c r="P36" s="276">
        <f t="shared" si="34"/>
        <v>57501.868042499998</v>
      </c>
      <c r="Q36" s="276">
        <f t="shared" si="35"/>
        <v>57501.868042499998</v>
      </c>
      <c r="R36" s="276">
        <f t="shared" si="36"/>
        <v>57501.868042499998</v>
      </c>
      <c r="S36" s="278">
        <f t="shared" si="37"/>
        <v>86477.537673750005</v>
      </c>
      <c r="T36" s="734">
        <f t="shared" si="38"/>
        <v>-49070.294082880195</v>
      </c>
      <c r="U36" s="290">
        <f t="shared" si="39"/>
        <v>-49070.294082880195</v>
      </c>
      <c r="V36" s="290">
        <f t="shared" si="40"/>
        <v>-49070.294082880195</v>
      </c>
      <c r="W36" s="290">
        <f t="shared" si="41"/>
        <v>-49070.294082880195</v>
      </c>
      <c r="X36" s="291">
        <f t="shared" si="42"/>
        <v>-78045.963714130208</v>
      </c>
      <c r="Y36" s="279">
        <f ca="1">IF(AND(Y$22=TRUE,INDEX(CDRANGE_CLS3,MATCH($A36,$A$24:$A$67,0),MATCH(Y$20,$B$20:$G$20,0))&lt;$D$6/OPDAYS_Cls3),86,payback(C36,T36,disc_rate/12,85))</f>
        <v>86</v>
      </c>
      <c r="Z36" s="280">
        <f ca="1">IF(AND(Z$22=TRUE,INDEX(CDRANGE_CLS3,MATCH($A36,$A$24:$A$67,0),MATCH(Z$20,$B$20:$G$20,0))&lt;$D$6/OPDAYS_Cls3),86,payback(D36,U36,disc_rate/12,85))</f>
        <v>86</v>
      </c>
      <c r="AA36" s="280">
        <f ca="1">IF(AND(AA$22=TRUE,INDEX(CDRANGE_CLS3,MATCH($A36,$A$24:$A$67,0),MATCH(AA$20,$B$20:$G$20,0))&lt;$D$6/OPDAYS_Cls3),86,payback(E36,V36,disc_rate/12,85))</f>
        <v>86</v>
      </c>
      <c r="AB36" s="280">
        <f ca="1">IF(AND(AB$22=TRUE,INDEX(CDRANGE_CLS3,MATCH($A36,$A$24:$A$67,0),MATCH(AB$20,$B$20:$G$20,0))&lt;$D$6/OPDAYS_Cls3),86,payback(F36,W36,disc_rate/12,85))</f>
        <v>86</v>
      </c>
      <c r="AC36" s="281">
        <f>IF(AND(AC$22=TRUE,INDEX(CDRANGE_CLS3,MATCH($A36,$A$24:$A$67,0),MATCH(AC$20,$B$20:$G$20,0))&lt;$D$6/OPDAYS_Cls3),86,payback(G36,X36,disc_rate/12,85))</f>
        <v>86</v>
      </c>
      <c r="AD36" s="296">
        <f t="shared" si="43"/>
        <v>0</v>
      </c>
      <c r="AE36" s="297">
        <f t="shared" si="44"/>
        <v>0</v>
      </c>
      <c r="AF36" s="297">
        <f t="shared" si="45"/>
        <v>0</v>
      </c>
      <c r="AG36" s="297">
        <f t="shared" si="46"/>
        <v>0</v>
      </c>
      <c r="AH36" s="298">
        <f t="shared" si="47"/>
        <v>0</v>
      </c>
      <c r="AI36" s="595">
        <f t="shared" si="48"/>
        <v>0</v>
      </c>
      <c r="AJ36" s="300">
        <f t="shared" si="49"/>
        <v>0</v>
      </c>
      <c r="AK36" s="300">
        <f t="shared" si="50"/>
        <v>0</v>
      </c>
      <c r="AL36" s="300">
        <f t="shared" si="51"/>
        <v>0</v>
      </c>
      <c r="AM36" s="598">
        <f t="shared" si="52"/>
        <v>0</v>
      </c>
      <c r="AN36" s="299">
        <f t="shared" si="65"/>
        <v>0</v>
      </c>
      <c r="AO36" s="300">
        <f t="shared" si="53"/>
        <v>0</v>
      </c>
      <c r="AP36" s="300">
        <f t="shared" si="53"/>
        <v>0</v>
      </c>
      <c r="AQ36" s="300">
        <f t="shared" si="53"/>
        <v>0</v>
      </c>
      <c r="AR36" s="598">
        <f t="shared" si="53"/>
        <v>0</v>
      </c>
      <c r="AS36" s="296">
        <f t="shared" ca="1" si="54"/>
        <v>0</v>
      </c>
      <c r="AT36" s="297">
        <f t="shared" ca="1" si="55"/>
        <v>0</v>
      </c>
      <c r="AU36" s="297">
        <f t="shared" ca="1" si="56"/>
        <v>0</v>
      </c>
      <c r="AV36" s="297">
        <f t="shared" ca="1" si="57"/>
        <v>0</v>
      </c>
      <c r="AW36" s="298">
        <f t="shared" si="58"/>
        <v>0</v>
      </c>
      <c r="AX36" s="296">
        <f t="shared" ca="1" si="59"/>
        <v>0</v>
      </c>
      <c r="AY36" s="297">
        <f t="shared" ca="1" si="59"/>
        <v>0</v>
      </c>
      <c r="AZ36" s="297">
        <f t="shared" ca="1" si="59"/>
        <v>0</v>
      </c>
      <c r="BA36" s="297">
        <f t="shared" ca="1" si="59"/>
        <v>0</v>
      </c>
      <c r="BB36" s="298">
        <f t="shared" si="59"/>
        <v>0</v>
      </c>
      <c r="BC36" s="296">
        <f t="shared" ca="1" si="66"/>
        <v>1</v>
      </c>
      <c r="BD36" s="297">
        <f t="shared" ca="1" si="60"/>
        <v>0</v>
      </c>
      <c r="BE36" s="297">
        <f t="shared" ca="1" si="61"/>
        <v>0</v>
      </c>
      <c r="BF36" s="297">
        <f t="shared" ca="1" si="62"/>
        <v>0</v>
      </c>
      <c r="BG36" s="297">
        <f t="shared" ca="1" si="63"/>
        <v>0</v>
      </c>
      <c r="BH36" s="298">
        <f t="shared" ca="1" si="64"/>
        <v>0</v>
      </c>
    </row>
    <row r="37" spans="1:62" ht="13.5" thickBot="1" x14ac:dyDescent="0.25">
      <c r="A37" s="618">
        <v>2020</v>
      </c>
      <c r="B37" s="814">
        <f t="shared" si="67"/>
        <v>96771.81</v>
      </c>
      <c r="C37" s="815">
        <f t="shared" si="67"/>
        <v>1000000</v>
      </c>
      <c r="D37" s="815">
        <f t="shared" si="67"/>
        <v>1000000</v>
      </c>
      <c r="E37" s="815">
        <f t="shared" si="67"/>
        <v>1000000</v>
      </c>
      <c r="F37" s="815">
        <f t="shared" si="67"/>
        <v>1000000</v>
      </c>
      <c r="G37" s="816">
        <f t="shared" si="67"/>
        <v>1000000</v>
      </c>
      <c r="H37" s="781">
        <f t="shared" si="68"/>
        <v>1</v>
      </c>
      <c r="I37" s="782">
        <f t="shared" si="68"/>
        <v>1</v>
      </c>
      <c r="J37" s="782">
        <f t="shared" si="68"/>
        <v>1</v>
      </c>
      <c r="K37" s="782">
        <f t="shared" si="68"/>
        <v>1</v>
      </c>
      <c r="L37" s="782">
        <f t="shared" si="68"/>
        <v>1</v>
      </c>
      <c r="M37" s="783">
        <f t="shared" si="68"/>
        <v>1</v>
      </c>
      <c r="N37" s="883">
        <f t="shared" si="32"/>
        <v>8085.2367562684267</v>
      </c>
      <c r="O37" s="776">
        <f t="shared" si="33"/>
        <v>55507.544953124998</v>
      </c>
      <c r="P37" s="776">
        <f t="shared" si="34"/>
        <v>55507.544953124998</v>
      </c>
      <c r="Q37" s="776">
        <f t="shared" si="35"/>
        <v>55507.544953124998</v>
      </c>
      <c r="R37" s="776">
        <f t="shared" si="36"/>
        <v>55507.544953124998</v>
      </c>
      <c r="S37" s="777">
        <f t="shared" si="37"/>
        <v>176388.87298125002</v>
      </c>
      <c r="T37" s="735">
        <f t="shared" si="38"/>
        <v>-47422.308196856568</v>
      </c>
      <c r="U37" s="619">
        <f t="shared" si="39"/>
        <v>-47422.308196856568</v>
      </c>
      <c r="V37" s="619">
        <f t="shared" si="40"/>
        <v>-47422.308196856568</v>
      </c>
      <c r="W37" s="619">
        <f t="shared" si="41"/>
        <v>-47422.308196856568</v>
      </c>
      <c r="X37" s="620">
        <f t="shared" si="42"/>
        <v>-168303.6362249816</v>
      </c>
      <c r="Y37" s="723">
        <f ca="1">IF(AND(Y$22=TRUE,INDEX(CDRANGE_CLS3,MATCH($A37,$A$24:$A$67,0),MATCH(Y$20,$B$20:$G$20,0))&lt;$D$6/OPDAYS_Cls3),86,payback(C37,T37,disc_rate/12,85))</f>
        <v>86</v>
      </c>
      <c r="Z37" s="724">
        <f ca="1">IF(AND(Z$22=TRUE,INDEX(CDRANGE_CLS3,MATCH($A37,$A$24:$A$67,0),MATCH(Z$20,$B$20:$G$20,0))&lt;$D$6/OPDAYS_Cls3),86,payback(D37,U37,disc_rate/12,85))</f>
        <v>86</v>
      </c>
      <c r="AA37" s="724">
        <f ca="1">IF(AND(AA$22=TRUE,INDEX(CDRANGE_CLS3,MATCH($A37,$A$24:$A$67,0),MATCH(AA$20,$B$20:$G$20,0))&lt;$D$6/OPDAYS_Cls3),86,payback(E37,V37,disc_rate/12,85))</f>
        <v>86</v>
      </c>
      <c r="AB37" s="724">
        <f ca="1">IF(AND(AB$22=TRUE,INDEX(CDRANGE_CLS3,MATCH($A37,$A$24:$A$67,0),MATCH(AB$20,$B$20:$G$20,0))&lt;$D$6/OPDAYS_Cls3),86,payback(F37,W37,disc_rate/12,85))</f>
        <v>86</v>
      </c>
      <c r="AC37" s="892">
        <f>IF(AND(AC$22=TRUE,INDEX(CDRANGE_CLS3,MATCH($A37,$A$24:$A$67,0),MATCH(AC$20,$B$20:$G$20,0))&lt;$D$6/OPDAYS_Cls3),86,payback(G37,X37,disc_rate/12,85))</f>
        <v>86</v>
      </c>
      <c r="AD37" s="624">
        <f t="shared" si="43"/>
        <v>0</v>
      </c>
      <c r="AE37" s="625">
        <f t="shared" si="44"/>
        <v>0</v>
      </c>
      <c r="AF37" s="625">
        <f t="shared" si="45"/>
        <v>0</v>
      </c>
      <c r="AG37" s="625">
        <f t="shared" si="46"/>
        <v>0</v>
      </c>
      <c r="AH37" s="626">
        <f t="shared" si="47"/>
        <v>0</v>
      </c>
      <c r="AI37" s="627">
        <f t="shared" si="48"/>
        <v>0</v>
      </c>
      <c r="AJ37" s="628">
        <f t="shared" si="49"/>
        <v>0</v>
      </c>
      <c r="AK37" s="628">
        <f t="shared" si="50"/>
        <v>0</v>
      </c>
      <c r="AL37" s="628">
        <f t="shared" si="51"/>
        <v>0</v>
      </c>
      <c r="AM37" s="629">
        <f t="shared" si="52"/>
        <v>0</v>
      </c>
      <c r="AN37" s="630">
        <f t="shared" si="65"/>
        <v>0</v>
      </c>
      <c r="AO37" s="628">
        <f t="shared" si="53"/>
        <v>0</v>
      </c>
      <c r="AP37" s="628">
        <f t="shared" si="53"/>
        <v>0</v>
      </c>
      <c r="AQ37" s="628">
        <f t="shared" si="53"/>
        <v>0</v>
      </c>
      <c r="AR37" s="629">
        <f t="shared" si="53"/>
        <v>0</v>
      </c>
      <c r="AS37" s="624">
        <f t="shared" ca="1" si="54"/>
        <v>0</v>
      </c>
      <c r="AT37" s="625">
        <f t="shared" ca="1" si="55"/>
        <v>0</v>
      </c>
      <c r="AU37" s="625">
        <f t="shared" ca="1" si="56"/>
        <v>0</v>
      </c>
      <c r="AV37" s="625">
        <f t="shared" ca="1" si="57"/>
        <v>0</v>
      </c>
      <c r="AW37" s="626">
        <f t="shared" si="58"/>
        <v>0</v>
      </c>
      <c r="AX37" s="624">
        <f t="shared" ca="1" si="59"/>
        <v>0</v>
      </c>
      <c r="AY37" s="625">
        <f t="shared" ca="1" si="59"/>
        <v>0</v>
      </c>
      <c r="AZ37" s="625">
        <f t="shared" ca="1" si="59"/>
        <v>0</v>
      </c>
      <c r="BA37" s="625">
        <f t="shared" ca="1" si="59"/>
        <v>0</v>
      </c>
      <c r="BB37" s="626">
        <f t="shared" si="59"/>
        <v>0</v>
      </c>
      <c r="BC37" s="624">
        <f t="shared" ca="1" si="66"/>
        <v>1</v>
      </c>
      <c r="BD37" s="625">
        <f t="shared" ca="1" si="60"/>
        <v>0</v>
      </c>
      <c r="BE37" s="625">
        <f t="shared" ca="1" si="61"/>
        <v>0</v>
      </c>
      <c r="BF37" s="625">
        <f t="shared" ca="1" si="62"/>
        <v>0</v>
      </c>
      <c r="BG37" s="625">
        <f t="shared" ca="1" si="63"/>
        <v>0</v>
      </c>
      <c r="BH37" s="626">
        <f t="shared" ca="1" si="64"/>
        <v>0</v>
      </c>
    </row>
    <row r="38" spans="1:62" x14ac:dyDescent="0.2">
      <c r="A38" s="318">
        <v>2021</v>
      </c>
      <c r="B38" s="817">
        <f t="shared" si="67"/>
        <v>97040.03</v>
      </c>
      <c r="C38" s="818">
        <f t="shared" si="67"/>
        <v>840.47</v>
      </c>
      <c r="D38" s="818">
        <f t="shared" si="67"/>
        <v>1666.48</v>
      </c>
      <c r="E38" s="818">
        <f t="shared" si="67"/>
        <v>13109.73</v>
      </c>
      <c r="F38" s="818">
        <f t="shared" si="67"/>
        <v>144164.79999999999</v>
      </c>
      <c r="G38" s="819">
        <f t="shared" si="67"/>
        <v>254951.1</v>
      </c>
      <c r="H38" s="781">
        <f t="shared" si="68"/>
        <v>1</v>
      </c>
      <c r="I38" s="782">
        <f t="shared" si="68"/>
        <v>1</v>
      </c>
      <c r="J38" s="782">
        <f t="shared" si="68"/>
        <v>1</v>
      </c>
      <c r="K38" s="782">
        <f t="shared" si="68"/>
        <v>1</v>
      </c>
      <c r="L38" s="782">
        <f t="shared" si="68"/>
        <v>0.82977468107699859</v>
      </c>
      <c r="M38" s="783">
        <f t="shared" si="68"/>
        <v>1</v>
      </c>
      <c r="N38" s="736">
        <f t="shared" si="32"/>
        <v>7851.696355610462</v>
      </c>
      <c r="O38" s="632">
        <f t="shared" si="33"/>
        <v>7694.946121094159</v>
      </c>
      <c r="P38" s="632">
        <f t="shared" si="34"/>
        <v>7300.9775014533061</v>
      </c>
      <c r="Q38" s="632">
        <f t="shared" si="35"/>
        <v>6761.8646939084801</v>
      </c>
      <c r="R38" s="632">
        <f t="shared" si="36"/>
        <v>7786.1494312963787</v>
      </c>
      <c r="S38" s="745">
        <f t="shared" si="37"/>
        <v>9136.8800670183391</v>
      </c>
      <c r="T38" s="736">
        <f t="shared" si="38"/>
        <v>156.75023451630295</v>
      </c>
      <c r="U38" s="632">
        <f t="shared" si="39"/>
        <v>550.71885415715587</v>
      </c>
      <c r="V38" s="632">
        <f t="shared" si="40"/>
        <v>1089.8316617019818</v>
      </c>
      <c r="W38" s="632">
        <f t="shared" si="41"/>
        <v>65.546924314083299</v>
      </c>
      <c r="X38" s="633">
        <f t="shared" si="42"/>
        <v>-1285.1837114078771</v>
      </c>
      <c r="Y38" s="634">
        <f ca="1">IF(AND(Y$22=TRUE,INDEX(CDRANGE_CLS3,MATCH($A38,$A$24:$A$67,0),MATCH(Y$20,$B$20:$G$20,0))&lt;$D$6/OPDAYS_Cls3),86,payback(C38,T38,disc_rate/12,85))</f>
        <v>6</v>
      </c>
      <c r="Z38" s="635">
        <f ca="1">IF(AND(Z$22=TRUE,INDEX(CDRANGE_CLS3,MATCH($A38,$A$24:$A$67,0),MATCH(Z$20,$B$20:$G$20,0))&lt;$D$6/OPDAYS_Cls3),86,payback(D38,U38,disc_rate/12,85))</f>
        <v>4</v>
      </c>
      <c r="AA38" s="635">
        <f ca="1">IF(AND(AA$22=TRUE,INDEX(CDRANGE_CLS3,MATCH($A38,$A$24:$A$67,0),MATCH(AA$20,$B$20:$G$20,0))&lt;$D$6/OPDAYS_Cls3),86,payback(E38,V38,disc_rate/12,85))</f>
        <v>13</v>
      </c>
      <c r="AB38" s="635">
        <f ca="1">IF(AND(AB$22=TRUE,INDEX(CDRANGE_CLS3,MATCH($A38,$A$24:$A$67,0),MATCH(AB$20,$B$20:$G$20,0))&lt;$D$6/OPDAYS_Cls3),86,payback(F38,W38,disc_rate/12,85))</f>
        <v>86</v>
      </c>
      <c r="AC38" s="893">
        <f>IF(AND(AC$22=TRUE,INDEX(CDRANGE_CLS3,MATCH($A38,$A$24:$A$67,0),MATCH(AC$20,$B$20:$G$20,0))&lt;$D$6/OPDAYS_Cls3),86,payback(G38,X38,disc_rate/12,85))</f>
        <v>86</v>
      </c>
      <c r="AD38" s="637">
        <f t="shared" si="43"/>
        <v>0</v>
      </c>
      <c r="AE38" s="638">
        <f t="shared" si="44"/>
        <v>0</v>
      </c>
      <c r="AF38" s="638">
        <f t="shared" si="45"/>
        <v>0</v>
      </c>
      <c r="AG38" s="638">
        <f t="shared" si="46"/>
        <v>0</v>
      </c>
      <c r="AH38" s="639">
        <f t="shared" si="47"/>
        <v>0</v>
      </c>
      <c r="AI38" s="640">
        <f t="shared" si="48"/>
        <v>0</v>
      </c>
      <c r="AJ38" s="641">
        <f t="shared" si="49"/>
        <v>0</v>
      </c>
      <c r="AK38" s="641">
        <f t="shared" si="50"/>
        <v>0</v>
      </c>
      <c r="AL38" s="641">
        <f t="shared" si="51"/>
        <v>0</v>
      </c>
      <c r="AM38" s="642">
        <f t="shared" si="52"/>
        <v>0</v>
      </c>
      <c r="AN38" s="643">
        <f t="shared" si="65"/>
        <v>0.99979164935910014</v>
      </c>
      <c r="AO38" s="641">
        <f t="shared" si="53"/>
        <v>0.99918112428902428</v>
      </c>
      <c r="AP38" s="641">
        <f t="shared" si="53"/>
        <v>0.9505665499546565</v>
      </c>
      <c r="AQ38" s="641">
        <f t="shared" si="53"/>
        <v>2.1749333004703608E-3</v>
      </c>
      <c r="AR38" s="642">
        <f t="shared" si="53"/>
        <v>4.7086958776532128E-9</v>
      </c>
      <c r="AS38" s="637">
        <f t="shared" ca="1" si="54"/>
        <v>0</v>
      </c>
      <c r="AT38" s="638">
        <f t="shared" ca="1" si="55"/>
        <v>0</v>
      </c>
      <c r="AU38" s="638">
        <f t="shared" ca="1" si="56"/>
        <v>0</v>
      </c>
      <c r="AV38" s="638">
        <f t="shared" ca="1" si="57"/>
        <v>0</v>
      </c>
      <c r="AW38" s="639">
        <f t="shared" si="58"/>
        <v>0</v>
      </c>
      <c r="AX38" s="637">
        <f t="shared" ca="1" si="59"/>
        <v>0</v>
      </c>
      <c r="AY38" s="638">
        <f t="shared" ca="1" si="59"/>
        <v>0</v>
      </c>
      <c r="AZ38" s="638">
        <f t="shared" ca="1" si="59"/>
        <v>0</v>
      </c>
      <c r="BA38" s="638">
        <f t="shared" ca="1" si="59"/>
        <v>0</v>
      </c>
      <c r="BB38" s="639">
        <f t="shared" si="59"/>
        <v>0</v>
      </c>
      <c r="BC38" s="637">
        <f t="shared" ca="1" si="66"/>
        <v>1</v>
      </c>
      <c r="BD38" s="638">
        <f t="shared" ca="1" si="60"/>
        <v>0</v>
      </c>
      <c r="BE38" s="638">
        <f t="shared" ca="1" si="61"/>
        <v>0</v>
      </c>
      <c r="BF38" s="638">
        <f t="shared" ca="1" si="62"/>
        <v>0</v>
      </c>
      <c r="BG38" s="638">
        <f t="shared" ca="1" si="63"/>
        <v>0</v>
      </c>
      <c r="BH38" s="639">
        <f t="shared" ca="1" si="64"/>
        <v>0</v>
      </c>
    </row>
    <row r="39" spans="1:62" x14ac:dyDescent="0.2">
      <c r="A39" s="317">
        <v>2022</v>
      </c>
      <c r="B39" s="820">
        <f t="shared" si="67"/>
        <v>97308.25</v>
      </c>
      <c r="C39" s="821">
        <f t="shared" si="67"/>
        <v>1680.93</v>
      </c>
      <c r="D39" s="821">
        <f t="shared" si="67"/>
        <v>2360.5500000000002</v>
      </c>
      <c r="E39" s="821">
        <f t="shared" si="67"/>
        <v>12471.33</v>
      </c>
      <c r="F39" s="821">
        <f t="shared" si="67"/>
        <v>122356.24</v>
      </c>
      <c r="G39" s="822">
        <f t="shared" si="67"/>
        <v>215138.06</v>
      </c>
      <c r="H39" s="781">
        <f t="shared" si="68"/>
        <v>1</v>
      </c>
      <c r="I39" s="782">
        <f t="shared" si="68"/>
        <v>1</v>
      </c>
      <c r="J39" s="782">
        <f t="shared" si="68"/>
        <v>1</v>
      </c>
      <c r="K39" s="782">
        <f t="shared" si="68"/>
        <v>1</v>
      </c>
      <c r="L39" s="782">
        <f t="shared" si="68"/>
        <v>0.83028799973693701</v>
      </c>
      <c r="M39" s="783">
        <f t="shared" si="68"/>
        <v>1</v>
      </c>
      <c r="N39" s="733">
        <f t="shared" si="32"/>
        <v>7811.7622609299387</v>
      </c>
      <c r="O39" s="276">
        <f t="shared" si="33"/>
        <v>7509.4371551260911</v>
      </c>
      <c r="P39" s="276">
        <f t="shared" si="34"/>
        <v>7119.4128002976895</v>
      </c>
      <c r="Q39" s="276">
        <f t="shared" si="35"/>
        <v>6600.1972515398784</v>
      </c>
      <c r="R39" s="276">
        <f t="shared" si="36"/>
        <v>7506.4180863628853</v>
      </c>
      <c r="S39" s="278">
        <f t="shared" si="37"/>
        <v>8888.3502496957644</v>
      </c>
      <c r="T39" s="734">
        <f t="shared" si="38"/>
        <v>302.32510580384769</v>
      </c>
      <c r="U39" s="290">
        <f t="shared" si="39"/>
        <v>692.34946063224925</v>
      </c>
      <c r="V39" s="290">
        <f t="shared" si="40"/>
        <v>1211.5650093900604</v>
      </c>
      <c r="W39" s="290">
        <f t="shared" si="41"/>
        <v>305.34417456705341</v>
      </c>
      <c r="X39" s="291">
        <f t="shared" si="42"/>
        <v>-1076.5879887658257</v>
      </c>
      <c r="Y39" s="279">
        <f ca="1">IF(AND(Y$22=TRUE,INDEX(CDRANGE_CLS3,MATCH($A39,$A$24:$A$67,0),MATCH(Y$20,$B$20:$G$20,0))&lt;$D$6/OPDAYS_Cls3),86,payback(C39,T39,disc_rate/12,85))</f>
        <v>6</v>
      </c>
      <c r="Z39" s="280">
        <f ca="1">IF(AND(Z$22=TRUE,INDEX(CDRANGE_CLS3,MATCH($A39,$A$24:$A$67,0),MATCH(Z$20,$B$20:$G$20,0))&lt;$D$6/OPDAYS_Cls3),86,payback(D39,U39,disc_rate/12,85))</f>
        <v>4</v>
      </c>
      <c r="AA39" s="280">
        <f ca="1">IF(AND(AA$22=TRUE,INDEX(CDRANGE_CLS3,MATCH($A39,$A$24:$A$67,0),MATCH(AA$20,$B$20:$G$20,0))&lt;$D$6/OPDAYS_Cls3),86,payback(E39,V39,disc_rate/12,85))</f>
        <v>11</v>
      </c>
      <c r="AB39" s="280">
        <f ca="1">IF(AND(AB$22=TRUE,INDEX(CDRANGE_CLS3,MATCH($A39,$A$24:$A$67,0),MATCH(AB$20,$B$20:$G$20,0))&lt;$D$6/OPDAYS_Cls3),86,payback(F39,W39,disc_rate/12,85))</f>
        <v>86</v>
      </c>
      <c r="AC39" s="281">
        <f>IF(AND(AC$22=TRUE,INDEX(CDRANGE_CLS3,MATCH($A39,$A$24:$A$67,0),MATCH(AC$20,$B$20:$G$20,0))&lt;$D$6/OPDAYS_Cls3),86,payback(G39,X39,disc_rate/12,85))</f>
        <v>86</v>
      </c>
      <c r="AD39" s="296">
        <f t="shared" si="43"/>
        <v>2.366967101585294E-2</v>
      </c>
      <c r="AE39" s="297">
        <f t="shared" si="44"/>
        <v>2.3294162642873449E-2</v>
      </c>
      <c r="AF39" s="297">
        <f t="shared" si="45"/>
        <v>0</v>
      </c>
      <c r="AG39" s="297">
        <f t="shared" si="46"/>
        <v>0</v>
      </c>
      <c r="AH39" s="298">
        <f t="shared" si="47"/>
        <v>0</v>
      </c>
      <c r="AI39" s="595">
        <f t="shared" si="48"/>
        <v>2.3712936588783391E-2</v>
      </c>
      <c r="AJ39" s="300">
        <f t="shared" si="49"/>
        <v>2.3712936588783391E-2</v>
      </c>
      <c r="AK39" s="300">
        <f t="shared" si="50"/>
        <v>2.3712936588783391E-2</v>
      </c>
      <c r="AL39" s="300">
        <f t="shared" si="51"/>
        <v>2.3712936588783391E-2</v>
      </c>
      <c r="AM39" s="598">
        <f t="shared" si="52"/>
        <v>2.2210437480177938E-3</v>
      </c>
      <c r="AN39" s="299">
        <f t="shared" si="65"/>
        <v>0.99917145242177974</v>
      </c>
      <c r="AO39" s="300">
        <f t="shared" si="53"/>
        <v>0.99836668605026657</v>
      </c>
      <c r="AP39" s="300">
        <f t="shared" si="53"/>
        <v>0.95539807837673862</v>
      </c>
      <c r="AQ39" s="300">
        <f t="shared" si="53"/>
        <v>1.2377443408556288E-2</v>
      </c>
      <c r="AR39" s="598">
        <f t="shared" si="53"/>
        <v>1.2682126194762944E-6</v>
      </c>
      <c r="AS39" s="296">
        <f t="shared" ca="1" si="54"/>
        <v>4.7425873177566781E-2</v>
      </c>
      <c r="AT39" s="297">
        <f t="shared" ca="1" si="55"/>
        <v>4.7425873177566781E-2</v>
      </c>
      <c r="AU39" s="297">
        <f t="shared" ca="1" si="56"/>
        <v>4.4690938134007409E-2</v>
      </c>
      <c r="AV39" s="297">
        <f t="shared" ca="1" si="57"/>
        <v>0</v>
      </c>
      <c r="AW39" s="298">
        <f t="shared" si="58"/>
        <v>0</v>
      </c>
      <c r="AX39" s="296">
        <f t="shared" ca="1" si="59"/>
        <v>4.7386578585200526E-2</v>
      </c>
      <c r="AY39" s="297">
        <f t="shared" ca="1" si="59"/>
        <v>4.7348411837327575E-2</v>
      </c>
      <c r="AZ39" s="297">
        <f t="shared" ca="1" si="59"/>
        <v>4.2697636414084389E-2</v>
      </c>
      <c r="BA39" s="297">
        <f t="shared" ca="1" si="59"/>
        <v>0</v>
      </c>
      <c r="BB39" s="298">
        <f t="shared" si="59"/>
        <v>0</v>
      </c>
      <c r="BC39" s="296">
        <f t="shared" ca="1" si="66"/>
        <v>0.95261342141479943</v>
      </c>
      <c r="BD39" s="297">
        <f t="shared" ca="1" si="60"/>
        <v>1.6338826388590716E-2</v>
      </c>
      <c r="BE39" s="297">
        <f t="shared" ca="1" si="61"/>
        <v>1.6325666547008316E-2</v>
      </c>
      <c r="BF39" s="297">
        <f t="shared" ca="1" si="62"/>
        <v>1.4722085649601493E-2</v>
      </c>
      <c r="BG39" s="297">
        <f t="shared" ca="1" si="63"/>
        <v>0</v>
      </c>
      <c r="BH39" s="298">
        <f t="shared" ca="1" si="64"/>
        <v>0</v>
      </c>
    </row>
    <row r="40" spans="1:62" x14ac:dyDescent="0.2">
      <c r="A40" s="317">
        <v>2023</v>
      </c>
      <c r="B40" s="820">
        <f t="shared" si="67"/>
        <v>97576.48</v>
      </c>
      <c r="C40" s="821">
        <f t="shared" si="67"/>
        <v>2521.4</v>
      </c>
      <c r="D40" s="821">
        <f t="shared" si="67"/>
        <v>3054.62</v>
      </c>
      <c r="E40" s="821">
        <f t="shared" si="67"/>
        <v>11832.93</v>
      </c>
      <c r="F40" s="821">
        <f t="shared" si="67"/>
        <v>100547.69</v>
      </c>
      <c r="G40" s="822">
        <f t="shared" si="67"/>
        <v>175325.02</v>
      </c>
      <c r="H40" s="781">
        <f t="shared" si="68"/>
        <v>1</v>
      </c>
      <c r="I40" s="782">
        <f t="shared" si="68"/>
        <v>1</v>
      </c>
      <c r="J40" s="782">
        <f t="shared" si="68"/>
        <v>1</v>
      </c>
      <c r="K40" s="782">
        <f t="shared" si="68"/>
        <v>1</v>
      </c>
      <c r="L40" s="782">
        <f t="shared" si="68"/>
        <v>0.83080131839687532</v>
      </c>
      <c r="M40" s="783">
        <f t="shared" si="68"/>
        <v>1</v>
      </c>
      <c r="N40" s="733">
        <f t="shared" si="32"/>
        <v>7707.5915298747022</v>
      </c>
      <c r="O40" s="276">
        <f t="shared" si="33"/>
        <v>7273.4857047336718</v>
      </c>
      <c r="P40" s="276">
        <f t="shared" si="34"/>
        <v>6890.6654280404373</v>
      </c>
      <c r="Q40" s="276">
        <f t="shared" si="35"/>
        <v>6394.0420179186958</v>
      </c>
      <c r="R40" s="276">
        <f t="shared" si="36"/>
        <v>7207.9667186998167</v>
      </c>
      <c r="S40" s="278">
        <f t="shared" si="37"/>
        <v>8701.7432325253449</v>
      </c>
      <c r="T40" s="734">
        <f t="shared" si="38"/>
        <v>434.10582514103044</v>
      </c>
      <c r="U40" s="290">
        <f t="shared" si="39"/>
        <v>816.92610183426495</v>
      </c>
      <c r="V40" s="290">
        <f t="shared" si="40"/>
        <v>1313.5495119560064</v>
      </c>
      <c r="W40" s="290">
        <f t="shared" si="41"/>
        <v>499.62481117488551</v>
      </c>
      <c r="X40" s="291">
        <f t="shared" si="42"/>
        <v>-994.15170265064262</v>
      </c>
      <c r="Y40" s="279">
        <f ca="1">IF(AND(Y$22=TRUE,INDEX(CDRANGE_CLS3,MATCH($A40,$A$24:$A$67,0),MATCH(Y$20,$B$20:$G$20,0))&lt;$D$6/OPDAYS_Cls3),86,payback(C40,T40,disc_rate/12,85))</f>
        <v>6</v>
      </c>
      <c r="Z40" s="280">
        <f ca="1">IF(AND(Z$22=TRUE,INDEX(CDRANGE_CLS3,MATCH($A40,$A$24:$A$67,0),MATCH(Z$20,$B$20:$G$20,0))&lt;$D$6/OPDAYS_Cls3),86,payback(D40,U40,disc_rate/12,85))</f>
        <v>4</v>
      </c>
      <c r="AA40" s="280">
        <f ca="1">IF(AND(AA$22=TRUE,INDEX(CDRANGE_CLS3,MATCH($A40,$A$24:$A$67,0),MATCH(AA$20,$B$20:$G$20,0))&lt;$D$6/OPDAYS_Cls3),86,payback(E40,V40,disc_rate/12,85))</f>
        <v>10</v>
      </c>
      <c r="AB40" s="280">
        <f ca="1">IF(AND(AB$22=TRUE,INDEX(CDRANGE_CLS3,MATCH($A40,$A$24:$A$67,0),MATCH(AB$20,$B$20:$G$20,0))&lt;$D$6/OPDAYS_Cls3),86,payback(F40,W40,disc_rate/12,85))</f>
        <v>86</v>
      </c>
      <c r="AC40" s="281">
        <f>IF(AND(AC$22=TRUE,INDEX(CDRANGE_CLS3,MATCH($A40,$A$24:$A$67,0),MATCH(AC$20,$B$20:$G$20,0))&lt;$D$6/OPDAYS_Cls3),86,payback(G40,X40,disc_rate/12,85))</f>
        <v>86</v>
      </c>
      <c r="AD40" s="296">
        <f t="shared" si="43"/>
        <v>5.7421981581262285E-2</v>
      </c>
      <c r="AE40" s="297">
        <f t="shared" si="44"/>
        <v>5.2153755937242023E-2</v>
      </c>
      <c r="AF40" s="297">
        <f t="shared" si="45"/>
        <v>0</v>
      </c>
      <c r="AG40" s="297">
        <f t="shared" si="46"/>
        <v>0</v>
      </c>
      <c r="AH40" s="298">
        <f t="shared" si="47"/>
        <v>0</v>
      </c>
      <c r="AI40" s="595">
        <f t="shared" si="48"/>
        <v>5.9601461011058773E-2</v>
      </c>
      <c r="AJ40" s="300">
        <f t="shared" si="49"/>
        <v>5.9601461011058773E-2</v>
      </c>
      <c r="AK40" s="300">
        <f t="shared" si="50"/>
        <v>5.9601461011058773E-2</v>
      </c>
      <c r="AL40" s="300">
        <f t="shared" si="51"/>
        <v>5.9601461011058773E-2</v>
      </c>
      <c r="AM40" s="598">
        <f t="shared" si="52"/>
        <v>7.2447519254021419E-3</v>
      </c>
      <c r="AN40" s="299">
        <f t="shared" si="65"/>
        <v>0.99814694629877276</v>
      </c>
      <c r="AO40" s="300">
        <f t="shared" si="65"/>
        <v>0.99728149209316252</v>
      </c>
      <c r="AP40" s="300">
        <f t="shared" si="65"/>
        <v>0.95997313907164938</v>
      </c>
      <c r="AQ40" s="300">
        <f t="shared" si="65"/>
        <v>5.2364815675680743E-2</v>
      </c>
      <c r="AR40" s="598">
        <f t="shared" si="65"/>
        <v>1.2742436320301032E-4</v>
      </c>
      <c r="AS40" s="296">
        <f t="shared" ca="1" si="54"/>
        <v>0.11920292202211755</v>
      </c>
      <c r="AT40" s="297">
        <f t="shared" ca="1" si="55"/>
        <v>0.11920292202211755</v>
      </c>
      <c r="AU40" s="297">
        <f t="shared" ca="1" si="56"/>
        <v>0.11455764279015102</v>
      </c>
      <c r="AV40" s="297">
        <f t="shared" ca="1" si="57"/>
        <v>0</v>
      </c>
      <c r="AW40" s="298">
        <f t="shared" si="58"/>
        <v>0</v>
      </c>
      <c r="AX40" s="296">
        <f t="shared" ca="1" si="59"/>
        <v>0.11898203260626736</v>
      </c>
      <c r="AY40" s="297">
        <f t="shared" ca="1" si="59"/>
        <v>0.11887886793608229</v>
      </c>
      <c r="AZ40" s="297">
        <f t="shared" ca="1" si="59"/>
        <v>0.10997225995390997</v>
      </c>
      <c r="BA40" s="297">
        <f t="shared" ca="1" si="59"/>
        <v>0</v>
      </c>
      <c r="BB40" s="298">
        <f t="shared" si="59"/>
        <v>0</v>
      </c>
      <c r="BC40" s="296">
        <f t="shared" ca="1" si="66"/>
        <v>0.88101796739373262</v>
      </c>
      <c r="BD40" s="297">
        <f t="shared" ca="1" si="60"/>
        <v>4.0699754051399889E-2</v>
      </c>
      <c r="BE40" s="297">
        <f t="shared" ca="1" si="61"/>
        <v>4.0664464885369074E-2</v>
      </c>
      <c r="BF40" s="297">
        <f t="shared" ca="1" si="62"/>
        <v>3.7617813669498401E-2</v>
      </c>
      <c r="BG40" s="297">
        <f t="shared" ca="1" si="63"/>
        <v>0</v>
      </c>
      <c r="BH40" s="298">
        <f t="shared" ca="1" si="64"/>
        <v>0</v>
      </c>
    </row>
    <row r="41" spans="1:62" x14ac:dyDescent="0.2">
      <c r="A41" s="317">
        <v>2024</v>
      </c>
      <c r="B41" s="820">
        <f t="shared" si="67"/>
        <v>97844.7</v>
      </c>
      <c r="C41" s="821">
        <f t="shared" si="67"/>
        <v>3361.86</v>
      </c>
      <c r="D41" s="821">
        <f t="shared" si="67"/>
        <v>3748.7</v>
      </c>
      <c r="E41" s="821">
        <f t="shared" si="67"/>
        <v>11194.53</v>
      </c>
      <c r="F41" s="821">
        <f t="shared" si="67"/>
        <v>78739.13</v>
      </c>
      <c r="G41" s="822">
        <f t="shared" si="67"/>
        <v>135511.98000000001</v>
      </c>
      <c r="H41" s="781">
        <f t="shared" si="68"/>
        <v>1</v>
      </c>
      <c r="I41" s="782">
        <f t="shared" si="68"/>
        <v>1</v>
      </c>
      <c r="J41" s="782">
        <f t="shared" si="68"/>
        <v>1</v>
      </c>
      <c r="K41" s="782">
        <f t="shared" si="68"/>
        <v>1</v>
      </c>
      <c r="L41" s="782">
        <f t="shared" si="68"/>
        <v>0.83131463705681374</v>
      </c>
      <c r="M41" s="783">
        <f t="shared" si="68"/>
        <v>1</v>
      </c>
      <c r="N41" s="733">
        <f t="shared" si="32"/>
        <v>7691.3994991337959</v>
      </c>
      <c r="O41" s="276">
        <f t="shared" si="33"/>
        <v>7130.5228163545553</v>
      </c>
      <c r="P41" s="276">
        <f t="shared" si="34"/>
        <v>6750.5687517135329</v>
      </c>
      <c r="Q41" s="276">
        <f t="shared" si="35"/>
        <v>6269.4988634851343</v>
      </c>
      <c r="R41" s="276">
        <f t="shared" si="36"/>
        <v>6992.1878908638064</v>
      </c>
      <c r="S41" s="278">
        <f t="shared" si="37"/>
        <v>8504.3151505880433</v>
      </c>
      <c r="T41" s="734">
        <f t="shared" si="38"/>
        <v>560.87668277924058</v>
      </c>
      <c r="U41" s="290">
        <f t="shared" si="39"/>
        <v>940.83074742026292</v>
      </c>
      <c r="V41" s="290">
        <f t="shared" si="40"/>
        <v>1421.9006356486616</v>
      </c>
      <c r="W41" s="290">
        <f t="shared" si="41"/>
        <v>699.21160826998948</v>
      </c>
      <c r="X41" s="291">
        <f t="shared" si="42"/>
        <v>-812.91565145424738</v>
      </c>
      <c r="Y41" s="279">
        <f ca="1">IF(AND(Y$22=TRUE,INDEX(CDRANGE_CLS3,MATCH($A41,$A$24:$A$67,0),MATCH(Y$20,$B$20:$G$20,0))&lt;$D$6/OPDAYS_Cls3),86,payback(C41,T41,disc_rate/12,85))</f>
        <v>7</v>
      </c>
      <c r="Z41" s="280">
        <f ca="1">IF(AND(Z$22=TRUE,INDEX(CDRANGE_CLS3,MATCH($A41,$A$24:$A$67,0),MATCH(Z$20,$B$20:$G$20,0))&lt;$D$6/OPDAYS_Cls3),86,payback(D41,U41,disc_rate/12,85))</f>
        <v>5</v>
      </c>
      <c r="AA41" s="280">
        <f ca="1">IF(AND(AA$22=TRUE,INDEX(CDRANGE_CLS3,MATCH($A41,$A$24:$A$67,0),MATCH(AA$20,$B$20:$G$20,0))&lt;$D$6/OPDAYS_Cls3),86,payback(E41,V41,disc_rate/12,85))</f>
        <v>9</v>
      </c>
      <c r="AB41" s="280">
        <f ca="1">IF(AND(AB$22=TRUE,INDEX(CDRANGE_CLS3,MATCH($A41,$A$24:$A$67,0),MATCH(AB$20,$B$20:$G$20,0))&lt;$D$6/OPDAYS_Cls3),86,payback(F41,W41,disc_rate/12,85))</f>
        <v>86</v>
      </c>
      <c r="AC41" s="281">
        <f>IF(AND(AC$22=TRUE,INDEX(CDRANGE_CLS3,MATCH($A41,$A$24:$A$67,0),MATCH(AC$20,$B$20:$G$20,0))&lt;$D$6/OPDAYS_Cls3),86,payback(G41,X41,disc_rate/12,85))</f>
        <v>86</v>
      </c>
      <c r="AD41" s="296">
        <f t="shared" si="43"/>
        <v>0.10644090721024145</v>
      </c>
      <c r="AE41" s="297">
        <f t="shared" si="44"/>
        <v>8.139460029835871E-2</v>
      </c>
      <c r="AF41" s="297">
        <f t="shared" si="45"/>
        <v>0</v>
      </c>
      <c r="AG41" s="297">
        <f t="shared" si="46"/>
        <v>0</v>
      </c>
      <c r="AH41" s="298">
        <f t="shared" si="47"/>
        <v>0</v>
      </c>
      <c r="AI41" s="595">
        <f t="shared" si="48"/>
        <v>0.13447071068499755</v>
      </c>
      <c r="AJ41" s="300">
        <f t="shared" si="49"/>
        <v>0.13447071068499755</v>
      </c>
      <c r="AK41" s="300">
        <f t="shared" si="50"/>
        <v>0.13447071068499755</v>
      </c>
      <c r="AL41" s="300">
        <f t="shared" si="51"/>
        <v>0.13447071068499755</v>
      </c>
      <c r="AM41" s="598">
        <f t="shared" si="52"/>
        <v>2.0769477016536548E-2</v>
      </c>
      <c r="AN41" s="299">
        <f t="shared" si="65"/>
        <v>0.99672606361083194</v>
      </c>
      <c r="AO41" s="300">
        <f t="shared" si="65"/>
        <v>0.99593089250965161</v>
      </c>
      <c r="AP41" s="300">
        <f t="shared" si="65"/>
        <v>0.96429221825890521</v>
      </c>
      <c r="AQ41" s="300">
        <f t="shared" si="65"/>
        <v>0.16548281219972216</v>
      </c>
      <c r="AR41" s="598">
        <f t="shared" si="65"/>
        <v>4.8529310990125252E-3</v>
      </c>
      <c r="AS41" s="296">
        <f t="shared" ca="1" si="54"/>
        <v>0.26806125285562332</v>
      </c>
      <c r="AT41" s="297">
        <f t="shared" ca="1" si="55"/>
        <v>0.2689414213699951</v>
      </c>
      <c r="AU41" s="297">
        <f t="shared" ca="1" si="56"/>
        <v>0.2626468935812345</v>
      </c>
      <c r="AV41" s="297">
        <f t="shared" ca="1" si="57"/>
        <v>0</v>
      </c>
      <c r="AW41" s="298">
        <f t="shared" si="58"/>
        <v>0</v>
      </c>
      <c r="AX41" s="296">
        <f t="shared" ca="1" si="59"/>
        <v>0.26718363736537332</v>
      </c>
      <c r="AY41" s="297">
        <f t="shared" ca="1" si="59"/>
        <v>0.26784706981783352</v>
      </c>
      <c r="AZ41" s="297">
        <f t="shared" ca="1" si="59"/>
        <v>0.25326835563025923</v>
      </c>
      <c r="BA41" s="297">
        <f t="shared" ca="1" si="59"/>
        <v>0</v>
      </c>
      <c r="BB41" s="298">
        <f t="shared" si="59"/>
        <v>0</v>
      </c>
      <c r="BC41" s="296">
        <f t="shared" ca="1" si="66"/>
        <v>0.73215293018216654</v>
      </c>
      <c r="BD41" s="297">
        <f t="shared" ca="1" si="60"/>
        <v>9.0783254411302028E-2</v>
      </c>
      <c r="BE41" s="297">
        <f t="shared" ca="1" si="61"/>
        <v>9.1008674492076086E-2</v>
      </c>
      <c r="BF41" s="297">
        <f t="shared" ca="1" si="62"/>
        <v>8.6055140914455361E-2</v>
      </c>
      <c r="BG41" s="297">
        <f t="shared" ca="1" si="63"/>
        <v>0</v>
      </c>
      <c r="BH41" s="298">
        <f t="shared" ca="1" si="64"/>
        <v>0</v>
      </c>
    </row>
    <row r="42" spans="1:62" ht="13.5" thickBot="1" x14ac:dyDescent="0.25">
      <c r="A42" s="302">
        <v>2025</v>
      </c>
      <c r="B42" s="823">
        <f t="shared" si="67"/>
        <v>98112.92</v>
      </c>
      <c r="C42" s="824">
        <f t="shared" si="67"/>
        <v>4202.33</v>
      </c>
      <c r="D42" s="824">
        <f t="shared" si="67"/>
        <v>4442.7700000000004</v>
      </c>
      <c r="E42" s="824">
        <f t="shared" si="67"/>
        <v>10556.13</v>
      </c>
      <c r="F42" s="824">
        <f t="shared" si="67"/>
        <v>56930.58</v>
      </c>
      <c r="G42" s="825">
        <f t="shared" si="67"/>
        <v>95698.95</v>
      </c>
      <c r="H42" s="781">
        <f t="shared" si="68"/>
        <v>1</v>
      </c>
      <c r="I42" s="782">
        <f t="shared" si="68"/>
        <v>1</v>
      </c>
      <c r="J42" s="782">
        <f t="shared" si="68"/>
        <v>1</v>
      </c>
      <c r="K42" s="782">
        <f t="shared" si="68"/>
        <v>1</v>
      </c>
      <c r="L42" s="782">
        <f t="shared" si="68"/>
        <v>0.83182795571675217</v>
      </c>
      <c r="M42" s="783">
        <f t="shared" si="68"/>
        <v>1</v>
      </c>
      <c r="N42" s="884">
        <f t="shared" si="32"/>
        <v>7590.3021784814464</v>
      </c>
      <c r="O42" s="779">
        <f t="shared" si="33"/>
        <v>6917.8810992947729</v>
      </c>
      <c r="P42" s="779">
        <f t="shared" si="34"/>
        <v>6544.9983640019263</v>
      </c>
      <c r="Q42" s="779">
        <f t="shared" si="35"/>
        <v>6083.5726585258162</v>
      </c>
      <c r="R42" s="779">
        <f t="shared" si="36"/>
        <v>6742.4476949960763</v>
      </c>
      <c r="S42" s="780">
        <f t="shared" si="37"/>
        <v>8383.1327263112762</v>
      </c>
      <c r="T42" s="737">
        <f t="shared" si="38"/>
        <v>672.42107918667352</v>
      </c>
      <c r="U42" s="304">
        <f t="shared" si="39"/>
        <v>1045.30381447952</v>
      </c>
      <c r="V42" s="304">
        <f t="shared" si="40"/>
        <v>1506.7295199556302</v>
      </c>
      <c r="W42" s="304">
        <f t="shared" si="41"/>
        <v>847.85448348537011</v>
      </c>
      <c r="X42" s="305">
        <f t="shared" si="42"/>
        <v>-792.83054782982981</v>
      </c>
      <c r="Y42" s="889">
        <f ca="1">IF(AND(Y$22=TRUE,INDEX(CDRANGE_CLS3,MATCH($A42,$A$24:$A$67,0),MATCH(Y$20,$B$20:$G$20,0))&lt;$D$6/OPDAYS_Cls3),86,payback(C42,T42,disc_rate/12,85))</f>
        <v>7</v>
      </c>
      <c r="Z42" s="890">
        <f ca="1">IF(AND(Z$22=TRUE,INDEX(CDRANGE_CLS3,MATCH($A42,$A$24:$A$67,0),MATCH(Z$20,$B$20:$G$20,0))&lt;$D$6/OPDAYS_Cls3),86,payback(D42,U42,disc_rate/12,85))</f>
        <v>5</v>
      </c>
      <c r="AA42" s="890">
        <f ca="1">IF(AND(AA$22=TRUE,INDEX(CDRANGE_CLS3,MATCH($A42,$A$24:$A$67,0),MATCH(AA$20,$B$20:$G$20,0))&lt;$D$6/OPDAYS_Cls3),86,payback(E42,V42,disc_rate/12,85))</f>
        <v>8</v>
      </c>
      <c r="AB42" s="890">
        <f ca="1">IF(AND(AB$22=TRUE,INDEX(CDRANGE_CLS3,MATCH($A42,$A$24:$A$67,0),MATCH(AB$20,$B$20:$G$20,0))&lt;$D$6/OPDAYS_Cls3),86,payback(F42,W42,disc_rate/12,85))</f>
        <v>86</v>
      </c>
      <c r="AC42" s="891">
        <f>IF(AND(AC$22=TRUE,INDEX(CDRANGE_CLS3,MATCH($A42,$A$24:$A$67,0),MATCH(AC$20,$B$20:$G$20,0))&lt;$D$6/OPDAYS_Cls3),86,payback(G42,X42,disc_rate/12,85))</f>
        <v>86</v>
      </c>
      <c r="AD42" s="310">
        <f t="shared" si="43"/>
        <v>7.232001902347085E-2</v>
      </c>
      <c r="AE42" s="311">
        <f t="shared" si="44"/>
        <v>3.8433940250417631E-2</v>
      </c>
      <c r="AF42" s="311">
        <f t="shared" si="45"/>
        <v>0</v>
      </c>
      <c r="AG42" s="311">
        <f t="shared" si="46"/>
        <v>0</v>
      </c>
      <c r="AH42" s="312">
        <f t="shared" si="47"/>
        <v>0</v>
      </c>
      <c r="AI42" s="596">
        <f t="shared" si="48"/>
        <v>0.25</v>
      </c>
      <c r="AJ42" s="314">
        <f t="shared" si="49"/>
        <v>0.25</v>
      </c>
      <c r="AK42" s="314">
        <f t="shared" si="50"/>
        <v>0.25</v>
      </c>
      <c r="AL42" s="314">
        <f t="shared" si="51"/>
        <v>0.25</v>
      </c>
      <c r="AM42" s="599">
        <f t="shared" si="52"/>
        <v>5.3362699446636339E-2</v>
      </c>
      <c r="AN42" s="313">
        <f t="shared" si="65"/>
        <v>0.99491700945492711</v>
      </c>
      <c r="AO42" s="314">
        <f t="shared" si="65"/>
        <v>0.99432041604728905</v>
      </c>
      <c r="AP42" s="314">
        <f t="shared" si="65"/>
        <v>0.96835604193894842</v>
      </c>
      <c r="AQ42" s="314">
        <f t="shared" si="65"/>
        <v>0.39248046527095071</v>
      </c>
      <c r="AR42" s="599">
        <f t="shared" si="65"/>
        <v>7.1163840247083332E-2</v>
      </c>
      <c r="AS42" s="310">
        <f t="shared" ca="1" si="54"/>
        <v>0.49836364270351485</v>
      </c>
      <c r="AT42" s="311">
        <f t="shared" ca="1" si="55"/>
        <v>0.5</v>
      </c>
      <c r="AU42" s="311">
        <f t="shared" ca="1" si="56"/>
        <v>0.49432498000690822</v>
      </c>
      <c r="AV42" s="311">
        <f t="shared" ca="1" si="57"/>
        <v>0</v>
      </c>
      <c r="AW42" s="312">
        <f t="shared" si="58"/>
        <v>0</v>
      </c>
      <c r="AX42" s="310">
        <f t="shared" ca="1" si="59"/>
        <v>0.49583046501964478</v>
      </c>
      <c r="AY42" s="311">
        <f t="shared" ca="1" si="59"/>
        <v>0.49716020802364452</v>
      </c>
      <c r="AZ42" s="311">
        <f t="shared" ca="1" si="59"/>
        <v>0.47868258107103945</v>
      </c>
      <c r="BA42" s="311">
        <f t="shared" ca="1" si="59"/>
        <v>0</v>
      </c>
      <c r="BB42" s="312">
        <f t="shared" si="59"/>
        <v>0</v>
      </c>
      <c r="BC42" s="310">
        <f t="shared" ca="1" si="66"/>
        <v>0.50283979197635542</v>
      </c>
      <c r="BD42" s="311">
        <f t="shared" ca="1" si="60"/>
        <v>0.16750129585114876</v>
      </c>
      <c r="BE42" s="311">
        <f t="shared" ca="1" si="61"/>
        <v>0.16795050922554305</v>
      </c>
      <c r="BF42" s="311">
        <f t="shared" ca="1" si="62"/>
        <v>0.16170840294695274</v>
      </c>
      <c r="BG42" s="311">
        <f t="shared" ca="1" si="63"/>
        <v>0</v>
      </c>
      <c r="BH42" s="312">
        <f t="shared" ca="1" si="64"/>
        <v>0</v>
      </c>
      <c r="BJ42" s="540"/>
    </row>
    <row r="43" spans="1:62" x14ac:dyDescent="0.2">
      <c r="A43" s="316">
        <v>2026</v>
      </c>
      <c r="B43" s="826">
        <f t="shared" si="67"/>
        <v>98535.26</v>
      </c>
      <c r="C43" s="827">
        <f t="shared" si="67"/>
        <v>4373.82</v>
      </c>
      <c r="D43" s="827">
        <f t="shared" si="67"/>
        <v>4579.01</v>
      </c>
      <c r="E43" s="827">
        <f t="shared" si="67"/>
        <v>10405.35</v>
      </c>
      <c r="F43" s="827">
        <f t="shared" si="67"/>
        <v>52011.72</v>
      </c>
      <c r="G43" s="828">
        <f t="shared" si="67"/>
        <v>86083.47</v>
      </c>
      <c r="H43" s="781">
        <f t="shared" si="68"/>
        <v>1</v>
      </c>
      <c r="I43" s="782">
        <f t="shared" si="68"/>
        <v>1</v>
      </c>
      <c r="J43" s="782">
        <f t="shared" si="68"/>
        <v>1</v>
      </c>
      <c r="K43" s="782">
        <f t="shared" si="68"/>
        <v>1</v>
      </c>
      <c r="L43" s="782">
        <f t="shared" si="68"/>
        <v>0.83110156731525731</v>
      </c>
      <c r="M43" s="783">
        <f t="shared" si="68"/>
        <v>1</v>
      </c>
      <c r="N43" s="733">
        <f t="shared" si="32"/>
        <v>7543.9252303513858</v>
      </c>
      <c r="O43" s="276">
        <f t="shared" si="33"/>
        <v>6763.8889924947216</v>
      </c>
      <c r="P43" s="276">
        <f t="shared" si="34"/>
        <v>6395.3748677474186</v>
      </c>
      <c r="Q43" s="276">
        <f t="shared" si="35"/>
        <v>5949.1125325174144</v>
      </c>
      <c r="R43" s="276">
        <f t="shared" si="36"/>
        <v>6537.2216274534603</v>
      </c>
      <c r="S43" s="278">
        <f t="shared" si="37"/>
        <v>8193.421663410325</v>
      </c>
      <c r="T43" s="733">
        <f t="shared" si="38"/>
        <v>780.03623785666423</v>
      </c>
      <c r="U43" s="276">
        <f t="shared" si="39"/>
        <v>1148.5503626039672</v>
      </c>
      <c r="V43" s="276">
        <f t="shared" si="40"/>
        <v>1594.8126978339715</v>
      </c>
      <c r="W43" s="276">
        <f t="shared" si="41"/>
        <v>1006.7036028979255</v>
      </c>
      <c r="X43" s="277">
        <f t="shared" si="42"/>
        <v>-649.49643305893915</v>
      </c>
      <c r="Y43" s="279">
        <f ca="1">IF(AND(Y$22=TRUE,INDEX(CDRANGE_CLS3,MATCH($A43,$A$24:$A$67,0),MATCH(Y$20,$B$20:$G$20,0))&lt;$D$6/OPDAYS_Cls3),86,payback(C43,T43,disc_rate/12,85))</f>
        <v>6</v>
      </c>
      <c r="Z43" s="280">
        <f ca="1">IF(AND(Z$22=TRUE,INDEX(CDRANGE_CLS3,MATCH($A43,$A$24:$A$67,0),MATCH(Z$20,$B$20:$G$20,0))&lt;$D$6/OPDAYS_Cls3),86,payback(D43,U43,disc_rate/12,85))</f>
        <v>5</v>
      </c>
      <c r="AA43" s="280">
        <f ca="1">IF(AND(AA$22=TRUE,INDEX(CDRANGE_CLS3,MATCH($A43,$A$24:$A$67,0),MATCH(AA$20,$B$20:$G$20,0))&lt;$D$6/OPDAYS_Cls3),86,payback(E43,V43,disc_rate/12,85))</f>
        <v>7</v>
      </c>
      <c r="AB43" s="280">
        <f ca="1">IF(AND(AB$22=TRUE,INDEX(CDRANGE_CLS3,MATCH($A43,$A$24:$A$67,0),MATCH(AB$20,$B$20:$G$20,0))&lt;$D$6/OPDAYS_Cls3),86,payback(F43,W43,disc_rate/12,85))</f>
        <v>63</v>
      </c>
      <c r="AC43" s="281">
        <f>IF(AND(AC$22=TRUE,INDEX(CDRANGE_CLS3,MATCH($A43,$A$24:$A$67,0),MATCH(AC$20,$B$20:$G$20,0))&lt;$D$6/OPDAYS_Cls3),86,payback(G43,X43,disc_rate/12,85))</f>
        <v>86</v>
      </c>
      <c r="AD43" s="282">
        <f t="shared" si="43"/>
        <v>7.9258584867423848E-2</v>
      </c>
      <c r="AE43" s="283">
        <f t="shared" si="44"/>
        <v>3.7361810203463269E-2</v>
      </c>
      <c r="AF43" s="283">
        <f t="shared" si="45"/>
        <v>0</v>
      </c>
      <c r="AG43" s="283">
        <f t="shared" si="46"/>
        <v>0</v>
      </c>
      <c r="AH43" s="284">
        <f t="shared" si="47"/>
        <v>0</v>
      </c>
      <c r="AI43" s="594">
        <f t="shared" si="48"/>
        <v>0.36552928931500245</v>
      </c>
      <c r="AJ43" s="286">
        <f t="shared" si="49"/>
        <v>0.36552928931500245</v>
      </c>
      <c r="AK43" s="286">
        <f t="shared" si="50"/>
        <v>0.36552928931500245</v>
      </c>
      <c r="AL43" s="286">
        <f t="shared" si="51"/>
        <v>0.36552928931500245</v>
      </c>
      <c r="AM43" s="611">
        <f t="shared" si="52"/>
        <v>9.4702178206308593E-2</v>
      </c>
      <c r="AN43" s="285">
        <f t="shared" si="65"/>
        <v>0.99454181760712912</v>
      </c>
      <c r="AO43" s="286">
        <f t="shared" si="65"/>
        <v>0.99401925344454278</v>
      </c>
      <c r="AP43" s="286">
        <f t="shared" si="65"/>
        <v>0.9694986875495305</v>
      </c>
      <c r="AQ43" s="286">
        <f t="shared" si="65"/>
        <v>0.46118473907214175</v>
      </c>
      <c r="AR43" s="611">
        <f t="shared" si="65"/>
        <v>0.12002117896152487</v>
      </c>
      <c r="AS43" s="282">
        <f t="shared" ca="1" si="54"/>
        <v>0.7310585786300049</v>
      </c>
      <c r="AT43" s="283">
        <f t="shared" ca="1" si="55"/>
        <v>0.7310585786300049</v>
      </c>
      <c r="AU43" s="283">
        <f t="shared" ca="1" si="56"/>
        <v>0.72866603255140638</v>
      </c>
      <c r="AV43" s="283">
        <f t="shared" ca="1" si="57"/>
        <v>6.359497095175178E-3</v>
      </c>
      <c r="AW43" s="284">
        <f t="shared" si="58"/>
        <v>0</v>
      </c>
      <c r="AX43" s="282">
        <f t="shared" ca="1" si="59"/>
        <v>0.72706832756796935</v>
      </c>
      <c r="AY43" s="283">
        <f t="shared" ca="1" si="59"/>
        <v>0.726686302554026</v>
      </c>
      <c r="AZ43" s="283">
        <f t="shared" ca="1" si="59"/>
        <v>0.706440762220512</v>
      </c>
      <c r="BA43" s="283">
        <f t="shared" ca="1" si="59"/>
        <v>2.932903008468408E-3</v>
      </c>
      <c r="BB43" s="284">
        <f t="shared" si="59"/>
        <v>0</v>
      </c>
      <c r="BC43" s="282">
        <f t="shared" ca="1" si="66"/>
        <v>0.27293167243203054</v>
      </c>
      <c r="BD43" s="283">
        <f t="shared" ca="1" si="60"/>
        <v>0.2443814146801275</v>
      </c>
      <c r="BE43" s="283">
        <f t="shared" ca="1" si="61"/>
        <v>0.2442530088483634</v>
      </c>
      <c r="BF43" s="283">
        <f t="shared" ca="1" si="62"/>
        <v>0.23744809987341536</v>
      </c>
      <c r="BG43" s="283">
        <f t="shared" ca="1" si="63"/>
        <v>9.8580416606320535E-4</v>
      </c>
      <c r="BH43" s="284">
        <f t="shared" ca="1" si="64"/>
        <v>0</v>
      </c>
    </row>
    <row r="44" spans="1:62" x14ac:dyDescent="0.2">
      <c r="A44" s="317">
        <v>2027</v>
      </c>
      <c r="B44" s="820">
        <f t="shared" ref="B44:G53" si="69">ROUND(INDEX(COST_Cls3,$A44-($A$24-1),MATCH(B$20,TECHOPTS_Cls3,0)),2)</f>
        <v>98957.59</v>
      </c>
      <c r="C44" s="821">
        <f t="shared" si="69"/>
        <v>4545.3</v>
      </c>
      <c r="D44" s="821">
        <f t="shared" si="69"/>
        <v>4715.25</v>
      </c>
      <c r="E44" s="821">
        <f t="shared" si="69"/>
        <v>10254.58</v>
      </c>
      <c r="F44" s="821">
        <f t="shared" si="69"/>
        <v>47092.87</v>
      </c>
      <c r="G44" s="822">
        <f t="shared" si="69"/>
        <v>76467.990000000005</v>
      </c>
      <c r="H44" s="781">
        <f t="shared" ref="H44:M53" si="70">IF(H$21="Single-fuel",1,1-MIN(INDEX(CDRANGE_CLS3,$A44-($A$24-1),MATCH(H$20,TECHOPTS_Cls3,0))*OPDAYS_Cls3/$D$6,1))</f>
        <v>1</v>
      </c>
      <c r="I44" s="782">
        <f t="shared" si="70"/>
        <v>1</v>
      </c>
      <c r="J44" s="782">
        <f t="shared" si="70"/>
        <v>1</v>
      </c>
      <c r="K44" s="782">
        <f t="shared" si="70"/>
        <v>1</v>
      </c>
      <c r="L44" s="782">
        <f t="shared" si="70"/>
        <v>0.83037517891376256</v>
      </c>
      <c r="M44" s="783">
        <f t="shared" si="70"/>
        <v>1</v>
      </c>
      <c r="N44" s="733">
        <f t="shared" si="32"/>
        <v>7371.7944385798837</v>
      </c>
      <c r="O44" s="276">
        <f t="shared" si="33"/>
        <v>6506.1960470849426</v>
      </c>
      <c r="P44" s="276">
        <f t="shared" si="34"/>
        <v>6148.1454191181392</v>
      </c>
      <c r="Q44" s="276">
        <f t="shared" si="35"/>
        <v>5723.3359835867277</v>
      </c>
      <c r="R44" s="276">
        <f t="shared" si="36"/>
        <v>6246.8050170740935</v>
      </c>
      <c r="S44" s="278">
        <f t="shared" si="37"/>
        <v>7925.0915582419366</v>
      </c>
      <c r="T44" s="734">
        <f t="shared" si="38"/>
        <v>865.5983914949411</v>
      </c>
      <c r="U44" s="290">
        <f t="shared" si="39"/>
        <v>1223.6490194617445</v>
      </c>
      <c r="V44" s="290">
        <f t="shared" si="40"/>
        <v>1648.458454993156</v>
      </c>
      <c r="W44" s="290">
        <f t="shared" si="41"/>
        <v>1124.9894215057902</v>
      </c>
      <c r="X44" s="291">
        <f t="shared" si="42"/>
        <v>-553.29711966205286</v>
      </c>
      <c r="Y44" s="279">
        <f ca="1">IF(AND(Y$22=TRUE,INDEX(CDRANGE_CLS3,MATCH($A44,$A$24:$A$67,0),MATCH(Y$20,$B$20:$G$20,0))&lt;$D$6/OPDAYS_Cls3),86,payback(C44,T44,disc_rate/12,85))</f>
        <v>6</v>
      </c>
      <c r="Z44" s="280">
        <f ca="1">IF(AND(Z$22=TRUE,INDEX(CDRANGE_CLS3,MATCH($A44,$A$24:$A$67,0),MATCH(Z$20,$B$20:$G$20,0))&lt;$D$6/OPDAYS_Cls3),86,payback(D44,U44,disc_rate/12,85))</f>
        <v>4</v>
      </c>
      <c r="AA44" s="280">
        <f ca="1">IF(AND(AA$22=TRUE,INDEX(CDRANGE_CLS3,MATCH($A44,$A$24:$A$67,0),MATCH(AA$20,$B$20:$G$20,0))&lt;$D$6/OPDAYS_Cls3),86,payback(E44,V44,disc_rate/12,85))</f>
        <v>7</v>
      </c>
      <c r="AB44" s="280">
        <f ca="1">IF(AND(AB$22=TRUE,INDEX(CDRANGE_CLS3,MATCH($A44,$A$24:$A$67,0),MATCH(AB$20,$B$20:$G$20,0))&lt;$D$6/OPDAYS_Cls3),86,payback(F44,W44,disc_rate/12,85))</f>
        <v>49</v>
      </c>
      <c r="AC44" s="281">
        <f>IF(AND(AC$22=TRUE,INDEX(CDRANGE_CLS3,MATCH($A44,$A$24:$A$67,0),MATCH(AC$20,$B$20:$G$20,0))&lt;$D$6/OPDAYS_Cls3),86,payback(G44,X44,disc_rate/12,85))</f>
        <v>86</v>
      </c>
      <c r="AD44" s="296">
        <f t="shared" si="43"/>
        <v>4.5014413642261338E-2</v>
      </c>
      <c r="AE44" s="297">
        <f t="shared" si="44"/>
        <v>2.7793406890609954E-2</v>
      </c>
      <c r="AF44" s="297">
        <f t="shared" si="45"/>
        <v>0</v>
      </c>
      <c r="AG44" s="297">
        <f t="shared" si="46"/>
        <v>0</v>
      </c>
      <c r="AH44" s="298">
        <f t="shared" si="47"/>
        <v>0</v>
      </c>
      <c r="AI44" s="595">
        <f t="shared" si="48"/>
        <v>0.44039853898894116</v>
      </c>
      <c r="AJ44" s="300">
        <f t="shared" si="49"/>
        <v>0.44039853898894116</v>
      </c>
      <c r="AK44" s="300">
        <f t="shared" si="50"/>
        <v>0.44039853898894116</v>
      </c>
      <c r="AL44" s="300">
        <f t="shared" si="51"/>
        <v>0.44039853898894116</v>
      </c>
      <c r="AM44" s="598">
        <f t="shared" si="52"/>
        <v>0.14801100680427121</v>
      </c>
      <c r="AN44" s="299">
        <f t="shared" si="65"/>
        <v>0.99415677721147755</v>
      </c>
      <c r="AO44" s="300">
        <f t="shared" si="65"/>
        <v>0.99371305091370921</v>
      </c>
      <c r="AP44" s="300">
        <f t="shared" si="65"/>
        <v>0.97061173790662691</v>
      </c>
      <c r="AQ44" s="300">
        <f t="shared" si="65"/>
        <v>0.53307913967556086</v>
      </c>
      <c r="AR44" s="598">
        <f t="shared" si="65"/>
        <v>0.19039302293717919</v>
      </c>
      <c r="AS44" s="296">
        <f t="shared" ca="1" si="54"/>
        <v>0.88079707797788231</v>
      </c>
      <c r="AT44" s="297">
        <f t="shared" ca="1" si="55"/>
        <v>0.88079707797788231</v>
      </c>
      <c r="AU44" s="297">
        <f t="shared" ca="1" si="56"/>
        <v>0.87791448052733856</v>
      </c>
      <c r="AV44" s="297">
        <f t="shared" ca="1" si="57"/>
        <v>5.0609439998589648E-2</v>
      </c>
      <c r="AW44" s="298">
        <f t="shared" si="58"/>
        <v>0</v>
      </c>
      <c r="AX44" s="296">
        <f t="shared" ca="1" si="59"/>
        <v>0.87565038441977794</v>
      </c>
      <c r="AY44" s="297">
        <f t="shared" ca="1" si="59"/>
        <v>0.87525955159328162</v>
      </c>
      <c r="AZ44" s="297">
        <f t="shared" ca="1" si="59"/>
        <v>0.85211409967803364</v>
      </c>
      <c r="BA44" s="297">
        <f t="shared" ca="1" si="59"/>
        <v>2.6978836733910088E-2</v>
      </c>
      <c r="BB44" s="298">
        <f t="shared" si="59"/>
        <v>0</v>
      </c>
      <c r="BC44" s="296">
        <f t="shared" ca="1" si="66"/>
        <v>0.12434961558022217</v>
      </c>
      <c r="BD44" s="297">
        <f t="shared" ca="1" si="60"/>
        <v>0.29154477501673132</v>
      </c>
      <c r="BE44" s="297">
        <f t="shared" ca="1" si="61"/>
        <v>0.29141464857529148</v>
      </c>
      <c r="BF44" s="297">
        <f t="shared" ca="1" si="62"/>
        <v>0.28370845019822699</v>
      </c>
      <c r="BG44" s="297">
        <f t="shared" ca="1" si="63"/>
        <v>8.9825106295280104E-3</v>
      </c>
      <c r="BH44" s="298">
        <f t="shared" ca="1" si="64"/>
        <v>0</v>
      </c>
    </row>
    <row r="45" spans="1:62" x14ac:dyDescent="0.2">
      <c r="A45" s="317">
        <v>2028</v>
      </c>
      <c r="B45" s="820">
        <f t="shared" si="69"/>
        <v>99379.93</v>
      </c>
      <c r="C45" s="821">
        <f t="shared" si="69"/>
        <v>4716.79</v>
      </c>
      <c r="D45" s="821">
        <f t="shared" si="69"/>
        <v>4851.49</v>
      </c>
      <c r="E45" s="821">
        <f t="shared" si="69"/>
        <v>10103.799999999999</v>
      </c>
      <c r="F45" s="821">
        <f t="shared" si="69"/>
        <v>42174.02</v>
      </c>
      <c r="G45" s="822">
        <f t="shared" si="69"/>
        <v>66852.509999999995</v>
      </c>
      <c r="H45" s="781">
        <f t="shared" si="70"/>
        <v>1</v>
      </c>
      <c r="I45" s="782">
        <f t="shared" si="70"/>
        <v>1</v>
      </c>
      <c r="J45" s="782">
        <f t="shared" si="70"/>
        <v>1</v>
      </c>
      <c r="K45" s="782">
        <f t="shared" si="70"/>
        <v>1</v>
      </c>
      <c r="L45" s="782">
        <f t="shared" si="70"/>
        <v>0.8296487905122677</v>
      </c>
      <c r="M45" s="783">
        <f t="shared" si="70"/>
        <v>1</v>
      </c>
      <c r="N45" s="733">
        <f t="shared" si="32"/>
        <v>7416.859001233267</v>
      </c>
      <c r="O45" s="276">
        <f t="shared" si="33"/>
        <v>6447.3713948785098</v>
      </c>
      <c r="P45" s="276">
        <f t="shared" si="34"/>
        <v>6089.2017162339962</v>
      </c>
      <c r="Q45" s="276">
        <f t="shared" si="35"/>
        <v>5672.4115600158293</v>
      </c>
      <c r="R45" s="276">
        <f t="shared" si="36"/>
        <v>6125.7930827164109</v>
      </c>
      <c r="S45" s="278">
        <f t="shared" si="37"/>
        <v>7730.2083798263902</v>
      </c>
      <c r="T45" s="734">
        <f t="shared" si="38"/>
        <v>969.48760635475719</v>
      </c>
      <c r="U45" s="290">
        <f t="shared" si="39"/>
        <v>1327.6572849992708</v>
      </c>
      <c r="V45" s="290">
        <f t="shared" si="40"/>
        <v>1744.4474412174377</v>
      </c>
      <c r="W45" s="290">
        <f t="shared" si="41"/>
        <v>1291.0659185168561</v>
      </c>
      <c r="X45" s="291">
        <f t="shared" si="42"/>
        <v>-313.34937859312322</v>
      </c>
      <c r="Y45" s="279">
        <f ca="1">IF(AND(Y$22=TRUE,INDEX(CDRANGE_CLS3,MATCH($A45,$A$24:$A$67,0),MATCH(Y$20,$B$20:$G$20,0))&lt;$D$6/OPDAYS_Cls3),86,payback(C45,T45,disc_rate/12,85))</f>
        <v>5</v>
      </c>
      <c r="Z45" s="280">
        <f ca="1">IF(AND(Z$22=TRUE,INDEX(CDRANGE_CLS3,MATCH($A45,$A$24:$A$67,0),MATCH(Z$20,$B$20:$G$20,0))&lt;$D$6/OPDAYS_Cls3),86,payback(D45,U45,disc_rate/12,85))</f>
        <v>4</v>
      </c>
      <c r="AA45" s="280">
        <f ca="1">IF(AND(AA$22=TRUE,INDEX(CDRANGE_CLS3,MATCH($A45,$A$24:$A$67,0),MATCH(AA$20,$B$20:$G$20,0))&lt;$D$6/OPDAYS_Cls3),86,payback(E45,V45,disc_rate/12,85))</f>
        <v>6</v>
      </c>
      <c r="AB45" s="280">
        <f ca="1">IF(AND(AB$22=TRUE,INDEX(CDRANGE_CLS3,MATCH($A45,$A$24:$A$67,0),MATCH(AB$20,$B$20:$G$20,0))&lt;$D$6/OPDAYS_Cls3),86,payback(F45,W45,disc_rate/12,85))</f>
        <v>37</v>
      </c>
      <c r="AC45" s="281">
        <f>IF(AND(AC$22=TRUE,INDEX(CDRANGE_CLS3,MATCH($A45,$A$24:$A$67,0),MATCH(AC$20,$B$20:$G$20,0))&lt;$D$6/OPDAYS_Cls3),86,payback(G45,X45,disc_rate/12,85))</f>
        <v>86</v>
      </c>
      <c r="AD45" s="296">
        <f t="shared" si="43"/>
        <v>3.0058319858445533E-2</v>
      </c>
      <c r="AE45" s="297">
        <f t="shared" si="44"/>
        <v>1.7048957010990153E-2</v>
      </c>
      <c r="AF45" s="297">
        <f t="shared" si="45"/>
        <v>0</v>
      </c>
      <c r="AG45" s="297">
        <f t="shared" si="46"/>
        <v>0</v>
      </c>
      <c r="AH45" s="298">
        <f t="shared" si="47"/>
        <v>0</v>
      </c>
      <c r="AI45" s="595">
        <f t="shared" si="48"/>
        <v>0.47628706341121668</v>
      </c>
      <c r="AJ45" s="300">
        <f t="shared" si="49"/>
        <v>0.47628706341121668</v>
      </c>
      <c r="AK45" s="300">
        <f t="shared" si="50"/>
        <v>0.47628706341121668</v>
      </c>
      <c r="AL45" s="300">
        <f t="shared" si="51"/>
        <v>0.47628706341121668</v>
      </c>
      <c r="AM45" s="598">
        <f t="shared" si="52"/>
        <v>0.18678877439881256</v>
      </c>
      <c r="AN45" s="299">
        <f t="shared" si="65"/>
        <v>0.99376214691403275</v>
      </c>
      <c r="AO45" s="300">
        <f t="shared" si="65"/>
        <v>0.99340197873883906</v>
      </c>
      <c r="AP45" s="300">
        <f t="shared" si="65"/>
        <v>0.97169587679108105</v>
      </c>
      <c r="AQ45" s="300">
        <f t="shared" si="65"/>
        <v>0.60637693088031164</v>
      </c>
      <c r="AR45" s="598">
        <f t="shared" si="65"/>
        <v>0.28450603259612528</v>
      </c>
      <c r="AS45" s="296">
        <f t="shared" ca="1" si="54"/>
        <v>0.95257412682243336</v>
      </c>
      <c r="AT45" s="297">
        <f t="shared" ca="1" si="55"/>
        <v>0.95257412682243336</v>
      </c>
      <c r="AU45" s="297">
        <f t="shared" ca="1" si="56"/>
        <v>0.95257412682243336</v>
      </c>
      <c r="AV45" s="297">
        <f t="shared" ca="1" si="57"/>
        <v>0.19519836332896426</v>
      </c>
      <c r="AW45" s="298">
        <f t="shared" si="58"/>
        <v>0</v>
      </c>
      <c r="AX45" s="296">
        <f t="shared" ca="1" si="59"/>
        <v>0.94663210936582154</v>
      </c>
      <c r="AY45" s="297">
        <f t="shared" ca="1" si="59"/>
        <v>0.94628902248082714</v>
      </c>
      <c r="AZ45" s="297">
        <f t="shared" ca="1" si="59"/>
        <v>0.92561235137122277</v>
      </c>
      <c r="BA45" s="297">
        <f t="shared" ca="1" si="59"/>
        <v>0.11836378446827732</v>
      </c>
      <c r="BB45" s="298">
        <f t="shared" si="59"/>
        <v>0</v>
      </c>
      <c r="BC45" s="296">
        <f t="shared" ca="1" si="66"/>
        <v>5.3367890634178572E-2</v>
      </c>
      <c r="BD45" s="297">
        <f t="shared" ca="1" si="60"/>
        <v>0.3051221301957191</v>
      </c>
      <c r="BE45" s="297">
        <f t="shared" ca="1" si="61"/>
        <v>0.30501154510130274</v>
      </c>
      <c r="BF45" s="297">
        <f t="shared" ca="1" si="62"/>
        <v>0.29834696033611313</v>
      </c>
      <c r="BG45" s="297">
        <f t="shared" ca="1" si="63"/>
        <v>3.8151473732686493E-2</v>
      </c>
      <c r="BH45" s="298">
        <f t="shared" ca="1" si="64"/>
        <v>0</v>
      </c>
    </row>
    <row r="46" spans="1:62" x14ac:dyDescent="0.2">
      <c r="A46" s="317">
        <v>2029</v>
      </c>
      <c r="B46" s="820">
        <f t="shared" si="69"/>
        <v>99802.26</v>
      </c>
      <c r="C46" s="821">
        <f t="shared" si="69"/>
        <v>4888.28</v>
      </c>
      <c r="D46" s="821">
        <f t="shared" si="69"/>
        <v>4987.7299999999996</v>
      </c>
      <c r="E46" s="821">
        <f t="shared" si="69"/>
        <v>9953.0300000000007</v>
      </c>
      <c r="F46" s="821">
        <f t="shared" si="69"/>
        <v>37255.160000000003</v>
      </c>
      <c r="G46" s="822">
        <f t="shared" si="69"/>
        <v>57237.04</v>
      </c>
      <c r="H46" s="781">
        <f t="shared" si="70"/>
        <v>1</v>
      </c>
      <c r="I46" s="782">
        <f t="shared" si="70"/>
        <v>1</v>
      </c>
      <c r="J46" s="782">
        <f t="shared" si="70"/>
        <v>1</v>
      </c>
      <c r="K46" s="782">
        <f t="shared" si="70"/>
        <v>1</v>
      </c>
      <c r="L46" s="782">
        <f t="shared" si="70"/>
        <v>0.82892240211077295</v>
      </c>
      <c r="M46" s="783">
        <f t="shared" si="70"/>
        <v>1</v>
      </c>
      <c r="N46" s="733">
        <f t="shared" si="32"/>
        <v>7339.9442262037555</v>
      </c>
      <c r="O46" s="276">
        <f t="shared" si="33"/>
        <v>6287.8688702318186</v>
      </c>
      <c r="P46" s="276">
        <f t="shared" si="34"/>
        <v>5935.4555757668431</v>
      </c>
      <c r="Q46" s="276">
        <f t="shared" si="35"/>
        <v>5532.8423569260176</v>
      </c>
      <c r="R46" s="276">
        <f t="shared" si="36"/>
        <v>5919.1011379888569</v>
      </c>
      <c r="S46" s="278">
        <f t="shared" si="37"/>
        <v>7448.303614535077</v>
      </c>
      <c r="T46" s="734">
        <f t="shared" si="38"/>
        <v>1052.0753559719369</v>
      </c>
      <c r="U46" s="290">
        <f t="shared" si="39"/>
        <v>1404.4886504369124</v>
      </c>
      <c r="V46" s="290">
        <f t="shared" si="40"/>
        <v>1807.1018692777379</v>
      </c>
      <c r="W46" s="290">
        <f t="shared" si="41"/>
        <v>1420.8430882148987</v>
      </c>
      <c r="X46" s="291">
        <f t="shared" si="42"/>
        <v>-108.3593883313215</v>
      </c>
      <c r="Y46" s="279">
        <f ca="1">IF(AND(Y$22=TRUE,INDEX(CDRANGE_CLS3,MATCH($A46,$A$24:$A$67,0),MATCH(Y$20,$B$20:$G$20,0))&lt;$D$6/OPDAYS_Cls3),86,payback(C46,T46,disc_rate/12,85))</f>
        <v>5</v>
      </c>
      <c r="Z46" s="280">
        <f ca="1">IF(AND(Z$22=TRUE,INDEX(CDRANGE_CLS3,MATCH($A46,$A$24:$A$67,0),MATCH(Z$20,$B$20:$G$20,0))&lt;$D$6/OPDAYS_Cls3),86,payback(D46,U46,disc_rate/12,85))</f>
        <v>4</v>
      </c>
      <c r="AA46" s="280">
        <f ca="1">IF(AND(AA$22=TRUE,INDEX(CDRANGE_CLS3,MATCH($A46,$A$24:$A$67,0),MATCH(AA$20,$B$20:$G$20,0))&lt;$D$6/OPDAYS_Cls3),86,payback(E46,V46,disc_rate/12,85))</f>
        <v>6</v>
      </c>
      <c r="AB46" s="280">
        <f ca="1">IF(AND(AB$22=TRUE,INDEX(CDRANGE_CLS3,MATCH($A46,$A$24:$A$67,0),MATCH(AB$20,$B$20:$G$20,0))&lt;$D$6/OPDAYS_Cls3),86,payback(F46,W46,disc_rate/12,85))</f>
        <v>29</v>
      </c>
      <c r="AC46" s="281">
        <f>IF(AND(AC$22=TRUE,INDEX(CDRANGE_CLS3,MATCH($A46,$A$24:$A$67,0),MATCH(AC$20,$B$20:$G$20,0))&lt;$D$6/OPDAYS_Cls3),86,payback(G46,X46,disc_rate/12,85))</f>
        <v>86</v>
      </c>
      <c r="AD46" s="296">
        <f t="shared" si="43"/>
        <v>9.0476967152006878E-3</v>
      </c>
      <c r="AE46" s="297">
        <f t="shared" si="44"/>
        <v>9.0476967152006878E-3</v>
      </c>
      <c r="AF46" s="297">
        <f t="shared" si="45"/>
        <v>0</v>
      </c>
      <c r="AG46" s="297">
        <f t="shared" si="46"/>
        <v>0</v>
      </c>
      <c r="AH46" s="298">
        <f t="shared" si="47"/>
        <v>0</v>
      </c>
      <c r="AI46" s="595">
        <f t="shared" si="48"/>
        <v>0.49100689501895423</v>
      </c>
      <c r="AJ46" s="300">
        <f t="shared" si="49"/>
        <v>0.49100689501895423</v>
      </c>
      <c r="AK46" s="300">
        <f t="shared" si="50"/>
        <v>0.49100689501895423</v>
      </c>
      <c r="AL46" s="300">
        <f t="shared" si="51"/>
        <v>0.49100689501895423</v>
      </c>
      <c r="AM46" s="598">
        <f t="shared" si="52"/>
        <v>0.22145449369332124</v>
      </c>
      <c r="AN46" s="299">
        <f t="shared" si="65"/>
        <v>0.99335824806969308</v>
      </c>
      <c r="AO46" s="300">
        <f t="shared" si="65"/>
        <v>0.99308619759922279</v>
      </c>
      <c r="AP46" s="300">
        <f t="shared" si="65"/>
        <v>0.97275152850087787</v>
      </c>
      <c r="AQ46" s="300">
        <f t="shared" si="65"/>
        <v>0.67904349922789375</v>
      </c>
      <c r="AR46" s="598">
        <f t="shared" si="65"/>
        <v>0.40106509546643621</v>
      </c>
      <c r="AS46" s="296">
        <f t="shared" ca="1" si="54"/>
        <v>0.98201379003790845</v>
      </c>
      <c r="AT46" s="297">
        <f t="shared" ca="1" si="55"/>
        <v>0.98201379003790845</v>
      </c>
      <c r="AU46" s="297">
        <f t="shared" ca="1" si="56"/>
        <v>0.98201379003790845</v>
      </c>
      <c r="AV46" s="297">
        <f t="shared" ca="1" si="57"/>
        <v>0.38891150906835642</v>
      </c>
      <c r="AW46" s="298">
        <f t="shared" si="58"/>
        <v>0</v>
      </c>
      <c r="AX46" s="296">
        <f t="shared" ca="1" si="59"/>
        <v>0.97549149805233615</v>
      </c>
      <c r="AY46" s="297">
        <f t="shared" ca="1" si="59"/>
        <v>0.97522434073874797</v>
      </c>
      <c r="AZ46" s="297">
        <f t="shared" ca="1" si="59"/>
        <v>0.95525541526831559</v>
      </c>
      <c r="BA46" s="297">
        <f t="shared" ca="1" si="59"/>
        <v>0.26408783200777747</v>
      </c>
      <c r="BB46" s="298">
        <f t="shared" si="59"/>
        <v>0</v>
      </c>
      <c r="BC46" s="296">
        <f t="shared" ca="1" si="66"/>
        <v>2.4508501947663741E-2</v>
      </c>
      <c r="BD46" s="297">
        <f t="shared" ca="1" si="60"/>
        <v>0.30017852567945036</v>
      </c>
      <c r="BE46" s="297">
        <f t="shared" ca="1" si="61"/>
        <v>0.30009631595370956</v>
      </c>
      <c r="BF46" s="297">
        <f t="shared" ca="1" si="62"/>
        <v>0.29395147243730235</v>
      </c>
      <c r="BG46" s="297">
        <f t="shared" ca="1" si="63"/>
        <v>8.1265183981874017E-2</v>
      </c>
      <c r="BH46" s="298">
        <f t="shared" ca="1" si="64"/>
        <v>0</v>
      </c>
    </row>
    <row r="47" spans="1:62" ht="13.5" thickBot="1" x14ac:dyDescent="0.25">
      <c r="A47" s="618">
        <v>2030</v>
      </c>
      <c r="B47" s="814">
        <f t="shared" si="69"/>
        <v>100224.6</v>
      </c>
      <c r="C47" s="815">
        <f t="shared" si="69"/>
        <v>5059.7700000000004</v>
      </c>
      <c r="D47" s="815">
        <f t="shared" si="69"/>
        <v>5123.97</v>
      </c>
      <c r="E47" s="815">
        <f t="shared" si="69"/>
        <v>9802.25</v>
      </c>
      <c r="F47" s="815">
        <f t="shared" si="69"/>
        <v>32336.31</v>
      </c>
      <c r="G47" s="816">
        <f t="shared" si="69"/>
        <v>47621.56</v>
      </c>
      <c r="H47" s="781">
        <f t="shared" si="70"/>
        <v>1</v>
      </c>
      <c r="I47" s="782">
        <f t="shared" si="70"/>
        <v>1</v>
      </c>
      <c r="J47" s="782">
        <f t="shared" si="70"/>
        <v>1</v>
      </c>
      <c r="K47" s="782">
        <f t="shared" si="70"/>
        <v>1</v>
      </c>
      <c r="L47" s="782">
        <f t="shared" si="70"/>
        <v>0.8281960137092782</v>
      </c>
      <c r="M47" s="783">
        <f t="shared" si="70"/>
        <v>1</v>
      </c>
      <c r="N47" s="883">
        <f t="shared" si="32"/>
        <v>7369.6797230260263</v>
      </c>
      <c r="O47" s="776">
        <f t="shared" si="33"/>
        <v>6224.9125067925188</v>
      </c>
      <c r="P47" s="776">
        <f t="shared" si="34"/>
        <v>5873.108892410668</v>
      </c>
      <c r="Q47" s="776">
        <f t="shared" si="35"/>
        <v>5478.1624470323941</v>
      </c>
      <c r="R47" s="776">
        <f t="shared" si="36"/>
        <v>5793.7751592250142</v>
      </c>
      <c r="S47" s="777">
        <f t="shared" si="37"/>
        <v>7198.4841023038434</v>
      </c>
      <c r="T47" s="735">
        <f t="shared" si="38"/>
        <v>1144.7672162335075</v>
      </c>
      <c r="U47" s="619">
        <f t="shared" si="39"/>
        <v>1496.5708306153583</v>
      </c>
      <c r="V47" s="619">
        <f t="shared" si="40"/>
        <v>1891.5172759936322</v>
      </c>
      <c r="W47" s="619">
        <f t="shared" si="41"/>
        <v>1575.904563801012</v>
      </c>
      <c r="X47" s="620">
        <f t="shared" si="42"/>
        <v>171.19562072218287</v>
      </c>
      <c r="Y47" s="723">
        <f ca="1">IF(AND(Y$22=TRUE,INDEX(CDRANGE_CLS3,MATCH($A47,$A$24:$A$67,0),MATCH(Y$20,$B$20:$G$20,0))&lt;$D$6/OPDAYS_Cls3),86,payback(C47,T47,disc_rate/12,85))</f>
        <v>5</v>
      </c>
      <c r="Z47" s="724">
        <f ca="1">IF(AND(Z$22=TRUE,INDEX(CDRANGE_CLS3,MATCH($A47,$A$24:$A$67,0),MATCH(Z$20,$B$20:$G$20,0))&lt;$D$6/OPDAYS_Cls3),86,payback(D47,U47,disc_rate/12,85))</f>
        <v>4</v>
      </c>
      <c r="AA47" s="724">
        <f ca="1">IF(AND(AA$22=TRUE,INDEX(CDRANGE_CLS3,MATCH($A47,$A$24:$A$67,0),MATCH(AA$20,$B$20:$G$20,0))&lt;$D$6/OPDAYS_Cls3),86,payback(E47,V47,disc_rate/12,85))</f>
        <v>6</v>
      </c>
      <c r="AB47" s="724">
        <f ca="1">IF(AND(AB$22=TRUE,INDEX(CDRANGE_CLS3,MATCH($A47,$A$24:$A$67,0),MATCH(AB$20,$B$20:$G$20,0))&lt;$D$6/OPDAYS_Cls3),86,payback(F47,W47,disc_rate/12,85))</f>
        <v>23</v>
      </c>
      <c r="AC47" s="892">
        <f>IF(AND(AC$22=TRUE,INDEX(CDRANGE_CLS3,MATCH($A47,$A$24:$A$67,0),MATCH(AC$20,$B$20:$G$20,0))&lt;$D$6/OPDAYS_Cls3),86,payback(G47,X47,disc_rate/12,85))</f>
        <v>86</v>
      </c>
      <c r="AD47" s="624">
        <f t="shared" si="43"/>
        <v>0</v>
      </c>
      <c r="AE47" s="625">
        <f t="shared" si="44"/>
        <v>0</v>
      </c>
      <c r="AF47" s="625">
        <f t="shared" si="45"/>
        <v>0</v>
      </c>
      <c r="AG47" s="625">
        <f t="shared" si="46"/>
        <v>0</v>
      </c>
      <c r="AH47" s="626">
        <f t="shared" si="47"/>
        <v>0</v>
      </c>
      <c r="AI47" s="627">
        <f t="shared" si="48"/>
        <v>0.49665357453785763</v>
      </c>
      <c r="AJ47" s="628">
        <f t="shared" si="49"/>
        <v>0.49665357453785763</v>
      </c>
      <c r="AK47" s="628">
        <f t="shared" si="50"/>
        <v>0.49665357453785763</v>
      </c>
      <c r="AL47" s="628">
        <f t="shared" si="51"/>
        <v>0.49665357453785763</v>
      </c>
      <c r="AM47" s="629">
        <f t="shared" si="52"/>
        <v>0.26915504155730741</v>
      </c>
      <c r="AN47" s="630">
        <f t="shared" si="65"/>
        <v>0.99294537435345864</v>
      </c>
      <c r="AO47" s="628">
        <f t="shared" si="65"/>
        <v>0.99276586905801067</v>
      </c>
      <c r="AP47" s="628">
        <f t="shared" si="65"/>
        <v>0.97377935074316258</v>
      </c>
      <c r="AQ47" s="628">
        <f t="shared" si="65"/>
        <v>0.7488965917666377</v>
      </c>
      <c r="AR47" s="629">
        <f t="shared" si="65"/>
        <v>0.53412369548373873</v>
      </c>
      <c r="AS47" s="624">
        <f t="shared" ca="1" si="54"/>
        <v>0.99330714907571527</v>
      </c>
      <c r="AT47" s="625">
        <f t="shared" ca="1" si="55"/>
        <v>0.99330714907571527</v>
      </c>
      <c r="AU47" s="625">
        <f t="shared" ca="1" si="56"/>
        <v>0.99330714907571527</v>
      </c>
      <c r="AV47" s="625">
        <f t="shared" ca="1" si="57"/>
        <v>0.58026148813694423</v>
      </c>
      <c r="AW47" s="626">
        <f t="shared" si="58"/>
        <v>0</v>
      </c>
      <c r="AX47" s="624">
        <f t="shared" ca="1" si="59"/>
        <v>0.98629973898695289</v>
      </c>
      <c r="AY47" s="625">
        <f t="shared" ca="1" si="59"/>
        <v>0.98612143509368744</v>
      </c>
      <c r="AZ47" s="625">
        <f t="shared" ca="1" si="59"/>
        <v>0.96726199071549179</v>
      </c>
      <c r="BA47" s="625">
        <f t="shared" ca="1" si="59"/>
        <v>0.43455585079919479</v>
      </c>
      <c r="BB47" s="626">
        <f t="shared" si="59"/>
        <v>0</v>
      </c>
      <c r="BC47" s="624">
        <f t="shared" ca="1" si="66"/>
        <v>1.3700261013046999E-2</v>
      </c>
      <c r="BD47" s="625">
        <f t="shared" ca="1" si="60"/>
        <v>0.28829824165674872</v>
      </c>
      <c r="BE47" s="625">
        <f t="shared" ca="1" si="61"/>
        <v>0.28824612291750851</v>
      </c>
      <c r="BF47" s="625">
        <f t="shared" ca="1" si="62"/>
        <v>0.2827334532513463</v>
      </c>
      <c r="BG47" s="625">
        <f t="shared" ca="1" si="63"/>
        <v>0.1270219211613495</v>
      </c>
      <c r="BH47" s="626">
        <f t="shared" ca="1" si="64"/>
        <v>0</v>
      </c>
    </row>
    <row r="48" spans="1:62" x14ac:dyDescent="0.2">
      <c r="A48" s="318">
        <v>2031</v>
      </c>
      <c r="B48" s="817">
        <f t="shared" si="69"/>
        <v>100224.6</v>
      </c>
      <c r="C48" s="818">
        <f t="shared" si="69"/>
        <v>5059.7700000000004</v>
      </c>
      <c r="D48" s="818">
        <f t="shared" si="69"/>
        <v>5123.97</v>
      </c>
      <c r="E48" s="818">
        <f t="shared" si="69"/>
        <v>10076.4</v>
      </c>
      <c r="F48" s="818">
        <f t="shared" si="69"/>
        <v>30465.14</v>
      </c>
      <c r="G48" s="819">
        <f t="shared" si="69"/>
        <v>43697.81</v>
      </c>
      <c r="H48" s="781">
        <f t="shared" si="70"/>
        <v>1</v>
      </c>
      <c r="I48" s="782">
        <f t="shared" si="70"/>
        <v>1</v>
      </c>
      <c r="J48" s="782">
        <f t="shared" si="70"/>
        <v>1</v>
      </c>
      <c r="K48" s="782">
        <f t="shared" si="70"/>
        <v>1</v>
      </c>
      <c r="L48" s="782">
        <f t="shared" si="70"/>
        <v>0.82748053194647131</v>
      </c>
      <c r="M48" s="783">
        <f t="shared" si="70"/>
        <v>1</v>
      </c>
      <c r="N48" s="736">
        <f t="shared" si="32"/>
        <v>7437.4028455752914</v>
      </c>
      <c r="O48" s="632">
        <f t="shared" si="33"/>
        <v>6282.1158763282128</v>
      </c>
      <c r="P48" s="632">
        <f t="shared" si="34"/>
        <v>5927.0793888520784</v>
      </c>
      <c r="Q48" s="632">
        <f t="shared" si="35"/>
        <v>5473.515535458966</v>
      </c>
      <c r="R48" s="632">
        <f t="shared" si="36"/>
        <v>5747.0424083024827</v>
      </c>
      <c r="S48" s="745">
        <f t="shared" si="37"/>
        <v>7116.548640465583</v>
      </c>
      <c r="T48" s="736">
        <f t="shared" si="38"/>
        <v>1155.2869692470786</v>
      </c>
      <c r="U48" s="632">
        <f t="shared" si="39"/>
        <v>1510.323456723213</v>
      </c>
      <c r="V48" s="632">
        <f t="shared" si="40"/>
        <v>1963.8873101163254</v>
      </c>
      <c r="W48" s="632">
        <f t="shared" si="41"/>
        <v>1690.3604372728087</v>
      </c>
      <c r="X48" s="633">
        <f t="shared" si="42"/>
        <v>320.85420510970835</v>
      </c>
      <c r="Y48" s="634">
        <f ca="1">IF(AND(Y$22=TRUE,INDEX(CDRANGE_CLS3,MATCH($A48,$A$24:$A$67,0),MATCH(Y$20,$B$20:$G$20,0))&lt;$D$6/OPDAYS_Cls3),86,payback(C48,T48,disc_rate/12,85))</f>
        <v>5</v>
      </c>
      <c r="Z48" s="635">
        <f ca="1">IF(AND(Z$22=TRUE,INDEX(CDRANGE_CLS3,MATCH($A48,$A$24:$A$67,0),MATCH(Z$20,$B$20:$G$20,0))&lt;$D$6/OPDAYS_Cls3),86,payback(D48,U48,disc_rate/12,85))</f>
        <v>4</v>
      </c>
      <c r="AA48" s="635">
        <f ca="1">IF(AND(AA$22=TRUE,INDEX(CDRANGE_CLS3,MATCH($A48,$A$24:$A$67,0),MATCH(AA$20,$B$20:$G$20,0))&lt;$D$6/OPDAYS_Cls3),86,payback(E48,V48,disc_rate/12,85))</f>
        <v>6</v>
      </c>
      <c r="AB48" s="635">
        <f ca="1">IF(AND(AB$22=TRUE,INDEX(CDRANGE_CLS3,MATCH($A48,$A$24:$A$67,0),MATCH(AB$20,$B$20:$G$20,0))&lt;$D$6/OPDAYS_Cls3),86,payback(F48,W48,disc_rate/12,85))</f>
        <v>20</v>
      </c>
      <c r="AC48" s="893">
        <f>IF(AND(AC$22=TRUE,INDEX(CDRANGE_CLS3,MATCH($A48,$A$24:$A$67,0),MATCH(AC$20,$B$20:$G$20,0))&lt;$D$6/OPDAYS_Cls3),86,payback(G48,X48,disc_rate/12,85))</f>
        <v>86</v>
      </c>
      <c r="AD48" s="637">
        <f t="shared" si="43"/>
        <v>0</v>
      </c>
      <c r="AE48" s="638">
        <f t="shared" si="44"/>
        <v>0</v>
      </c>
      <c r="AF48" s="638">
        <f t="shared" si="45"/>
        <v>0</v>
      </c>
      <c r="AG48" s="638">
        <f t="shared" si="46"/>
        <v>0</v>
      </c>
      <c r="AH48" s="639">
        <f t="shared" si="47"/>
        <v>0</v>
      </c>
      <c r="AI48" s="640">
        <f t="shared" si="48"/>
        <v>0.49876368842168267</v>
      </c>
      <c r="AJ48" s="641">
        <f t="shared" si="49"/>
        <v>0.49876368842168267</v>
      </c>
      <c r="AK48" s="641">
        <f t="shared" si="50"/>
        <v>0.49876368842168267</v>
      </c>
      <c r="AL48" s="641">
        <f t="shared" si="51"/>
        <v>0.49876368842168267</v>
      </c>
      <c r="AM48" s="642">
        <f t="shared" si="52"/>
        <v>0.30046701631220585</v>
      </c>
      <c r="AN48" s="643">
        <f t="shared" si="65"/>
        <v>0.99294537435345864</v>
      </c>
      <c r="AO48" s="641">
        <f t="shared" si="65"/>
        <v>0.99276586905801067</v>
      </c>
      <c r="AP48" s="641">
        <f t="shared" si="65"/>
        <v>0.9723129342841017</v>
      </c>
      <c r="AQ48" s="641">
        <f t="shared" si="65"/>
        <v>0.77363257413237396</v>
      </c>
      <c r="AR48" s="642">
        <f t="shared" si="65"/>
        <v>0.58975879327355429</v>
      </c>
      <c r="AS48" s="637">
        <f t="shared" ca="1" si="54"/>
        <v>0.99752737684336534</v>
      </c>
      <c r="AT48" s="638">
        <f t="shared" ca="1" si="55"/>
        <v>0.99752737684336534</v>
      </c>
      <c r="AU48" s="638">
        <f t="shared" ca="1" si="56"/>
        <v>0.99752737684336534</v>
      </c>
      <c r="AV48" s="638">
        <f t="shared" ca="1" si="57"/>
        <v>0.68284642282441288</v>
      </c>
      <c r="AW48" s="639">
        <f t="shared" si="58"/>
        <v>0</v>
      </c>
      <c r="AX48" s="637">
        <f t="shared" ca="1" si="59"/>
        <v>0.99049019462755905</v>
      </c>
      <c r="AY48" s="638">
        <f t="shared" ca="1" si="59"/>
        <v>0.99031113318106134</v>
      </c>
      <c r="AZ48" s="638">
        <f t="shared" ca="1" si="59"/>
        <v>0.96990877080729543</v>
      </c>
      <c r="BA48" s="638">
        <f t="shared" ca="1" si="59"/>
        <v>0.52827223582673399</v>
      </c>
      <c r="BB48" s="639">
        <f t="shared" si="59"/>
        <v>0</v>
      </c>
      <c r="BC48" s="637">
        <f t="shared" ca="1" si="66"/>
        <v>9.5098053724408382E-3</v>
      </c>
      <c r="BD48" s="638">
        <f t="shared" ca="1" si="60"/>
        <v>0.28199936974112644</v>
      </c>
      <c r="BE48" s="638">
        <f t="shared" ca="1" si="61"/>
        <v>0.28194838971595182</v>
      </c>
      <c r="BF48" s="638">
        <f t="shared" ca="1" si="62"/>
        <v>0.27613969684666456</v>
      </c>
      <c r="BG48" s="638">
        <f t="shared" ca="1" si="63"/>
        <v>0.15040273832381634</v>
      </c>
      <c r="BH48" s="639">
        <f t="shared" ca="1" si="64"/>
        <v>0</v>
      </c>
    </row>
    <row r="49" spans="1:60" x14ac:dyDescent="0.2">
      <c r="A49" s="317">
        <v>2032</v>
      </c>
      <c r="B49" s="820">
        <f t="shared" si="69"/>
        <v>100224.6</v>
      </c>
      <c r="C49" s="821">
        <f t="shared" si="69"/>
        <v>5059.7700000000004</v>
      </c>
      <c r="D49" s="821">
        <f t="shared" si="69"/>
        <v>5123.97</v>
      </c>
      <c r="E49" s="821">
        <f t="shared" si="69"/>
        <v>10350.549999999999</v>
      </c>
      <c r="F49" s="821">
        <f t="shared" si="69"/>
        <v>28593.97</v>
      </c>
      <c r="G49" s="822">
        <f t="shared" si="69"/>
        <v>39774.06</v>
      </c>
      <c r="H49" s="781">
        <f t="shared" si="70"/>
        <v>1</v>
      </c>
      <c r="I49" s="782">
        <f t="shared" si="70"/>
        <v>1</v>
      </c>
      <c r="J49" s="782">
        <f t="shared" si="70"/>
        <v>1</v>
      </c>
      <c r="K49" s="782">
        <f t="shared" si="70"/>
        <v>1</v>
      </c>
      <c r="L49" s="782">
        <f t="shared" si="70"/>
        <v>0.82676505018366431</v>
      </c>
      <c r="M49" s="783">
        <f t="shared" si="70"/>
        <v>1</v>
      </c>
      <c r="N49" s="733">
        <f t="shared" si="32"/>
        <v>7476.4142985446233</v>
      </c>
      <c r="O49" s="276">
        <f t="shared" si="33"/>
        <v>6315.0674957504525</v>
      </c>
      <c r="P49" s="276">
        <f t="shared" si="34"/>
        <v>5958.1687332945767</v>
      </c>
      <c r="Q49" s="276">
        <f t="shared" si="35"/>
        <v>5448.0380550913478</v>
      </c>
      <c r="R49" s="276">
        <f t="shared" si="36"/>
        <v>5685.407680660026</v>
      </c>
      <c r="S49" s="278">
        <f t="shared" si="37"/>
        <v>7042.912489289276</v>
      </c>
      <c r="T49" s="734">
        <f t="shared" si="38"/>
        <v>1161.3468027941708</v>
      </c>
      <c r="U49" s="290">
        <f t="shared" si="39"/>
        <v>1518.2455652500466</v>
      </c>
      <c r="V49" s="290">
        <f t="shared" si="40"/>
        <v>2028.3762434532755</v>
      </c>
      <c r="W49" s="290">
        <f t="shared" si="41"/>
        <v>1791.0066178845973</v>
      </c>
      <c r="X49" s="291">
        <f t="shared" si="42"/>
        <v>433.50180925534733</v>
      </c>
      <c r="Y49" s="279">
        <f ca="1">IF(AND(Y$22=TRUE,INDEX(CDRANGE_CLS3,MATCH($A49,$A$24:$A$67,0),MATCH(Y$20,$B$20:$G$20,0))&lt;$D$6/OPDAYS_Cls3),86,payback(C49,T49,disc_rate/12,85))</f>
        <v>5</v>
      </c>
      <c r="Z49" s="280">
        <f ca="1">IF(AND(Z$22=TRUE,INDEX(CDRANGE_CLS3,MATCH($A49,$A$24:$A$67,0),MATCH(Z$20,$B$20:$G$20,0))&lt;$D$6/OPDAYS_Cls3),86,payback(D49,U49,disc_rate/12,85))</f>
        <v>4</v>
      </c>
      <c r="AA49" s="280">
        <f ca="1">IF(AND(AA$22=TRUE,INDEX(CDRANGE_CLS3,MATCH($A49,$A$24:$A$67,0),MATCH(AA$20,$B$20:$G$20,0))&lt;$D$6/OPDAYS_Cls3),86,payback(E49,V49,disc_rate/12,85))</f>
        <v>6</v>
      </c>
      <c r="AB49" s="280">
        <f ca="1">IF(AND(AB$22=TRUE,INDEX(CDRANGE_CLS3,MATCH($A49,$A$24:$A$67,0),MATCH(AB$20,$B$20:$G$20,0))&lt;$D$6/OPDAYS_Cls3),86,payback(F49,W49,disc_rate/12,85))</f>
        <v>17</v>
      </c>
      <c r="AC49" s="281">
        <f>IF(AND(AC$22=TRUE,INDEX(CDRANGE_CLS3,MATCH($A49,$A$24:$A$67,0),MATCH(AC$20,$B$20:$G$20,0))&lt;$D$6/OPDAYS_Cls3),86,payback(G49,X49,disc_rate/12,85))</f>
        <v>86</v>
      </c>
      <c r="AD49" s="296">
        <f t="shared" si="43"/>
        <v>0</v>
      </c>
      <c r="AE49" s="297">
        <f t="shared" si="44"/>
        <v>0</v>
      </c>
      <c r="AF49" s="297">
        <f t="shared" si="45"/>
        <v>0</v>
      </c>
      <c r="AG49" s="297">
        <f t="shared" si="46"/>
        <v>0</v>
      </c>
      <c r="AH49" s="298">
        <f t="shared" si="47"/>
        <v>0</v>
      </c>
      <c r="AI49" s="595">
        <f t="shared" si="48"/>
        <v>0.4995444744027997</v>
      </c>
      <c r="AJ49" s="300">
        <f t="shared" si="49"/>
        <v>0.4995444744027997</v>
      </c>
      <c r="AK49" s="300">
        <f t="shared" si="50"/>
        <v>0.4995444744027997</v>
      </c>
      <c r="AL49" s="300">
        <f t="shared" si="51"/>
        <v>0.4995444744027997</v>
      </c>
      <c r="AM49" s="598">
        <f t="shared" si="52"/>
        <v>0.34448045315213899</v>
      </c>
      <c r="AN49" s="299">
        <f t="shared" si="65"/>
        <v>0.99294537435345864</v>
      </c>
      <c r="AO49" s="300">
        <f t="shared" si="65"/>
        <v>0.99276586905801067</v>
      </c>
      <c r="AP49" s="300">
        <f t="shared" si="65"/>
        <v>0.97080837105655371</v>
      </c>
      <c r="AQ49" s="300">
        <f t="shared" si="65"/>
        <v>0.79763950156354513</v>
      </c>
      <c r="AR49" s="598">
        <f t="shared" si="65"/>
        <v>0.64566763023380003</v>
      </c>
      <c r="AS49" s="296">
        <f t="shared" ca="1" si="54"/>
        <v>0.9990889488055994</v>
      </c>
      <c r="AT49" s="297">
        <f t="shared" ca="1" si="55"/>
        <v>0.9990889488055994</v>
      </c>
      <c r="AU49" s="297">
        <f t="shared" ca="1" si="56"/>
        <v>0.9990889488055994</v>
      </c>
      <c r="AV49" s="297">
        <f t="shared" ca="1" si="57"/>
        <v>0.78156737221532613</v>
      </c>
      <c r="AW49" s="298">
        <f t="shared" si="58"/>
        <v>0</v>
      </c>
      <c r="AX49" s="296">
        <f t="shared" ca="1" si="59"/>
        <v>0.99204075028417937</v>
      </c>
      <c r="AY49" s="297">
        <f t="shared" ca="1" si="59"/>
        <v>0.99186140852724525</v>
      </c>
      <c r="AZ49" s="297">
        <f t="shared" ca="1" si="59"/>
        <v>0.96992391493056851</v>
      </c>
      <c r="BA49" s="297">
        <f t="shared" ca="1" si="59"/>
        <v>0.62340900921216247</v>
      </c>
      <c r="BB49" s="298">
        <f t="shared" si="59"/>
        <v>0</v>
      </c>
      <c r="BC49" s="296">
        <f t="shared" ca="1" si="66"/>
        <v>7.9592497158206266E-3</v>
      </c>
      <c r="BD49" s="297">
        <f t="shared" ca="1" si="60"/>
        <v>0.27511327251427664</v>
      </c>
      <c r="BE49" s="297">
        <f t="shared" ca="1" si="61"/>
        <v>0.27506353736213246</v>
      </c>
      <c r="BF49" s="297">
        <f t="shared" ca="1" si="62"/>
        <v>0.26897981988135972</v>
      </c>
      <c r="BG49" s="297">
        <f t="shared" ca="1" si="63"/>
        <v>0.17288412052641058</v>
      </c>
      <c r="BH49" s="298">
        <f t="shared" ca="1" si="64"/>
        <v>0</v>
      </c>
    </row>
    <row r="50" spans="1:60" x14ac:dyDescent="0.2">
      <c r="A50" s="317">
        <v>2033</v>
      </c>
      <c r="B50" s="820">
        <f t="shared" si="69"/>
        <v>100224.6</v>
      </c>
      <c r="C50" s="821">
        <f t="shared" si="69"/>
        <v>5059.7700000000004</v>
      </c>
      <c r="D50" s="821">
        <f t="shared" si="69"/>
        <v>5123.97</v>
      </c>
      <c r="E50" s="821">
        <f t="shared" si="69"/>
        <v>10624.71</v>
      </c>
      <c r="F50" s="821">
        <f t="shared" si="69"/>
        <v>26722.81</v>
      </c>
      <c r="G50" s="822">
        <f t="shared" si="69"/>
        <v>35850.31</v>
      </c>
      <c r="H50" s="781">
        <f t="shared" si="70"/>
        <v>1</v>
      </c>
      <c r="I50" s="782">
        <f t="shared" si="70"/>
        <v>1</v>
      </c>
      <c r="J50" s="782">
        <f t="shared" si="70"/>
        <v>1</v>
      </c>
      <c r="K50" s="782">
        <f t="shared" si="70"/>
        <v>1</v>
      </c>
      <c r="L50" s="782">
        <f t="shared" si="70"/>
        <v>0.82604956842085742</v>
      </c>
      <c r="M50" s="783">
        <f t="shared" si="70"/>
        <v>1</v>
      </c>
      <c r="N50" s="733">
        <f t="shared" si="32"/>
        <v>7581.585955446496</v>
      </c>
      <c r="O50" s="276">
        <f t="shared" si="33"/>
        <v>6403.9023416343289</v>
      </c>
      <c r="P50" s="276">
        <f t="shared" si="34"/>
        <v>6041.983039559479</v>
      </c>
      <c r="Q50" s="276">
        <f t="shared" si="35"/>
        <v>5470.7980563431747</v>
      </c>
      <c r="R50" s="276">
        <f t="shared" si="36"/>
        <v>5671.7884932898178</v>
      </c>
      <c r="S50" s="278">
        <f t="shared" si="37"/>
        <v>7012.1627930431778</v>
      </c>
      <c r="T50" s="734">
        <f t="shared" si="38"/>
        <v>1177.6836138121671</v>
      </c>
      <c r="U50" s="290">
        <f t="shared" si="39"/>
        <v>1539.6029158870169</v>
      </c>
      <c r="V50" s="290">
        <f t="shared" si="40"/>
        <v>2110.7878991033213</v>
      </c>
      <c r="W50" s="290">
        <f t="shared" si="41"/>
        <v>1909.7974621566782</v>
      </c>
      <c r="X50" s="291">
        <f t="shared" si="42"/>
        <v>569.4231624033182</v>
      </c>
      <c r="Y50" s="279">
        <f ca="1">IF(AND(Y$22=TRUE,INDEX(CDRANGE_CLS3,MATCH($A50,$A$24:$A$67,0),MATCH(Y$20,$B$20:$G$20,0))&lt;$D$6/OPDAYS_Cls3),86,payback(C50,T50,disc_rate/12,85))</f>
        <v>5</v>
      </c>
      <c r="Z50" s="280">
        <f ca="1">IF(AND(Z$22=TRUE,INDEX(CDRANGE_CLS3,MATCH($A50,$A$24:$A$67,0),MATCH(Z$20,$B$20:$G$20,0))&lt;$D$6/OPDAYS_Cls3),86,payback(D50,U50,disc_rate/12,85))</f>
        <v>4</v>
      </c>
      <c r="AA50" s="280">
        <f ca="1">IF(AND(AA$22=TRUE,INDEX(CDRANGE_CLS3,MATCH($A50,$A$24:$A$67,0),MATCH(AA$20,$B$20:$G$20,0))&lt;$D$6/OPDAYS_Cls3),86,payback(E50,V50,disc_rate/12,85))</f>
        <v>6</v>
      </c>
      <c r="AB50" s="280">
        <f ca="1">IF(AND(AB$22=TRUE,INDEX(CDRANGE_CLS3,MATCH($A50,$A$24:$A$67,0),MATCH(AB$20,$B$20:$G$20,0))&lt;$D$6/OPDAYS_Cls3),86,payback(F50,W50,disc_rate/12,85))</f>
        <v>15</v>
      </c>
      <c r="AC50" s="281">
        <f>IF(AND(AC$22=TRUE,INDEX(CDRANGE_CLS3,MATCH($A50,$A$24:$A$67,0),MATCH(AC$20,$B$20:$G$20,0))&lt;$D$6/OPDAYS_Cls3),86,payback(G50,X50,disc_rate/12,85))</f>
        <v>86</v>
      </c>
      <c r="AD50" s="296">
        <f t="shared" si="43"/>
        <v>0</v>
      </c>
      <c r="AE50" s="297">
        <f t="shared" si="44"/>
        <v>0</v>
      </c>
      <c r="AF50" s="297">
        <f t="shared" si="45"/>
        <v>0</v>
      </c>
      <c r="AG50" s="297">
        <f t="shared" si="46"/>
        <v>0</v>
      </c>
      <c r="AH50" s="298">
        <f t="shared" si="47"/>
        <v>0</v>
      </c>
      <c r="AI50" s="595">
        <f t="shared" si="48"/>
        <v>0.49983232493476681</v>
      </c>
      <c r="AJ50" s="300">
        <f t="shared" si="49"/>
        <v>0.49983232493476681</v>
      </c>
      <c r="AK50" s="300">
        <f t="shared" si="50"/>
        <v>0.49983232493476681</v>
      </c>
      <c r="AL50" s="300">
        <f t="shared" si="51"/>
        <v>0.49983232493476681</v>
      </c>
      <c r="AM50" s="598">
        <f t="shared" si="52"/>
        <v>0.37160768412147255</v>
      </c>
      <c r="AN50" s="299">
        <f t="shared" si="65"/>
        <v>0.99294537435345864</v>
      </c>
      <c r="AO50" s="300">
        <f t="shared" si="65"/>
        <v>0.99276586905801067</v>
      </c>
      <c r="AP50" s="300">
        <f t="shared" si="65"/>
        <v>0.96926578811608588</v>
      </c>
      <c r="AQ50" s="300">
        <f t="shared" si="65"/>
        <v>0.82080030167421136</v>
      </c>
      <c r="AR50" s="598">
        <f t="shared" si="65"/>
        <v>0.70088313960597415</v>
      </c>
      <c r="AS50" s="296">
        <f t="shared" ca="1" si="54"/>
        <v>0.99966464986953363</v>
      </c>
      <c r="AT50" s="297">
        <f t="shared" ca="1" si="55"/>
        <v>0.99966464986953363</v>
      </c>
      <c r="AU50" s="297">
        <f t="shared" ca="1" si="56"/>
        <v>0.99966464986953363</v>
      </c>
      <c r="AV50" s="297">
        <f t="shared" ca="1" si="57"/>
        <v>0.84245260163062885</v>
      </c>
      <c r="AW50" s="298">
        <f t="shared" si="58"/>
        <v>0</v>
      </c>
      <c r="AX50" s="296">
        <f t="shared" ca="1" si="59"/>
        <v>0.99261238999262325</v>
      </c>
      <c r="AY50" s="297">
        <f t="shared" ca="1" si="59"/>
        <v>0.99243294489429956</v>
      </c>
      <c r="AZ50" s="297">
        <f t="shared" ca="1" si="59"/>
        <v>0.96894074470758451</v>
      </c>
      <c r="BA50" s="297">
        <f t="shared" ca="1" si="59"/>
        <v>0.69148534956464436</v>
      </c>
      <c r="BB50" s="298">
        <f t="shared" si="59"/>
        <v>0</v>
      </c>
      <c r="BC50" s="296">
        <f t="shared" ca="1" si="66"/>
        <v>7.3876100073767548E-3</v>
      </c>
      <c r="BD50" s="297">
        <f t="shared" ca="1" si="60"/>
        <v>0.27027488101700137</v>
      </c>
      <c r="BE50" s="297">
        <f t="shared" ca="1" si="61"/>
        <v>0.27022602055234518</v>
      </c>
      <c r="BF50" s="297">
        <f t="shared" ca="1" si="62"/>
        <v>0.26382941330231968</v>
      </c>
      <c r="BG50" s="297">
        <f t="shared" ca="1" si="63"/>
        <v>0.1882820751209571</v>
      </c>
      <c r="BH50" s="298">
        <f t="shared" ca="1" si="64"/>
        <v>0</v>
      </c>
    </row>
    <row r="51" spans="1:60" x14ac:dyDescent="0.2">
      <c r="A51" s="317">
        <v>2034</v>
      </c>
      <c r="B51" s="820">
        <f t="shared" si="69"/>
        <v>100224.6</v>
      </c>
      <c r="C51" s="821">
        <f t="shared" si="69"/>
        <v>5059.7700000000004</v>
      </c>
      <c r="D51" s="821">
        <f t="shared" si="69"/>
        <v>5123.97</v>
      </c>
      <c r="E51" s="821">
        <f t="shared" si="69"/>
        <v>10898.86</v>
      </c>
      <c r="F51" s="821">
        <f t="shared" si="69"/>
        <v>24851.64</v>
      </c>
      <c r="G51" s="822">
        <f t="shared" si="69"/>
        <v>31926.560000000001</v>
      </c>
      <c r="H51" s="781">
        <f t="shared" si="70"/>
        <v>1</v>
      </c>
      <c r="I51" s="782">
        <f t="shared" si="70"/>
        <v>1</v>
      </c>
      <c r="J51" s="782">
        <f t="shared" si="70"/>
        <v>1</v>
      </c>
      <c r="K51" s="782">
        <f t="shared" si="70"/>
        <v>1</v>
      </c>
      <c r="L51" s="782">
        <f t="shared" si="70"/>
        <v>0.82533408665805053</v>
      </c>
      <c r="M51" s="783">
        <f t="shared" si="70"/>
        <v>1</v>
      </c>
      <c r="N51" s="733">
        <f t="shared" si="32"/>
        <v>7627.5871146565005</v>
      </c>
      <c r="O51" s="276">
        <f t="shared" si="33"/>
        <v>6442.7579231596201</v>
      </c>
      <c r="P51" s="276">
        <f t="shared" si="34"/>
        <v>6078.6426811411011</v>
      </c>
      <c r="Q51" s="276">
        <f t="shared" si="35"/>
        <v>5450.8339405944353</v>
      </c>
      <c r="R51" s="276">
        <f t="shared" si="36"/>
        <v>5620.2067353136044</v>
      </c>
      <c r="S51" s="278">
        <f t="shared" si="37"/>
        <v>6959.4298782496708</v>
      </c>
      <c r="T51" s="734">
        <f t="shared" si="38"/>
        <v>1184.8291914968804</v>
      </c>
      <c r="U51" s="290">
        <f t="shared" si="39"/>
        <v>1548.9444335153994</v>
      </c>
      <c r="V51" s="290">
        <f t="shared" si="40"/>
        <v>2176.7531740620652</v>
      </c>
      <c r="W51" s="290">
        <f t="shared" si="41"/>
        <v>2007.380379342896</v>
      </c>
      <c r="X51" s="291">
        <f t="shared" si="42"/>
        <v>668.15723640682972</v>
      </c>
      <c r="Y51" s="279">
        <f ca="1">IF(AND(Y$22=TRUE,INDEX(CDRANGE_CLS3,MATCH($A51,$A$24:$A$67,0),MATCH(Y$20,$B$20:$G$20,0))&lt;$D$6/OPDAYS_Cls3),86,payback(C51,T51,disc_rate/12,85))</f>
        <v>5</v>
      </c>
      <c r="Z51" s="280">
        <f ca="1">IF(AND(Z$22=TRUE,INDEX(CDRANGE_CLS3,MATCH($A51,$A$24:$A$67,0),MATCH(Z$20,$B$20:$G$20,0))&lt;$D$6/OPDAYS_Cls3),86,payback(D51,U51,disc_rate/12,85))</f>
        <v>4</v>
      </c>
      <c r="AA51" s="280">
        <f ca="1">IF(AND(AA$22=TRUE,INDEX(CDRANGE_CLS3,MATCH($A51,$A$24:$A$67,0),MATCH(AA$20,$B$20:$G$20,0))&lt;$D$6/OPDAYS_Cls3),86,payback(E51,V51,disc_rate/12,85))</f>
        <v>6</v>
      </c>
      <c r="AB51" s="280">
        <f ca="1">IF(AND(AB$22=TRUE,INDEX(CDRANGE_CLS3,MATCH($A51,$A$24:$A$67,0),MATCH(AB$20,$B$20:$G$20,0))&lt;$D$6/OPDAYS_Cls3),86,payback(F51,W51,disc_rate/12,85))</f>
        <v>13</v>
      </c>
      <c r="AC51" s="281">
        <f>IF(AND(AC$22=TRUE,INDEX(CDRANGE_CLS3,MATCH($A51,$A$24:$A$67,0),MATCH(AC$20,$B$20:$G$20,0))&lt;$D$6/OPDAYS_Cls3),86,payback(G51,X51,disc_rate/12,85))</f>
        <v>86</v>
      </c>
      <c r="AD51" s="296">
        <f t="shared" si="43"/>
        <v>0</v>
      </c>
      <c r="AE51" s="297">
        <f t="shared" si="44"/>
        <v>0</v>
      </c>
      <c r="AF51" s="297">
        <f t="shared" si="45"/>
        <v>0</v>
      </c>
      <c r="AG51" s="297">
        <f t="shared" si="46"/>
        <v>0</v>
      </c>
      <c r="AH51" s="298">
        <f t="shared" si="47"/>
        <v>0</v>
      </c>
      <c r="AI51" s="595">
        <f t="shared" si="48"/>
        <v>0.49993830271200684</v>
      </c>
      <c r="AJ51" s="300">
        <f t="shared" si="49"/>
        <v>0.49993830271200684</v>
      </c>
      <c r="AK51" s="300">
        <f t="shared" si="50"/>
        <v>0.49993830271200684</v>
      </c>
      <c r="AL51" s="300">
        <f t="shared" si="51"/>
        <v>0.49993830271200684</v>
      </c>
      <c r="AM51" s="598">
        <f t="shared" si="52"/>
        <v>0.3962939517576638</v>
      </c>
      <c r="AN51" s="299">
        <f t="shared" si="65"/>
        <v>0.99294537435345864</v>
      </c>
      <c r="AO51" s="300">
        <f t="shared" si="65"/>
        <v>0.99276586905801067</v>
      </c>
      <c r="AP51" s="300">
        <f t="shared" si="65"/>
        <v>0.96768548645322627</v>
      </c>
      <c r="AQ51" s="300">
        <f t="shared" si="65"/>
        <v>0.84299974321916971</v>
      </c>
      <c r="AR51" s="598">
        <f t="shared" si="65"/>
        <v>0.75436967323130277</v>
      </c>
      <c r="AS51" s="296">
        <f t="shared" ca="1" si="54"/>
        <v>0.99987660542401369</v>
      </c>
      <c r="AT51" s="297">
        <f t="shared" ca="1" si="55"/>
        <v>0.99987660542401369</v>
      </c>
      <c r="AU51" s="297">
        <f t="shared" ca="1" si="56"/>
        <v>0.99987660542401369</v>
      </c>
      <c r="AV51" s="297">
        <f t="shared" ca="1" si="57"/>
        <v>0.8967615050879062</v>
      </c>
      <c r="AW51" s="298">
        <f t="shared" si="58"/>
        <v>0</v>
      </c>
      <c r="AX51" s="296">
        <f t="shared" ca="1" si="59"/>
        <v>0.99282285028001271</v>
      </c>
      <c r="AY51" s="297">
        <f t="shared" ca="1" si="59"/>
        <v>0.9926433671345446</v>
      </c>
      <c r="AZ51" s="297">
        <f t="shared" ca="1" si="59"/>
        <v>0.96756607931293725</v>
      </c>
      <c r="BA51" s="297">
        <f t="shared" ca="1" si="59"/>
        <v>0.75596971851794104</v>
      </c>
      <c r="BB51" s="298">
        <f t="shared" si="59"/>
        <v>0</v>
      </c>
      <c r="BC51" s="296">
        <f t="shared" ca="1" si="66"/>
        <v>7.1771497199872858E-3</v>
      </c>
      <c r="BD51" s="297">
        <f t="shared" ca="1" si="60"/>
        <v>0.26575806860889561</v>
      </c>
      <c r="BE51" s="297">
        <f t="shared" ca="1" si="61"/>
        <v>0.26571002469645538</v>
      </c>
      <c r="BF51" s="297">
        <f t="shared" ca="1" si="62"/>
        <v>0.2589973552856536</v>
      </c>
      <c r="BG51" s="297">
        <f t="shared" ca="1" si="63"/>
        <v>0.20235740168900809</v>
      </c>
      <c r="BH51" s="298">
        <f t="shared" ca="1" si="64"/>
        <v>0</v>
      </c>
    </row>
    <row r="52" spans="1:60" ht="13.5" thickBot="1" x14ac:dyDescent="0.25">
      <c r="A52" s="302">
        <v>2035</v>
      </c>
      <c r="B52" s="823">
        <f t="shared" si="69"/>
        <v>100224.6</v>
      </c>
      <c r="C52" s="824">
        <f t="shared" si="69"/>
        <v>5059.7700000000004</v>
      </c>
      <c r="D52" s="824">
        <f t="shared" si="69"/>
        <v>5123.97</v>
      </c>
      <c r="E52" s="824">
        <f t="shared" si="69"/>
        <v>11173.01</v>
      </c>
      <c r="F52" s="824">
        <f t="shared" si="69"/>
        <v>22980.47</v>
      </c>
      <c r="G52" s="825">
        <f t="shared" si="69"/>
        <v>28002.81</v>
      </c>
      <c r="H52" s="781">
        <f t="shared" si="70"/>
        <v>1</v>
      </c>
      <c r="I52" s="782">
        <f t="shared" si="70"/>
        <v>1</v>
      </c>
      <c r="J52" s="782">
        <f t="shared" si="70"/>
        <v>1</v>
      </c>
      <c r="K52" s="782">
        <f t="shared" si="70"/>
        <v>1</v>
      </c>
      <c r="L52" s="782">
        <f t="shared" si="70"/>
        <v>0.82461860489524352</v>
      </c>
      <c r="M52" s="783">
        <f t="shared" si="70"/>
        <v>1</v>
      </c>
      <c r="N52" s="884">
        <f t="shared" si="32"/>
        <v>7680.6773019149832</v>
      </c>
      <c r="O52" s="779">
        <f t="shared" si="33"/>
        <v>6487.6013604694826</v>
      </c>
      <c r="P52" s="779">
        <f t="shared" si="34"/>
        <v>6120.9517722557839</v>
      </c>
      <c r="Q52" s="779">
        <f t="shared" si="35"/>
        <v>5436.2692755564758</v>
      </c>
      <c r="R52" s="779">
        <f t="shared" si="36"/>
        <v>5560.9157404403895</v>
      </c>
      <c r="S52" s="780">
        <f t="shared" si="37"/>
        <v>6828.8107662064476</v>
      </c>
      <c r="T52" s="737">
        <f t="shared" si="38"/>
        <v>1193.0759414455006</v>
      </c>
      <c r="U52" s="304">
        <f t="shared" si="39"/>
        <v>1559.7255296591993</v>
      </c>
      <c r="V52" s="304">
        <f t="shared" si="40"/>
        <v>2244.4080263585074</v>
      </c>
      <c r="W52" s="304">
        <f t="shared" si="41"/>
        <v>2119.7615614745937</v>
      </c>
      <c r="X52" s="305">
        <f t="shared" si="42"/>
        <v>851.86653570853559</v>
      </c>
      <c r="Y52" s="889">
        <f ca="1">IF(AND(Y$22=TRUE,INDEX(CDRANGE_CLS3,MATCH($A52,$A$24:$A$67,0),MATCH(Y$20,$B$20:$G$20,0))&lt;$D$6/OPDAYS_Cls3),86,payback(C52,T52,disc_rate/12,85))</f>
        <v>5</v>
      </c>
      <c r="Z52" s="890">
        <f ca="1">IF(AND(Z$22=TRUE,INDEX(CDRANGE_CLS3,MATCH($A52,$A$24:$A$67,0),MATCH(Z$20,$B$20:$G$20,0))&lt;$D$6/OPDAYS_Cls3),86,payback(D52,U52,disc_rate/12,85))</f>
        <v>4</v>
      </c>
      <c r="AA52" s="890">
        <f ca="1">IF(AND(AA$22=TRUE,INDEX(CDRANGE_CLS3,MATCH($A52,$A$24:$A$67,0),MATCH(AA$20,$B$20:$G$20,0))&lt;$D$6/OPDAYS_Cls3),86,payback(E52,V52,disc_rate/12,85))</f>
        <v>6</v>
      </c>
      <c r="AB52" s="890">
        <f ca="1">IF(AND(AB$22=TRUE,INDEX(CDRANGE_CLS3,MATCH($A52,$A$24:$A$67,0),MATCH(AB$20,$B$20:$G$20,0))&lt;$D$6/OPDAYS_Cls3),86,payback(F52,W52,disc_rate/12,85))</f>
        <v>12</v>
      </c>
      <c r="AC52" s="891">
        <f>IF(AND(AC$22=TRUE,INDEX(CDRANGE_CLS3,MATCH($A52,$A$24:$A$67,0),MATCH(AC$20,$B$20:$G$20,0))&lt;$D$6/OPDAYS_Cls3),86,payback(G52,X52,disc_rate/12,85))</f>
        <v>86</v>
      </c>
      <c r="AD52" s="310">
        <f t="shared" si="43"/>
        <v>0</v>
      </c>
      <c r="AE52" s="311">
        <f t="shared" si="44"/>
        <v>0</v>
      </c>
      <c r="AF52" s="311">
        <f t="shared" si="45"/>
        <v>0</v>
      </c>
      <c r="AG52" s="311">
        <f t="shared" si="46"/>
        <v>0</v>
      </c>
      <c r="AH52" s="312">
        <f t="shared" si="47"/>
        <v>0</v>
      </c>
      <c r="AI52" s="596">
        <f t="shared" si="48"/>
        <v>0.4999773010656488</v>
      </c>
      <c r="AJ52" s="314">
        <f t="shared" si="49"/>
        <v>0.4999773010656488</v>
      </c>
      <c r="AK52" s="314">
        <f t="shared" si="50"/>
        <v>0.4999773010656488</v>
      </c>
      <c r="AL52" s="314">
        <f t="shared" si="51"/>
        <v>0.4999773010656488</v>
      </c>
      <c r="AM52" s="599">
        <f t="shared" si="52"/>
        <v>0.42804071804417687</v>
      </c>
      <c r="AN52" s="313">
        <f t="shared" si="65"/>
        <v>0.99294537435345864</v>
      </c>
      <c r="AO52" s="314">
        <f t="shared" si="65"/>
        <v>0.99276586905801067</v>
      </c>
      <c r="AP52" s="314">
        <f t="shared" si="65"/>
        <v>0.96606760335003594</v>
      </c>
      <c r="AQ52" s="314">
        <f t="shared" si="65"/>
        <v>0.86412464128238686</v>
      </c>
      <c r="AR52" s="599">
        <f t="shared" si="65"/>
        <v>0.80505367762082769</v>
      </c>
      <c r="AS52" s="310">
        <f t="shared" ca="1" si="54"/>
        <v>0.99995460213129761</v>
      </c>
      <c r="AT52" s="311">
        <f t="shared" ca="1" si="55"/>
        <v>0.99995460213129761</v>
      </c>
      <c r="AU52" s="311">
        <f t="shared" ca="1" si="56"/>
        <v>0.99995460213129761</v>
      </c>
      <c r="AV52" s="311">
        <f t="shared" ca="1" si="57"/>
        <v>0.92079795421666033</v>
      </c>
      <c r="AW52" s="312">
        <f t="shared" si="58"/>
        <v>0</v>
      </c>
      <c r="AX52" s="310">
        <f t="shared" ca="1" si="59"/>
        <v>0.99290029674972513</v>
      </c>
      <c r="AY52" s="311">
        <f t="shared" ca="1" si="59"/>
        <v>0.99272079960343496</v>
      </c>
      <c r="AZ52" s="311">
        <f t="shared" ca="1" si="59"/>
        <v>0.96602374593982143</v>
      </c>
      <c r="BA52" s="311">
        <f t="shared" ca="1" si="59"/>
        <v>0.79568420188102729</v>
      </c>
      <c r="BB52" s="312">
        <f t="shared" si="59"/>
        <v>0</v>
      </c>
      <c r="BC52" s="310">
        <f t="shared" ca="1" si="66"/>
        <v>7.0997032502748691E-3</v>
      </c>
      <c r="BD52" s="311">
        <f t="shared" ca="1" si="60"/>
        <v>0.26308098052355444</v>
      </c>
      <c r="BE52" s="311">
        <f t="shared" ca="1" si="61"/>
        <v>0.26303342057679868</v>
      </c>
      <c r="BF52" s="311">
        <f t="shared" ca="1" si="62"/>
        <v>0.2559597122921855</v>
      </c>
      <c r="BG52" s="311">
        <f t="shared" ca="1" si="63"/>
        <v>0.21082618335718656</v>
      </c>
      <c r="BH52" s="312">
        <f t="shared" ca="1" si="64"/>
        <v>0</v>
      </c>
    </row>
    <row r="53" spans="1:60" x14ac:dyDescent="0.2">
      <c r="A53" s="316">
        <v>2036</v>
      </c>
      <c r="B53" s="826">
        <f t="shared" si="69"/>
        <v>100224.6</v>
      </c>
      <c r="C53" s="827">
        <f t="shared" si="69"/>
        <v>5059.7700000000004</v>
      </c>
      <c r="D53" s="827">
        <f t="shared" si="69"/>
        <v>5123.97</v>
      </c>
      <c r="E53" s="827">
        <f t="shared" si="69"/>
        <v>11472.42</v>
      </c>
      <c r="F53" s="827">
        <f t="shared" si="69"/>
        <v>22995.14</v>
      </c>
      <c r="G53" s="828">
        <f t="shared" si="69"/>
        <v>27642.7</v>
      </c>
      <c r="H53" s="781">
        <f t="shared" si="70"/>
        <v>1</v>
      </c>
      <c r="I53" s="782">
        <f t="shared" si="70"/>
        <v>1</v>
      </c>
      <c r="J53" s="782">
        <f t="shared" si="70"/>
        <v>1</v>
      </c>
      <c r="K53" s="782">
        <f t="shared" si="70"/>
        <v>1</v>
      </c>
      <c r="L53" s="782">
        <f t="shared" si="70"/>
        <v>0.82428969850961065</v>
      </c>
      <c r="M53" s="783">
        <f t="shared" si="70"/>
        <v>1</v>
      </c>
      <c r="N53" s="733">
        <f t="shared" si="32"/>
        <v>7758.5052629834254</v>
      </c>
      <c r="O53" s="276">
        <f t="shared" si="33"/>
        <v>6553.3399361526863</v>
      </c>
      <c r="P53" s="276">
        <f t="shared" si="34"/>
        <v>6182.9751039890634</v>
      </c>
      <c r="Q53" s="276">
        <f t="shared" si="35"/>
        <v>5491.3547500406194</v>
      </c>
      <c r="R53" s="276">
        <f t="shared" si="36"/>
        <v>5567.830878074873</v>
      </c>
      <c r="S53" s="278">
        <f t="shared" si="37"/>
        <v>6754.1152191192932</v>
      </c>
      <c r="T53" s="733">
        <f t="shared" si="38"/>
        <v>1205.1653268307391</v>
      </c>
      <c r="U53" s="276">
        <f t="shared" si="39"/>
        <v>1575.530158994362</v>
      </c>
      <c r="V53" s="276">
        <f t="shared" si="40"/>
        <v>2267.150512942806</v>
      </c>
      <c r="W53" s="276">
        <f t="shared" si="41"/>
        <v>2190.6743849085524</v>
      </c>
      <c r="X53" s="277">
        <f t="shared" si="42"/>
        <v>1004.3900438641322</v>
      </c>
      <c r="Y53" s="279">
        <f ca="1">IF(AND(Y$22=TRUE,INDEX(CDRANGE_CLS3,MATCH($A53,$A$24:$A$67,0),MATCH(Y$20,$B$20:$G$20,0))&lt;$D$6/OPDAYS_Cls3),86,payback(C53,T53,disc_rate/12,85))</f>
        <v>5</v>
      </c>
      <c r="Z53" s="280">
        <f ca="1">IF(AND(Z$22=TRUE,INDEX(CDRANGE_CLS3,MATCH($A53,$A$24:$A$67,0),MATCH(Z$20,$B$20:$G$20,0))&lt;$D$6/OPDAYS_Cls3),86,payback(D53,U53,disc_rate/12,85))</f>
        <v>4</v>
      </c>
      <c r="AA53" s="280">
        <f ca="1">IF(AND(AA$22=TRUE,INDEX(CDRANGE_CLS3,MATCH($A53,$A$24:$A$67,0),MATCH(AA$20,$B$20:$G$20,0))&lt;$D$6/OPDAYS_Cls3),86,payback(E53,V53,disc_rate/12,85))</f>
        <v>6</v>
      </c>
      <c r="AB53" s="280">
        <f ca="1">IF(AND(AB$22=TRUE,INDEX(CDRANGE_CLS3,MATCH($A53,$A$24:$A$67,0),MATCH(AB$20,$B$20:$G$20,0))&lt;$D$6/OPDAYS_Cls3),86,payback(F53,W53,disc_rate/12,85))</f>
        <v>11</v>
      </c>
      <c r="AC53" s="281">
        <f>IF(AND(AC$22=TRUE,INDEX(CDRANGE_CLS3,MATCH($A53,$A$24:$A$67,0),MATCH(AC$20,$B$20:$G$20,0))&lt;$D$6/OPDAYS_Cls3),86,payback(G53,X53,disc_rate/12,85))</f>
        <v>86</v>
      </c>
      <c r="AD53" s="282">
        <f t="shared" si="43"/>
        <v>0</v>
      </c>
      <c r="AE53" s="283">
        <f t="shared" si="44"/>
        <v>0</v>
      </c>
      <c r="AF53" s="283">
        <f t="shared" si="45"/>
        <v>0</v>
      </c>
      <c r="AG53" s="283">
        <f t="shared" si="46"/>
        <v>0</v>
      </c>
      <c r="AH53" s="284">
        <f t="shared" si="47"/>
        <v>0</v>
      </c>
      <c r="AI53" s="594">
        <f t="shared" si="48"/>
        <v>0.49999164928907602</v>
      </c>
      <c r="AJ53" s="286">
        <f t="shared" si="49"/>
        <v>0.49999164928907602</v>
      </c>
      <c r="AK53" s="286">
        <f t="shared" si="50"/>
        <v>0.49999164928907602</v>
      </c>
      <c r="AL53" s="286">
        <f t="shared" si="51"/>
        <v>0.49999164928907602</v>
      </c>
      <c r="AM53" s="611">
        <f t="shared" si="52"/>
        <v>0.44543405951518961</v>
      </c>
      <c r="AN53" s="285">
        <f t="shared" si="65"/>
        <v>0.99294537435345864</v>
      </c>
      <c r="AO53" s="286">
        <f t="shared" si="65"/>
        <v>0.99276586905801067</v>
      </c>
      <c r="AP53" s="286">
        <f t="shared" si="65"/>
        <v>0.96425794685830035</v>
      </c>
      <c r="AQ53" s="286">
        <f t="shared" si="65"/>
        <v>0.86396348681853929</v>
      </c>
      <c r="AR53" s="611">
        <f t="shared" si="65"/>
        <v>0.80952713005094257</v>
      </c>
      <c r="AS53" s="282">
        <f t="shared" ca="1" si="54"/>
        <v>0.99998329857815205</v>
      </c>
      <c r="AT53" s="283">
        <f t="shared" ca="1" si="55"/>
        <v>0.99998329857815205</v>
      </c>
      <c r="AU53" s="283">
        <f t="shared" ca="1" si="56"/>
        <v>0.99998329857815205</v>
      </c>
      <c r="AV53" s="283">
        <f t="shared" ca="1" si="57"/>
        <v>0.94231668786513867</v>
      </c>
      <c r="AW53" s="284">
        <f t="shared" si="58"/>
        <v>0</v>
      </c>
      <c r="AX53" s="282">
        <f t="shared" ca="1" si="59"/>
        <v>0.99292879075388962</v>
      </c>
      <c r="AY53" s="283">
        <f t="shared" ca="1" si="59"/>
        <v>0.99274928845643529</v>
      </c>
      <c r="AZ53" s="283">
        <f t="shared" ca="1" si="59"/>
        <v>0.96424184237955968</v>
      </c>
      <c r="BA53" s="283">
        <f t="shared" ca="1" si="59"/>
        <v>0.81412721133526234</v>
      </c>
      <c r="BB53" s="284">
        <f t="shared" si="59"/>
        <v>0</v>
      </c>
      <c r="BC53" s="282">
        <f t="shared" ca="1" si="66"/>
        <v>7.0712092461104881E-3</v>
      </c>
      <c r="BD53" s="283">
        <f t="shared" ca="1" si="60"/>
        <v>0.26192753403218011</v>
      </c>
      <c r="BE53" s="283">
        <f t="shared" ca="1" si="61"/>
        <v>0.26188018260621365</v>
      </c>
      <c r="BF53" s="283">
        <f t="shared" ca="1" si="62"/>
        <v>0.25436012162902916</v>
      </c>
      <c r="BG53" s="283">
        <f t="shared" ca="1" si="63"/>
        <v>0.21476095248646659</v>
      </c>
      <c r="BH53" s="284">
        <f t="shared" ca="1" si="64"/>
        <v>0</v>
      </c>
    </row>
    <row r="54" spans="1:60" x14ac:dyDescent="0.2">
      <c r="A54" s="317">
        <v>2037</v>
      </c>
      <c r="B54" s="820">
        <f t="shared" ref="B54:G67" si="71">ROUND(INDEX(COST_Cls3,$A54-($A$24-1),MATCH(B$20,TECHOPTS_Cls3,0)),2)</f>
        <v>100224.6</v>
      </c>
      <c r="C54" s="821">
        <f t="shared" si="71"/>
        <v>5059.7700000000004</v>
      </c>
      <c r="D54" s="821">
        <f t="shared" si="71"/>
        <v>5123.97</v>
      </c>
      <c r="E54" s="821">
        <f t="shared" si="71"/>
        <v>11472.42</v>
      </c>
      <c r="F54" s="821">
        <f t="shared" si="71"/>
        <v>23009.81</v>
      </c>
      <c r="G54" s="822">
        <f t="shared" si="71"/>
        <v>27282.6</v>
      </c>
      <c r="H54" s="781">
        <f t="shared" ref="H54:M67" si="72">IF(H$21="Single-fuel",1,1-MIN(INDEX(CDRANGE_CLS3,$A54-($A$24-1),MATCH(H$20,TECHOPTS_Cls3,0))*OPDAYS_Cls3/$D$6,1))</f>
        <v>1</v>
      </c>
      <c r="I54" s="782">
        <f t="shared" si="72"/>
        <v>1</v>
      </c>
      <c r="J54" s="782">
        <f t="shared" si="72"/>
        <v>1</v>
      </c>
      <c r="K54" s="782">
        <f t="shared" si="72"/>
        <v>1</v>
      </c>
      <c r="L54" s="782">
        <f t="shared" si="72"/>
        <v>0.82396079212397788</v>
      </c>
      <c r="M54" s="783">
        <f t="shared" si="72"/>
        <v>1</v>
      </c>
      <c r="N54" s="733">
        <f t="shared" si="32"/>
        <v>7810.6840486788215</v>
      </c>
      <c r="O54" s="276">
        <f t="shared" si="33"/>
        <v>6597.4135442159613</v>
      </c>
      <c r="P54" s="276">
        <f t="shared" si="34"/>
        <v>6224.5578730889647</v>
      </c>
      <c r="Q54" s="276">
        <f t="shared" si="35"/>
        <v>5528.2861192886157</v>
      </c>
      <c r="R54" s="276">
        <f t="shared" si="36"/>
        <v>5562.1982635242075</v>
      </c>
      <c r="S54" s="278">
        <f t="shared" si="37"/>
        <v>6692.9038668370158</v>
      </c>
      <c r="T54" s="734">
        <f t="shared" si="38"/>
        <v>1213.2705044628601</v>
      </c>
      <c r="U54" s="290">
        <f t="shared" si="39"/>
        <v>1586.1261755898568</v>
      </c>
      <c r="V54" s="290">
        <f t="shared" si="40"/>
        <v>2282.3979293902057</v>
      </c>
      <c r="W54" s="290">
        <f t="shared" si="41"/>
        <v>2248.4857851546139</v>
      </c>
      <c r="X54" s="291">
        <f t="shared" si="42"/>
        <v>1117.7801818418056</v>
      </c>
      <c r="Y54" s="279">
        <f ca="1">IF(AND(Y$22=TRUE,INDEX(CDRANGE_CLS3,MATCH($A54,$A$24:$A$67,0),MATCH(Y$20,$B$20:$G$20,0))&lt;$D$6/OPDAYS_Cls3),86,payback(C54,T54,disc_rate/12,85))</f>
        <v>5</v>
      </c>
      <c r="Z54" s="280">
        <f ca="1">IF(AND(Z$22=TRUE,INDEX(CDRANGE_CLS3,MATCH($A54,$A$24:$A$67,0),MATCH(Z$20,$B$20:$G$20,0))&lt;$D$6/OPDAYS_Cls3),86,payback(D54,U54,disc_rate/12,85))</f>
        <v>4</v>
      </c>
      <c r="AA54" s="280">
        <f ca="1">IF(AND(AA$22=TRUE,INDEX(CDRANGE_CLS3,MATCH($A54,$A$24:$A$67,0),MATCH(AA$20,$B$20:$G$20,0))&lt;$D$6/OPDAYS_Cls3),86,payback(E54,V54,disc_rate/12,85))</f>
        <v>6</v>
      </c>
      <c r="AB54" s="280">
        <f ca="1">IF(AND(AB$22=TRUE,INDEX(CDRANGE_CLS3,MATCH($A54,$A$24:$A$67,0),MATCH(AB$20,$B$20:$G$20,0))&lt;$D$6/OPDAYS_Cls3),86,payback(F54,W54,disc_rate/12,85))</f>
        <v>11</v>
      </c>
      <c r="AC54" s="281">
        <f>IF(AND(AC$22=TRUE,INDEX(CDRANGE_CLS3,MATCH($A54,$A$24:$A$67,0),MATCH(AC$20,$B$20:$G$20,0))&lt;$D$6/OPDAYS_Cls3),86,payback(G54,X54,disc_rate/12,85))</f>
        <v>86</v>
      </c>
      <c r="AD54" s="296">
        <f t="shared" si="43"/>
        <v>0</v>
      </c>
      <c r="AE54" s="297">
        <f t="shared" si="44"/>
        <v>0</v>
      </c>
      <c r="AF54" s="297">
        <f t="shared" si="45"/>
        <v>0</v>
      </c>
      <c r="AG54" s="297">
        <f t="shared" si="46"/>
        <v>0</v>
      </c>
      <c r="AH54" s="298">
        <f t="shared" si="47"/>
        <v>0</v>
      </c>
      <c r="AI54" s="595">
        <f t="shared" si="48"/>
        <v>0.4999969279126989</v>
      </c>
      <c r="AJ54" s="300">
        <f t="shared" si="49"/>
        <v>0.4999969279126989</v>
      </c>
      <c r="AK54" s="300">
        <f t="shared" si="50"/>
        <v>0.4999969279126989</v>
      </c>
      <c r="AL54" s="300">
        <f t="shared" si="51"/>
        <v>0.4999969279126989</v>
      </c>
      <c r="AM54" s="598">
        <f t="shared" si="52"/>
        <v>0.46586451718094984</v>
      </c>
      <c r="AN54" s="299">
        <f t="shared" si="65"/>
        <v>0.99294537435345864</v>
      </c>
      <c r="AO54" s="300">
        <f t="shared" si="65"/>
        <v>0.99276586905801067</v>
      </c>
      <c r="AP54" s="300">
        <f t="shared" si="65"/>
        <v>0.96425794685830035</v>
      </c>
      <c r="AQ54" s="300">
        <f t="shared" si="65"/>
        <v>0.86380225959483148</v>
      </c>
      <c r="AR54" s="598">
        <f t="shared" si="65"/>
        <v>0.81396693634352313</v>
      </c>
      <c r="AS54" s="296">
        <f t="shared" ca="1" si="54"/>
        <v>0.99999385582539779</v>
      </c>
      <c r="AT54" s="297">
        <f t="shared" ca="1" si="55"/>
        <v>0.99999385582539779</v>
      </c>
      <c r="AU54" s="297">
        <f t="shared" ca="1" si="56"/>
        <v>0.99999385582539779</v>
      </c>
      <c r="AV54" s="297">
        <f t="shared" ca="1" si="57"/>
        <v>0.94232663630154934</v>
      </c>
      <c r="AW54" s="298">
        <f t="shared" si="58"/>
        <v>0</v>
      </c>
      <c r="AX54" s="296">
        <f t="shared" ca="1" si="59"/>
        <v>0.99293927352370814</v>
      </c>
      <c r="AY54" s="297">
        <f t="shared" ca="1" si="59"/>
        <v>0.99275976933117205</v>
      </c>
      <c r="AZ54" s="297">
        <f t="shared" ca="1" si="59"/>
        <v>0.96425202228911333</v>
      </c>
      <c r="BA54" s="297">
        <f t="shared" ca="1" si="59"/>
        <v>0.81398387771367531</v>
      </c>
      <c r="BB54" s="298">
        <f t="shared" si="59"/>
        <v>0</v>
      </c>
      <c r="BC54" s="296">
        <f t="shared" ca="1" si="66"/>
        <v>7.0607264762918565E-3</v>
      </c>
      <c r="BD54" s="297">
        <f t="shared" ca="1" si="60"/>
        <v>0.26194087195281041</v>
      </c>
      <c r="BE54" s="297">
        <f t="shared" ca="1" si="61"/>
        <v>0.26189351811560618</v>
      </c>
      <c r="BF54" s="297">
        <f t="shared" ca="1" si="62"/>
        <v>0.25437307420053457</v>
      </c>
      <c r="BG54" s="297">
        <f t="shared" ca="1" si="63"/>
        <v>0.21473180925475699</v>
      </c>
      <c r="BH54" s="298">
        <f t="shared" ca="1" si="64"/>
        <v>0</v>
      </c>
    </row>
    <row r="55" spans="1:60" x14ac:dyDescent="0.2">
      <c r="A55" s="317">
        <v>2038</v>
      </c>
      <c r="B55" s="820">
        <f t="shared" si="71"/>
        <v>100224.6</v>
      </c>
      <c r="C55" s="821">
        <f t="shared" si="71"/>
        <v>5059.7700000000004</v>
      </c>
      <c r="D55" s="821">
        <f t="shared" si="71"/>
        <v>5123.97</v>
      </c>
      <c r="E55" s="821">
        <f t="shared" si="71"/>
        <v>11472.42</v>
      </c>
      <c r="F55" s="821">
        <f t="shared" si="71"/>
        <v>23024.48</v>
      </c>
      <c r="G55" s="822">
        <f t="shared" si="71"/>
        <v>26922.49</v>
      </c>
      <c r="H55" s="781">
        <f t="shared" si="72"/>
        <v>1</v>
      </c>
      <c r="I55" s="782">
        <f t="shared" si="72"/>
        <v>1</v>
      </c>
      <c r="J55" s="782">
        <f t="shared" si="72"/>
        <v>1</v>
      </c>
      <c r="K55" s="782">
        <f t="shared" si="72"/>
        <v>1</v>
      </c>
      <c r="L55" s="782">
        <f t="shared" si="72"/>
        <v>0.82363188573834512</v>
      </c>
      <c r="M55" s="783">
        <f t="shared" si="72"/>
        <v>1</v>
      </c>
      <c r="N55" s="733">
        <f t="shared" si="32"/>
        <v>7875.9650556812685</v>
      </c>
      <c r="O55" s="276">
        <f t="shared" si="33"/>
        <v>6652.5541435660089</v>
      </c>
      <c r="P55" s="276">
        <f t="shared" si="34"/>
        <v>6276.5821776911962</v>
      </c>
      <c r="Q55" s="276">
        <f t="shared" si="35"/>
        <v>5574.4910461062418</v>
      </c>
      <c r="R55" s="276">
        <f t="shared" si="36"/>
        <v>5561.1453502627492</v>
      </c>
      <c r="S55" s="278">
        <f t="shared" si="37"/>
        <v>6615.6598810145997</v>
      </c>
      <c r="T55" s="734">
        <f t="shared" si="38"/>
        <v>1223.4109121152596</v>
      </c>
      <c r="U55" s="290">
        <f t="shared" si="39"/>
        <v>1599.3828779900723</v>
      </c>
      <c r="V55" s="290">
        <f t="shared" si="40"/>
        <v>2301.4740095750267</v>
      </c>
      <c r="W55" s="290">
        <f t="shared" si="41"/>
        <v>2314.8197054185193</v>
      </c>
      <c r="X55" s="291">
        <f t="shared" si="42"/>
        <v>1260.3051746666688</v>
      </c>
      <c r="Y55" s="279">
        <f ca="1">IF(AND(Y$22=TRUE,INDEX(CDRANGE_CLS3,MATCH($A55,$A$24:$A$67,0),MATCH(Y$20,$B$20:$G$20,0))&lt;$D$6/OPDAYS_Cls3),86,payback(C55,T55,disc_rate/12,85))</f>
        <v>5</v>
      </c>
      <c r="Z55" s="280">
        <f ca="1">IF(AND(Z$22=TRUE,INDEX(CDRANGE_CLS3,MATCH($A55,$A$24:$A$67,0),MATCH(Z$20,$B$20:$G$20,0))&lt;$D$6/OPDAYS_Cls3),86,payback(D55,U55,disc_rate/12,85))</f>
        <v>4</v>
      </c>
      <c r="AA55" s="280">
        <f ca="1">IF(AND(AA$22=TRUE,INDEX(CDRANGE_CLS3,MATCH($A55,$A$24:$A$67,0),MATCH(AA$20,$B$20:$G$20,0))&lt;$D$6/OPDAYS_Cls3),86,payback(E55,V55,disc_rate/12,85))</f>
        <v>6</v>
      </c>
      <c r="AB55" s="280">
        <f ca="1">IF(AND(AB$22=TRUE,INDEX(CDRANGE_CLS3,MATCH($A55,$A$24:$A$67,0),MATCH(AB$20,$B$20:$G$20,0))&lt;$D$6/OPDAYS_Cls3),86,payback(F55,W55,disc_rate/12,85))</f>
        <v>11</v>
      </c>
      <c r="AC55" s="281">
        <f>IF(AND(AC$22=TRUE,INDEX(CDRANGE_CLS3,MATCH($A55,$A$24:$A$67,0),MATCH(AC$20,$B$20:$G$20,0))&lt;$D$6/OPDAYS_Cls3),86,payback(G55,X55,disc_rate/12,85))</f>
        <v>86</v>
      </c>
      <c r="AD55" s="296">
        <f t="shared" si="43"/>
        <v>0</v>
      </c>
      <c r="AE55" s="297">
        <f t="shared" si="44"/>
        <v>0</v>
      </c>
      <c r="AF55" s="297">
        <f t="shared" si="45"/>
        <v>0</v>
      </c>
      <c r="AG55" s="297">
        <f t="shared" si="46"/>
        <v>0</v>
      </c>
      <c r="AH55" s="298">
        <f t="shared" si="47"/>
        <v>0</v>
      </c>
      <c r="AI55" s="595">
        <f t="shared" si="48"/>
        <v>0.49999886983785102</v>
      </c>
      <c r="AJ55" s="300">
        <f t="shared" si="49"/>
        <v>0.49999886983785102</v>
      </c>
      <c r="AK55" s="300">
        <f t="shared" si="50"/>
        <v>0.49999886983785102</v>
      </c>
      <c r="AL55" s="300">
        <f t="shared" si="51"/>
        <v>0.49999886983785102</v>
      </c>
      <c r="AM55" s="598">
        <f t="shared" si="52"/>
        <v>0.47598460365350959</v>
      </c>
      <c r="AN55" s="299">
        <f t="shared" si="65"/>
        <v>0.99294537435345864</v>
      </c>
      <c r="AO55" s="300">
        <f t="shared" si="65"/>
        <v>0.99276586905801067</v>
      </c>
      <c r="AP55" s="300">
        <f t="shared" si="65"/>
        <v>0.96425794685830035</v>
      </c>
      <c r="AQ55" s="300">
        <f t="shared" si="65"/>
        <v>0.8636409596632183</v>
      </c>
      <c r="AR55" s="598">
        <f t="shared" si="65"/>
        <v>0.8183725206430188</v>
      </c>
      <c r="AS55" s="296">
        <f t="shared" ca="1" si="54"/>
        <v>0.99999773967570205</v>
      </c>
      <c r="AT55" s="297">
        <f t="shared" ca="1" si="55"/>
        <v>0.99999773967570205</v>
      </c>
      <c r="AU55" s="297">
        <f t="shared" ca="1" si="56"/>
        <v>0.99999773967570205</v>
      </c>
      <c r="AV55" s="297">
        <f t="shared" ca="1" si="57"/>
        <v>0.94233029617962938</v>
      </c>
      <c r="AW55" s="298">
        <f t="shared" si="58"/>
        <v>0</v>
      </c>
      <c r="AX55" s="296">
        <f t="shared" ca="1" si="59"/>
        <v>0.99294312997490242</v>
      </c>
      <c r="AY55" s="297">
        <f t="shared" ca="1" si="59"/>
        <v>0.99276362508519467</v>
      </c>
      <c r="AZ55" s="297">
        <f t="shared" ca="1" si="59"/>
        <v>0.96425576732263363</v>
      </c>
      <c r="BA55" s="297">
        <f t="shared" ca="1" si="59"/>
        <v>0.81383504131229989</v>
      </c>
      <c r="BB55" s="298">
        <f t="shared" si="59"/>
        <v>0</v>
      </c>
      <c r="BC55" s="296">
        <f t="shared" ca="1" si="66"/>
        <v>7.0568700250975835E-3</v>
      </c>
      <c r="BD55" s="297">
        <f t="shared" ca="1" si="60"/>
        <v>0.26195246760201252</v>
      </c>
      <c r="BE55" s="297">
        <f t="shared" ca="1" si="61"/>
        <v>0.26190511166853947</v>
      </c>
      <c r="BF55" s="297">
        <f t="shared" ca="1" si="62"/>
        <v>0.25438433483700146</v>
      </c>
      <c r="BG55" s="297">
        <f t="shared" ca="1" si="63"/>
        <v>0.21470121586734903</v>
      </c>
      <c r="BH55" s="298">
        <f t="shared" ca="1" si="64"/>
        <v>0</v>
      </c>
    </row>
    <row r="56" spans="1:60" x14ac:dyDescent="0.2">
      <c r="A56" s="317">
        <v>2039</v>
      </c>
      <c r="B56" s="820">
        <f t="shared" si="71"/>
        <v>100224.6</v>
      </c>
      <c r="C56" s="821">
        <f t="shared" si="71"/>
        <v>5059.7700000000004</v>
      </c>
      <c r="D56" s="821">
        <f t="shared" si="71"/>
        <v>5123.97</v>
      </c>
      <c r="E56" s="821">
        <f t="shared" si="71"/>
        <v>11472.42</v>
      </c>
      <c r="F56" s="821">
        <f t="shared" si="71"/>
        <v>23039.14</v>
      </c>
      <c r="G56" s="822">
        <f t="shared" si="71"/>
        <v>26562.39</v>
      </c>
      <c r="H56" s="781">
        <f t="shared" si="72"/>
        <v>1</v>
      </c>
      <c r="I56" s="782">
        <f t="shared" si="72"/>
        <v>1</v>
      </c>
      <c r="J56" s="782">
        <f t="shared" si="72"/>
        <v>1</v>
      </c>
      <c r="K56" s="782">
        <f t="shared" si="72"/>
        <v>1</v>
      </c>
      <c r="L56" s="782">
        <f t="shared" si="72"/>
        <v>0.82330297935271224</v>
      </c>
      <c r="M56" s="783">
        <f t="shared" si="72"/>
        <v>1</v>
      </c>
      <c r="N56" s="733">
        <f t="shared" si="32"/>
        <v>7942.6516693564454</v>
      </c>
      <c r="O56" s="276">
        <f t="shared" si="33"/>
        <v>6708.8820100545954</v>
      </c>
      <c r="P56" s="276">
        <f t="shared" si="34"/>
        <v>6329.7266505177058</v>
      </c>
      <c r="Q56" s="276">
        <f t="shared" si="35"/>
        <v>5621.6908404424639</v>
      </c>
      <c r="R56" s="276">
        <f t="shared" si="36"/>
        <v>5549.1800065585248</v>
      </c>
      <c r="S56" s="278">
        <f t="shared" si="37"/>
        <v>6470.5934029623177</v>
      </c>
      <c r="T56" s="734">
        <f t="shared" si="38"/>
        <v>1233.76965930185</v>
      </c>
      <c r="U56" s="290">
        <f t="shared" si="39"/>
        <v>1612.9250188387396</v>
      </c>
      <c r="V56" s="290">
        <f t="shared" si="40"/>
        <v>2320.9608289139815</v>
      </c>
      <c r="W56" s="290">
        <f t="shared" si="41"/>
        <v>2393.4716627979205</v>
      </c>
      <c r="X56" s="291">
        <f t="shared" si="42"/>
        <v>1472.0582663941277</v>
      </c>
      <c r="Y56" s="279">
        <f ca="1">IF(AND(Y$22=TRUE,INDEX(CDRANGE_CLS3,MATCH($A56,$A$24:$A$67,0),MATCH(Y$20,$B$20:$G$20,0))&lt;$D$6/OPDAYS_Cls3),86,payback(C56,T56,disc_rate/12,85))</f>
        <v>5</v>
      </c>
      <c r="Z56" s="280">
        <f ca="1">IF(AND(Z$22=TRUE,INDEX(CDRANGE_CLS3,MATCH($A56,$A$24:$A$67,0),MATCH(Z$20,$B$20:$G$20,0))&lt;$D$6/OPDAYS_Cls3),86,payback(D56,U56,disc_rate/12,85))</f>
        <v>4</v>
      </c>
      <c r="AA56" s="280">
        <f ca="1">IF(AND(AA$22=TRUE,INDEX(CDRANGE_CLS3,MATCH($A56,$A$24:$A$67,0),MATCH(AA$20,$B$20:$G$20,0))&lt;$D$6/OPDAYS_Cls3),86,payback(E56,V56,disc_rate/12,85))</f>
        <v>6</v>
      </c>
      <c r="AB56" s="280">
        <f ca="1">IF(AND(AB$22=TRUE,INDEX(CDRANGE_CLS3,MATCH($A56,$A$24:$A$67,0),MATCH(AB$20,$B$20:$G$20,0))&lt;$D$6/OPDAYS_Cls3),86,payback(F56,W56,disc_rate/12,85))</f>
        <v>10</v>
      </c>
      <c r="AC56" s="281">
        <f>IF(AND(AC$22=TRUE,INDEX(CDRANGE_CLS3,MATCH($A56,$A$24:$A$67,0),MATCH(AC$20,$B$20:$G$20,0))&lt;$D$6/OPDAYS_Cls3),86,payback(G56,X56,disc_rate/12,85))</f>
        <v>86</v>
      </c>
      <c r="AD56" s="296">
        <f t="shared" si="43"/>
        <v>0</v>
      </c>
      <c r="AE56" s="297">
        <f t="shared" si="44"/>
        <v>0</v>
      </c>
      <c r="AF56" s="297">
        <f t="shared" si="45"/>
        <v>0</v>
      </c>
      <c r="AG56" s="297">
        <f t="shared" si="46"/>
        <v>0</v>
      </c>
      <c r="AH56" s="298">
        <f t="shared" si="47"/>
        <v>0</v>
      </c>
      <c r="AI56" s="595">
        <f t="shared" si="48"/>
        <v>0.49999958423598612</v>
      </c>
      <c r="AJ56" s="300">
        <f t="shared" si="49"/>
        <v>0.49999958423598612</v>
      </c>
      <c r="AK56" s="300">
        <f t="shared" si="50"/>
        <v>0.49999958423598612</v>
      </c>
      <c r="AL56" s="300">
        <f t="shared" si="51"/>
        <v>0.49999958423598612</v>
      </c>
      <c r="AM56" s="598">
        <f t="shared" si="52"/>
        <v>0.48366005780379517</v>
      </c>
      <c r="AN56" s="299">
        <f t="shared" si="65"/>
        <v>0.99294537435345864</v>
      </c>
      <c r="AO56" s="300">
        <f t="shared" si="65"/>
        <v>0.99276586905801067</v>
      </c>
      <c r="AP56" s="300">
        <f t="shared" si="65"/>
        <v>0.96425794685830035</v>
      </c>
      <c r="AQ56" s="300">
        <f t="shared" si="65"/>
        <v>0.8634796971021691</v>
      </c>
      <c r="AR56" s="598">
        <f t="shared" si="65"/>
        <v>0.82274281878543787</v>
      </c>
      <c r="AS56" s="296">
        <f t="shared" ca="1" si="54"/>
        <v>0.99999916847197223</v>
      </c>
      <c r="AT56" s="297">
        <f t="shared" ca="1" si="55"/>
        <v>0.99999916847197223</v>
      </c>
      <c r="AU56" s="297">
        <f t="shared" ca="1" si="56"/>
        <v>0.99999916847197223</v>
      </c>
      <c r="AV56" s="297">
        <f t="shared" ca="1" si="57"/>
        <v>0.96102969280404571</v>
      </c>
      <c r="AW56" s="298">
        <f t="shared" si="58"/>
        <v>0</v>
      </c>
      <c r="AX56" s="296">
        <f t="shared" ca="1" si="59"/>
        <v>0.9929445486915498</v>
      </c>
      <c r="AY56" s="297">
        <f t="shared" ca="1" si="59"/>
        <v>0.99276504354536554</v>
      </c>
      <c r="AZ56" s="297">
        <f t="shared" ca="1" si="59"/>
        <v>0.96425714505079152</v>
      </c>
      <c r="BA56" s="297">
        <f t="shared" ca="1" si="59"/>
        <v>0.82982962804862803</v>
      </c>
      <c r="BB56" s="298">
        <f t="shared" si="59"/>
        <v>0</v>
      </c>
      <c r="BC56" s="296">
        <f t="shared" ca="1" si="66"/>
        <v>7.0554513084502002E-3</v>
      </c>
      <c r="BD56" s="297">
        <f t="shared" ca="1" si="60"/>
        <v>0.26084444279011693</v>
      </c>
      <c r="BE56" s="297">
        <f t="shared" ca="1" si="61"/>
        <v>0.26079728716607314</v>
      </c>
      <c r="BF56" s="297">
        <f t="shared" ca="1" si="62"/>
        <v>0.25330832224075756</v>
      </c>
      <c r="BG56" s="297">
        <f t="shared" ca="1" si="63"/>
        <v>0.21799449649460217</v>
      </c>
      <c r="BH56" s="298">
        <f t="shared" ca="1" si="64"/>
        <v>0</v>
      </c>
    </row>
    <row r="57" spans="1:60" ht="13.5" thickBot="1" x14ac:dyDescent="0.25">
      <c r="A57" s="618">
        <v>2040</v>
      </c>
      <c r="B57" s="814">
        <f t="shared" si="71"/>
        <v>100224.6</v>
      </c>
      <c r="C57" s="815">
        <f t="shared" si="71"/>
        <v>5059.7700000000004</v>
      </c>
      <c r="D57" s="815">
        <f t="shared" si="71"/>
        <v>5123.97</v>
      </c>
      <c r="E57" s="815">
        <f t="shared" si="71"/>
        <v>11472.42</v>
      </c>
      <c r="F57" s="815">
        <f t="shared" si="71"/>
        <v>23053.81</v>
      </c>
      <c r="G57" s="816">
        <f t="shared" si="71"/>
        <v>26202.28</v>
      </c>
      <c r="H57" s="781">
        <f t="shared" si="72"/>
        <v>1</v>
      </c>
      <c r="I57" s="782">
        <f t="shared" si="72"/>
        <v>1</v>
      </c>
      <c r="J57" s="782">
        <f t="shared" si="72"/>
        <v>1</v>
      </c>
      <c r="K57" s="782">
        <f t="shared" si="72"/>
        <v>1</v>
      </c>
      <c r="L57" s="782">
        <f t="shared" si="72"/>
        <v>0.82297407296707947</v>
      </c>
      <c r="M57" s="783">
        <f t="shared" si="72"/>
        <v>1</v>
      </c>
      <c r="N57" s="883">
        <f t="shared" si="32"/>
        <v>7941.5810771638562</v>
      </c>
      <c r="O57" s="776">
        <f t="shared" si="33"/>
        <v>6707.9777180120927</v>
      </c>
      <c r="P57" s="776">
        <f t="shared" si="34"/>
        <v>6328.8734649298976</v>
      </c>
      <c r="Q57" s="776">
        <f t="shared" si="35"/>
        <v>5620.9330911953002</v>
      </c>
      <c r="R57" s="776">
        <f t="shared" si="36"/>
        <v>5484.0672109370844</v>
      </c>
      <c r="S57" s="777">
        <f t="shared" si="37"/>
        <v>6236.3266373794122</v>
      </c>
      <c r="T57" s="735">
        <f t="shared" si="38"/>
        <v>1233.6033591517635</v>
      </c>
      <c r="U57" s="619">
        <f t="shared" si="39"/>
        <v>1612.7076122339586</v>
      </c>
      <c r="V57" s="619">
        <f t="shared" si="40"/>
        <v>2320.647985968556</v>
      </c>
      <c r="W57" s="619">
        <f t="shared" si="41"/>
        <v>2457.5138662267718</v>
      </c>
      <c r="X57" s="620">
        <f t="shared" si="42"/>
        <v>1705.254439784444</v>
      </c>
      <c r="Y57" s="723">
        <f ca="1">IF(AND(Y$22=TRUE,INDEX(CDRANGE_CLS3,MATCH($A57,$A$24:$A$67,0),MATCH(Y$20,$B$20:$G$20,0))&lt;$D$6/OPDAYS_Cls3),86,payback(C57,T57,disc_rate/12,85))</f>
        <v>5</v>
      </c>
      <c r="Z57" s="724">
        <f ca="1">IF(AND(Z$22=TRUE,INDEX(CDRANGE_CLS3,MATCH($A57,$A$24:$A$67,0),MATCH(Z$20,$B$20:$G$20,0))&lt;$D$6/OPDAYS_Cls3),86,payback(D57,U57,disc_rate/12,85))</f>
        <v>4</v>
      </c>
      <c r="AA57" s="724">
        <f ca="1">IF(AND(AA$22=TRUE,INDEX(CDRANGE_CLS3,MATCH($A57,$A$24:$A$67,0),MATCH(AA$20,$B$20:$G$20,0))&lt;$D$6/OPDAYS_Cls3),86,payback(E57,V57,disc_rate/12,85))</f>
        <v>6</v>
      </c>
      <c r="AB57" s="724">
        <f ca="1">IF(AND(AB$22=TRUE,INDEX(CDRANGE_CLS3,MATCH($A57,$A$24:$A$67,0),MATCH(AB$20,$B$20:$G$20,0))&lt;$D$6/OPDAYS_Cls3),86,payback(F57,W57,disc_rate/12,85))</f>
        <v>10</v>
      </c>
      <c r="AC57" s="892">
        <f>IF(AND(AC$22=TRUE,INDEX(CDRANGE_CLS3,MATCH($A57,$A$24:$A$67,0),MATCH(AC$20,$B$20:$G$20,0))&lt;$D$6/OPDAYS_Cls3),86,payback(G57,X57,disc_rate/12,85))</f>
        <v>86</v>
      </c>
      <c r="AD57" s="624">
        <f t="shared" si="43"/>
        <v>0</v>
      </c>
      <c r="AE57" s="625">
        <f t="shared" si="44"/>
        <v>0</v>
      </c>
      <c r="AF57" s="625">
        <f t="shared" si="45"/>
        <v>0</v>
      </c>
      <c r="AG57" s="625">
        <f t="shared" si="46"/>
        <v>0</v>
      </c>
      <c r="AH57" s="626">
        <f t="shared" si="47"/>
        <v>0</v>
      </c>
      <c r="AI57" s="627">
        <f t="shared" si="48"/>
        <v>0.4999998470488865</v>
      </c>
      <c r="AJ57" s="628">
        <f t="shared" si="49"/>
        <v>0.4999998470488865</v>
      </c>
      <c r="AK57" s="628">
        <f t="shared" si="50"/>
        <v>0.4999998470488865</v>
      </c>
      <c r="AL57" s="628">
        <f t="shared" si="51"/>
        <v>0.4999998470488865</v>
      </c>
      <c r="AM57" s="629">
        <f t="shared" si="52"/>
        <v>0.49142580877151454</v>
      </c>
      <c r="AN57" s="630">
        <f t="shared" si="65"/>
        <v>0.99294537435345864</v>
      </c>
      <c r="AO57" s="628">
        <f t="shared" si="65"/>
        <v>0.99276586905801067</v>
      </c>
      <c r="AP57" s="628">
        <f t="shared" si="65"/>
        <v>0.96425794685830035</v>
      </c>
      <c r="AQ57" s="628">
        <f t="shared" si="65"/>
        <v>0.86331825196014744</v>
      </c>
      <c r="AR57" s="629">
        <f t="shared" si="65"/>
        <v>0.82707725716340019</v>
      </c>
      <c r="AS57" s="624">
        <f t="shared" ca="1" si="54"/>
        <v>0.99999969409777301</v>
      </c>
      <c r="AT57" s="625">
        <f t="shared" ca="1" si="55"/>
        <v>0.99999969409777301</v>
      </c>
      <c r="AU57" s="625">
        <f t="shared" ca="1" si="56"/>
        <v>0.99999969409777301</v>
      </c>
      <c r="AV57" s="625">
        <f t="shared" ca="1" si="57"/>
        <v>0.9610301979464676</v>
      </c>
      <c r="AW57" s="626">
        <f t="shared" si="58"/>
        <v>0</v>
      </c>
      <c r="AX57" s="624">
        <f t="shared" ca="1" si="59"/>
        <v>0.9929450706092573</v>
      </c>
      <c r="AY57" s="625">
        <f t="shared" ca="1" si="59"/>
        <v>0.9927655653687204</v>
      </c>
      <c r="AZ57" s="625">
        <f t="shared" ca="1" si="59"/>
        <v>0.96425765188964696</v>
      </c>
      <c r="BA57" s="625">
        <f t="shared" ca="1" si="59"/>
        <v>0.82967491057205889</v>
      </c>
      <c r="BB57" s="626">
        <f t="shared" si="59"/>
        <v>0</v>
      </c>
      <c r="BC57" s="624">
        <f t="shared" ca="1" si="66"/>
        <v>7.0549293907428146E-3</v>
      </c>
      <c r="BD57" s="625">
        <f t="shared" ca="1" si="60"/>
        <v>0.2608552875187371</v>
      </c>
      <c r="BE57" s="625">
        <f t="shared" ca="1" si="61"/>
        <v>0.26080812993417646</v>
      </c>
      <c r="BF57" s="625">
        <f t="shared" ca="1" si="62"/>
        <v>0.25331885365167267</v>
      </c>
      <c r="BG57" s="625">
        <f t="shared" ca="1" si="63"/>
        <v>0.21796279950467101</v>
      </c>
      <c r="BH57" s="626">
        <f t="shared" ca="1" si="64"/>
        <v>0</v>
      </c>
    </row>
    <row r="58" spans="1:60" x14ac:dyDescent="0.2">
      <c r="A58" s="318">
        <v>2041</v>
      </c>
      <c r="B58" s="817">
        <f t="shared" si="71"/>
        <v>100224.6</v>
      </c>
      <c r="C58" s="818">
        <f t="shared" si="71"/>
        <v>5059.7700000000004</v>
      </c>
      <c r="D58" s="818">
        <f t="shared" si="71"/>
        <v>5123.97</v>
      </c>
      <c r="E58" s="818">
        <f t="shared" si="71"/>
        <v>11472.42</v>
      </c>
      <c r="F58" s="818">
        <f t="shared" si="71"/>
        <v>23068.48</v>
      </c>
      <c r="G58" s="819">
        <f t="shared" si="71"/>
        <v>25842.17</v>
      </c>
      <c r="H58" s="781">
        <f t="shared" si="72"/>
        <v>1</v>
      </c>
      <c r="I58" s="782">
        <f t="shared" si="72"/>
        <v>1</v>
      </c>
      <c r="J58" s="782">
        <f t="shared" si="72"/>
        <v>1</v>
      </c>
      <c r="K58" s="782">
        <f t="shared" si="72"/>
        <v>1</v>
      </c>
      <c r="L58" s="782">
        <f t="shared" si="72"/>
        <v>0.8226451665814466</v>
      </c>
      <c r="M58" s="783">
        <f t="shared" si="72"/>
        <v>1</v>
      </c>
      <c r="N58" s="736">
        <f t="shared" si="32"/>
        <v>7990.765526041313</v>
      </c>
      <c r="O58" s="632">
        <f t="shared" si="33"/>
        <v>6749.5221137611215</v>
      </c>
      <c r="P58" s="632">
        <f t="shared" si="34"/>
        <v>6368.0699612400385</v>
      </c>
      <c r="Q58" s="632">
        <f t="shared" si="35"/>
        <v>5655.7451133331178</v>
      </c>
      <c r="R58" s="632">
        <f t="shared" si="36"/>
        <v>5428.6272049106428</v>
      </c>
      <c r="S58" s="745">
        <f t="shared" si="37"/>
        <v>5894.5491354789219</v>
      </c>
      <c r="T58" s="736">
        <f t="shared" si="38"/>
        <v>1241.2434122801915</v>
      </c>
      <c r="U58" s="632">
        <f t="shared" si="39"/>
        <v>1622.6955648012745</v>
      </c>
      <c r="V58" s="632">
        <f t="shared" si="40"/>
        <v>2335.0204127081952</v>
      </c>
      <c r="W58" s="632">
        <f t="shared" si="41"/>
        <v>2562.1383211306702</v>
      </c>
      <c r="X58" s="633">
        <f t="shared" si="42"/>
        <v>2096.2163905623911</v>
      </c>
      <c r="Y58" s="634">
        <f ca="1">IF(AND(Y$22=TRUE,INDEX(CDRANGE_CLS3,MATCH($A58,$A$24:$A$67,0),MATCH(Y$20,$B$20:$G$20,0))&lt;$D$6/OPDAYS_Cls3),86,payback(C58,T58,disc_rate/12,85))</f>
        <v>5</v>
      </c>
      <c r="Z58" s="635">
        <f ca="1">IF(AND(Z$22=TRUE,INDEX(CDRANGE_CLS3,MATCH($A58,$A$24:$A$67,0),MATCH(Z$20,$B$20:$G$20,0))&lt;$D$6/OPDAYS_Cls3),86,payback(D58,U58,disc_rate/12,85))</f>
        <v>4</v>
      </c>
      <c r="AA58" s="635">
        <f ca="1">IF(AND(AA$22=TRUE,INDEX(CDRANGE_CLS3,MATCH($A58,$A$24:$A$67,0),MATCH(AA$20,$B$20:$G$20,0))&lt;$D$6/OPDAYS_Cls3),86,payback(E58,V58,disc_rate/12,85))</f>
        <v>6</v>
      </c>
      <c r="AB58" s="635">
        <f ca="1">IF(AND(AB$22=TRUE,INDEX(CDRANGE_CLS3,MATCH($A58,$A$24:$A$67,0),MATCH(AB$20,$B$20:$G$20,0))&lt;$D$6/OPDAYS_Cls3),86,payback(F58,W58,disc_rate/12,85))</f>
        <v>10</v>
      </c>
      <c r="AC58" s="893">
        <f>IF(AND(AC$22=TRUE,INDEX(CDRANGE_CLS3,MATCH($A58,$A$24:$A$67,0),MATCH(AC$20,$B$20:$G$20,0))&lt;$D$6/OPDAYS_Cls3),86,payback(G58,X58,disc_rate/12,85))</f>
        <v>86</v>
      </c>
      <c r="AD58" s="637">
        <f t="shared" si="43"/>
        <v>0</v>
      </c>
      <c r="AE58" s="638">
        <f t="shared" si="44"/>
        <v>0</v>
      </c>
      <c r="AF58" s="638">
        <f t="shared" si="45"/>
        <v>0</v>
      </c>
      <c r="AG58" s="638">
        <f t="shared" si="46"/>
        <v>0</v>
      </c>
      <c r="AH58" s="639">
        <f t="shared" si="47"/>
        <v>0</v>
      </c>
      <c r="AI58" s="640">
        <f t="shared" si="48"/>
        <v>0.49999994373241896</v>
      </c>
      <c r="AJ58" s="641">
        <f t="shared" si="49"/>
        <v>0.49999994373241896</v>
      </c>
      <c r="AK58" s="641">
        <f t="shared" si="50"/>
        <v>0.49999994373241896</v>
      </c>
      <c r="AL58" s="641">
        <f t="shared" si="51"/>
        <v>0.49999994373241896</v>
      </c>
      <c r="AM58" s="642">
        <f t="shared" si="52"/>
        <v>0.4946830490538891</v>
      </c>
      <c r="AN58" s="643">
        <f t="shared" si="65"/>
        <v>0.99294537435345864</v>
      </c>
      <c r="AO58" s="641">
        <f t="shared" si="65"/>
        <v>0.99276586905801067</v>
      </c>
      <c r="AP58" s="641">
        <f t="shared" si="65"/>
        <v>0.96425794685830035</v>
      </c>
      <c r="AQ58" s="641">
        <f t="shared" si="65"/>
        <v>0.86315673426614614</v>
      </c>
      <c r="AR58" s="642">
        <f t="shared" si="65"/>
        <v>0.83137490100019595</v>
      </c>
      <c r="AS58" s="637">
        <f t="shared" ca="1" si="54"/>
        <v>0.99999988746483792</v>
      </c>
      <c r="AT58" s="638">
        <f t="shared" ca="1" si="55"/>
        <v>0.99999988746483792</v>
      </c>
      <c r="AU58" s="638">
        <f t="shared" ca="1" si="56"/>
        <v>0.99999988746483792</v>
      </c>
      <c r="AV58" s="638">
        <f t="shared" ca="1" si="57"/>
        <v>0.96103038377811312</v>
      </c>
      <c r="AW58" s="639">
        <f t="shared" si="58"/>
        <v>0</v>
      </c>
      <c r="AX58" s="637">
        <f t="shared" ca="1" si="59"/>
        <v>0.99294526261218996</v>
      </c>
      <c r="AY58" s="638">
        <f t="shared" ca="1" si="59"/>
        <v>0.99276575733694272</v>
      </c>
      <c r="AZ58" s="638">
        <f t="shared" ca="1" si="59"/>
        <v>0.96425783834537604</v>
      </c>
      <c r="BA58" s="638">
        <f t="shared" ca="1" si="59"/>
        <v>0.82951984759245723</v>
      </c>
      <c r="BB58" s="639">
        <f t="shared" si="59"/>
        <v>0</v>
      </c>
      <c r="BC58" s="637">
        <f t="shared" ca="1" si="66"/>
        <v>7.0547373878100395E-3</v>
      </c>
      <c r="BD58" s="638">
        <f t="shared" ca="1" si="60"/>
        <v>0.26086605127521123</v>
      </c>
      <c r="BE58" s="638">
        <f t="shared" ca="1" si="61"/>
        <v>0.2608188917447718</v>
      </c>
      <c r="BF58" s="638">
        <f t="shared" ca="1" si="62"/>
        <v>0.25332930642982765</v>
      </c>
      <c r="BG58" s="638">
        <f t="shared" ca="1" si="63"/>
        <v>0.21793101316237928</v>
      </c>
      <c r="BH58" s="639">
        <f t="shared" ca="1" si="64"/>
        <v>0</v>
      </c>
    </row>
    <row r="59" spans="1:60" x14ac:dyDescent="0.2">
      <c r="A59" s="317">
        <v>2042</v>
      </c>
      <c r="B59" s="820">
        <f t="shared" si="71"/>
        <v>100224.6</v>
      </c>
      <c r="C59" s="821">
        <f t="shared" si="71"/>
        <v>5059.7700000000004</v>
      </c>
      <c r="D59" s="821">
        <f t="shared" si="71"/>
        <v>5123.97</v>
      </c>
      <c r="E59" s="821">
        <f t="shared" si="71"/>
        <v>11472.42</v>
      </c>
      <c r="F59" s="821">
        <f t="shared" si="71"/>
        <v>23083.15</v>
      </c>
      <c r="G59" s="822">
        <f t="shared" si="71"/>
        <v>25482.07</v>
      </c>
      <c r="H59" s="781">
        <f t="shared" si="72"/>
        <v>1</v>
      </c>
      <c r="I59" s="782">
        <f t="shared" si="72"/>
        <v>1</v>
      </c>
      <c r="J59" s="782">
        <f t="shared" si="72"/>
        <v>1</v>
      </c>
      <c r="K59" s="782">
        <f t="shared" si="72"/>
        <v>1</v>
      </c>
      <c r="L59" s="782">
        <f t="shared" si="72"/>
        <v>0.82231626019581383</v>
      </c>
      <c r="M59" s="783">
        <f t="shared" si="72"/>
        <v>1</v>
      </c>
      <c r="N59" s="733">
        <f t="shared" si="32"/>
        <v>8105.9154559249791</v>
      </c>
      <c r="O59" s="276">
        <f t="shared" si="33"/>
        <v>6846.7852602788089</v>
      </c>
      <c r="P59" s="276">
        <f t="shared" si="34"/>
        <v>6459.836239094313</v>
      </c>
      <c r="Q59" s="276">
        <f t="shared" si="35"/>
        <v>5737.2465228185793</v>
      </c>
      <c r="R59" s="276">
        <f t="shared" si="36"/>
        <v>5389.4727105203428</v>
      </c>
      <c r="S59" s="278">
        <f t="shared" si="37"/>
        <v>5436.8517235453919</v>
      </c>
      <c r="T59" s="734">
        <f t="shared" si="38"/>
        <v>1259.1301956461703</v>
      </c>
      <c r="U59" s="290">
        <f t="shared" si="39"/>
        <v>1646.0792168306662</v>
      </c>
      <c r="V59" s="290">
        <f t="shared" si="40"/>
        <v>2368.6689331063999</v>
      </c>
      <c r="W59" s="290">
        <f t="shared" si="41"/>
        <v>2716.4427454046363</v>
      </c>
      <c r="X59" s="291">
        <f t="shared" si="42"/>
        <v>2669.0637323795872</v>
      </c>
      <c r="Y59" s="279">
        <f ca="1">IF(AND(Y$22=TRUE,INDEX(CDRANGE_CLS3,MATCH($A59,$A$24:$A$67,0),MATCH(Y$20,$B$20:$G$20,0))&lt;$D$6/OPDAYS_Cls3),86,payback(C59,T59,disc_rate/12,85))</f>
        <v>5</v>
      </c>
      <c r="Z59" s="280">
        <f ca="1">IF(AND(Z$22=TRUE,INDEX(CDRANGE_CLS3,MATCH($A59,$A$24:$A$67,0),MATCH(Z$20,$B$20:$G$20,0))&lt;$D$6/OPDAYS_Cls3),86,payback(D59,U59,disc_rate/12,85))</f>
        <v>4</v>
      </c>
      <c r="AA59" s="280">
        <f ca="1">IF(AND(AA$22=TRUE,INDEX(CDRANGE_CLS3,MATCH($A59,$A$24:$A$67,0),MATCH(AA$20,$B$20:$G$20,0))&lt;$D$6/OPDAYS_Cls3),86,payback(E59,V59,disc_rate/12,85))</f>
        <v>5</v>
      </c>
      <c r="AB59" s="280">
        <f ca="1">IF(AND(AB$22=TRUE,INDEX(CDRANGE_CLS3,MATCH($A59,$A$24:$A$67,0),MATCH(AB$20,$B$20:$G$20,0))&lt;$D$6/OPDAYS_Cls3),86,payback(F59,W59,disc_rate/12,85))</f>
        <v>9</v>
      </c>
      <c r="AC59" s="281">
        <f>IF(AND(AC$22=TRUE,INDEX(CDRANGE_CLS3,MATCH($A59,$A$24:$A$67,0),MATCH(AC$20,$B$20:$G$20,0))&lt;$D$6/OPDAYS_Cls3),86,payback(G59,X59,disc_rate/12,85))</f>
        <v>86</v>
      </c>
      <c r="AD59" s="296">
        <f t="shared" si="43"/>
        <v>0</v>
      </c>
      <c r="AE59" s="297">
        <f t="shared" si="44"/>
        <v>0</v>
      </c>
      <c r="AF59" s="297">
        <f t="shared" si="45"/>
        <v>0</v>
      </c>
      <c r="AG59" s="297">
        <f t="shared" si="46"/>
        <v>0</v>
      </c>
      <c r="AH59" s="298">
        <f t="shared" si="47"/>
        <v>0</v>
      </c>
      <c r="AI59" s="595">
        <f t="shared" si="48"/>
        <v>0.4999999793003122</v>
      </c>
      <c r="AJ59" s="300">
        <f t="shared" si="49"/>
        <v>0.4999999793003122</v>
      </c>
      <c r="AK59" s="300">
        <f t="shared" si="50"/>
        <v>0.4999999793003122</v>
      </c>
      <c r="AL59" s="300">
        <f t="shared" si="51"/>
        <v>0.4999999793003122</v>
      </c>
      <c r="AM59" s="598">
        <f t="shared" si="52"/>
        <v>0.49759711881379698</v>
      </c>
      <c r="AN59" s="299">
        <f t="shared" si="65"/>
        <v>0.99294537435345864</v>
      </c>
      <c r="AO59" s="300">
        <f t="shared" si="65"/>
        <v>0.99276586905801067</v>
      </c>
      <c r="AP59" s="300">
        <f t="shared" si="65"/>
        <v>0.96425794685830035</v>
      </c>
      <c r="AQ59" s="300">
        <f t="shared" si="65"/>
        <v>0.86299514407218458</v>
      </c>
      <c r="AR59" s="598">
        <f t="shared" si="65"/>
        <v>0.83563482328980565</v>
      </c>
      <c r="AS59" s="296">
        <f t="shared" ca="1" si="54"/>
        <v>0.99999995860062441</v>
      </c>
      <c r="AT59" s="297">
        <f t="shared" ca="1" si="55"/>
        <v>0.99999995860062441</v>
      </c>
      <c r="AU59" s="297">
        <f t="shared" ca="1" si="56"/>
        <v>0.99999995860062441</v>
      </c>
      <c r="AV59" s="297">
        <f t="shared" ca="1" si="57"/>
        <v>0.97659513127389064</v>
      </c>
      <c r="AW59" s="298">
        <f t="shared" si="58"/>
        <v>0</v>
      </c>
      <c r="AX59" s="296">
        <f t="shared" ca="1" si="59"/>
        <v>0.99294533324614009</v>
      </c>
      <c r="AY59" s="297">
        <f t="shared" ca="1" si="59"/>
        <v>0.99276582795812363</v>
      </c>
      <c r="AZ59" s="297">
        <f t="shared" ca="1" si="59"/>
        <v>0.96425790693862345</v>
      </c>
      <c r="BA59" s="297">
        <f t="shared" ca="1" si="59"/>
        <v>0.8427968560139053</v>
      </c>
      <c r="BB59" s="298">
        <f t="shared" si="59"/>
        <v>0</v>
      </c>
      <c r="BC59" s="296">
        <f t="shared" ca="1" si="66"/>
        <v>7.0546667538599062E-3</v>
      </c>
      <c r="BD59" s="297">
        <f t="shared" ca="1" si="60"/>
        <v>0.25995288254823756</v>
      </c>
      <c r="BE59" s="297">
        <f t="shared" ca="1" si="61"/>
        <v>0.25990588810102055</v>
      </c>
      <c r="BF59" s="297">
        <f t="shared" ca="1" si="62"/>
        <v>0.2524425202837316</v>
      </c>
      <c r="BG59" s="297">
        <f t="shared" ca="1" si="63"/>
        <v>0.22064404231315041</v>
      </c>
      <c r="BH59" s="298">
        <f t="shared" ca="1" si="64"/>
        <v>0</v>
      </c>
    </row>
    <row r="60" spans="1:60" x14ac:dyDescent="0.2">
      <c r="A60" s="317">
        <v>2043</v>
      </c>
      <c r="B60" s="820">
        <f t="shared" si="71"/>
        <v>100224.6</v>
      </c>
      <c r="C60" s="821">
        <f t="shared" si="71"/>
        <v>5059.7700000000004</v>
      </c>
      <c r="D60" s="821">
        <f t="shared" si="71"/>
        <v>5123.97</v>
      </c>
      <c r="E60" s="821">
        <f t="shared" si="71"/>
        <v>11472.42</v>
      </c>
      <c r="F60" s="821">
        <f t="shared" si="71"/>
        <v>23097.81</v>
      </c>
      <c r="G60" s="822">
        <f t="shared" si="71"/>
        <v>25121.96</v>
      </c>
      <c r="H60" s="781">
        <f t="shared" si="72"/>
        <v>1</v>
      </c>
      <c r="I60" s="782">
        <f t="shared" si="72"/>
        <v>1</v>
      </c>
      <c r="J60" s="782">
        <f t="shared" si="72"/>
        <v>1</v>
      </c>
      <c r="K60" s="782">
        <f t="shared" si="72"/>
        <v>1</v>
      </c>
      <c r="L60" s="782">
        <f t="shared" si="72"/>
        <v>0.82198735381018095</v>
      </c>
      <c r="M60" s="783">
        <f t="shared" si="72"/>
        <v>1</v>
      </c>
      <c r="N60" s="733">
        <f t="shared" si="32"/>
        <v>8153.0224627055622</v>
      </c>
      <c r="O60" s="276">
        <f t="shared" si="33"/>
        <v>6886.5749128399402</v>
      </c>
      <c r="P60" s="276">
        <f t="shared" si="34"/>
        <v>6497.3771622844324</v>
      </c>
      <c r="Q60" s="276">
        <f t="shared" si="35"/>
        <v>5770.5881623066571</v>
      </c>
      <c r="R60" s="276">
        <f t="shared" si="36"/>
        <v>5294.3315888766138</v>
      </c>
      <c r="S60" s="278">
        <f t="shared" si="37"/>
        <v>4873.7821190452514</v>
      </c>
      <c r="T60" s="734">
        <f t="shared" si="38"/>
        <v>1266.447549865622</v>
      </c>
      <c r="U60" s="290">
        <f t="shared" si="39"/>
        <v>1655.6453004211298</v>
      </c>
      <c r="V60" s="290">
        <f t="shared" si="40"/>
        <v>2382.4343003989052</v>
      </c>
      <c r="W60" s="290">
        <f t="shared" si="41"/>
        <v>2858.6908738289485</v>
      </c>
      <c r="X60" s="291">
        <f t="shared" si="42"/>
        <v>3279.2403436603108</v>
      </c>
      <c r="Y60" s="279">
        <f ca="1">IF(AND(Y$22=TRUE,INDEX(CDRANGE_CLS3,MATCH($A60,$A$24:$A$67,0),MATCH(Y$20,$B$20:$G$20,0))&lt;$D$6/OPDAYS_Cls3),86,payback(C60,T60,disc_rate/12,85))</f>
        <v>5</v>
      </c>
      <c r="Z60" s="280">
        <f ca="1">IF(AND(Z$22=TRUE,INDEX(CDRANGE_CLS3,MATCH($A60,$A$24:$A$67,0),MATCH(Z$20,$B$20:$G$20,0))&lt;$D$6/OPDAYS_Cls3),86,payback(D60,U60,disc_rate/12,85))</f>
        <v>4</v>
      </c>
      <c r="AA60" s="280">
        <f ca="1">IF(AND(AA$22=TRUE,INDEX(CDRANGE_CLS3,MATCH($A60,$A$24:$A$67,0),MATCH(AA$20,$B$20:$G$20,0))&lt;$D$6/OPDAYS_Cls3),86,payback(E60,V60,disc_rate/12,85))</f>
        <v>5</v>
      </c>
      <c r="AB60" s="280">
        <f ca="1">IF(AND(AB$22=TRUE,INDEX(CDRANGE_CLS3,MATCH($A60,$A$24:$A$67,0),MATCH(AB$20,$B$20:$G$20,0))&lt;$D$6/OPDAYS_Cls3),86,payback(F60,W60,disc_rate/12,85))</f>
        <v>9</v>
      </c>
      <c r="AC60" s="281">
        <f>IF(AND(AC$22=TRUE,INDEX(CDRANGE_CLS3,MATCH($A60,$A$24:$A$67,0),MATCH(AC$20,$B$20:$G$20,0))&lt;$D$6/OPDAYS_Cls3),86,payback(G60,X60,disc_rate/12,85))</f>
        <v>86</v>
      </c>
      <c r="AD60" s="296">
        <f t="shared" si="43"/>
        <v>0</v>
      </c>
      <c r="AE60" s="297">
        <f t="shared" si="44"/>
        <v>0</v>
      </c>
      <c r="AF60" s="297">
        <f t="shared" si="45"/>
        <v>0</v>
      </c>
      <c r="AG60" s="297">
        <f t="shared" si="46"/>
        <v>0</v>
      </c>
      <c r="AH60" s="298">
        <f t="shared" si="47"/>
        <v>0</v>
      </c>
      <c r="AI60" s="595">
        <f t="shared" si="48"/>
        <v>0.49999999238501025</v>
      </c>
      <c r="AJ60" s="300">
        <f t="shared" si="49"/>
        <v>0.49999999238501025</v>
      </c>
      <c r="AK60" s="300">
        <f t="shared" si="50"/>
        <v>0.49999999238501025</v>
      </c>
      <c r="AL60" s="300">
        <f t="shared" si="51"/>
        <v>0.49999999238501025</v>
      </c>
      <c r="AM60" s="598">
        <f t="shared" si="52"/>
        <v>0.49866062269435391</v>
      </c>
      <c r="AN60" s="299">
        <f t="shared" si="65"/>
        <v>0.99294537435345864</v>
      </c>
      <c r="AO60" s="300">
        <f t="shared" si="65"/>
        <v>0.99276586905801067</v>
      </c>
      <c r="AP60" s="300">
        <f t="shared" si="65"/>
        <v>0.96425794685830035</v>
      </c>
      <c r="AQ60" s="300">
        <f t="shared" si="65"/>
        <v>0.86283359165444573</v>
      </c>
      <c r="AR60" s="598">
        <f t="shared" si="65"/>
        <v>0.83985645534596465</v>
      </c>
      <c r="AS60" s="296">
        <f t="shared" ca="1" si="54"/>
        <v>0.9999999847700205</v>
      </c>
      <c r="AT60" s="297">
        <f t="shared" ca="1" si="55"/>
        <v>0.9999999847700205</v>
      </c>
      <c r="AU60" s="297">
        <f t="shared" ca="1" si="56"/>
        <v>0.9999999847700205</v>
      </c>
      <c r="AV60" s="297">
        <f t="shared" ca="1" si="57"/>
        <v>0.97659515683079656</v>
      </c>
      <c r="AW60" s="298">
        <f t="shared" si="58"/>
        <v>0</v>
      </c>
      <c r="AX60" s="296">
        <f t="shared" ca="1" si="59"/>
        <v>0.99294535923092098</v>
      </c>
      <c r="AY60" s="297">
        <f t="shared" ca="1" si="59"/>
        <v>0.99276585393820682</v>
      </c>
      <c r="AZ60" s="297">
        <f t="shared" ca="1" si="59"/>
        <v>0.96425793217267164</v>
      </c>
      <c r="BA60" s="297">
        <f t="shared" ca="1" si="59"/>
        <v>0.8426391067606529</v>
      </c>
      <c r="BB60" s="298">
        <f t="shared" si="59"/>
        <v>0</v>
      </c>
      <c r="BC60" s="296">
        <f t="shared" ca="1" si="66"/>
        <v>7.0546407690790236E-3</v>
      </c>
      <c r="BD60" s="297">
        <f t="shared" ca="1" si="60"/>
        <v>0.25996370330936802</v>
      </c>
      <c r="BE60" s="297">
        <f t="shared" ca="1" si="61"/>
        <v>0.25991670690596697</v>
      </c>
      <c r="BF60" s="297">
        <f t="shared" ca="1" si="62"/>
        <v>0.25245302841960754</v>
      </c>
      <c r="BG60" s="297">
        <f t="shared" ca="1" si="63"/>
        <v>0.22061192059597845</v>
      </c>
      <c r="BH60" s="298">
        <f t="shared" ca="1" si="64"/>
        <v>0</v>
      </c>
    </row>
    <row r="61" spans="1:60" x14ac:dyDescent="0.2">
      <c r="A61" s="317">
        <v>2044</v>
      </c>
      <c r="B61" s="820">
        <f t="shared" si="71"/>
        <v>100224.6</v>
      </c>
      <c r="C61" s="821">
        <f t="shared" si="71"/>
        <v>5059.7700000000004</v>
      </c>
      <c r="D61" s="821">
        <f t="shared" si="71"/>
        <v>5123.97</v>
      </c>
      <c r="E61" s="821">
        <f t="shared" si="71"/>
        <v>11472.42</v>
      </c>
      <c r="F61" s="821">
        <f t="shared" si="71"/>
        <v>23112.48</v>
      </c>
      <c r="G61" s="822">
        <f t="shared" si="71"/>
        <v>24761.86</v>
      </c>
      <c r="H61" s="781">
        <f t="shared" si="72"/>
        <v>1</v>
      </c>
      <c r="I61" s="782">
        <f t="shared" si="72"/>
        <v>1</v>
      </c>
      <c r="J61" s="782">
        <f t="shared" si="72"/>
        <v>1</v>
      </c>
      <c r="K61" s="782">
        <f t="shared" si="72"/>
        <v>1</v>
      </c>
      <c r="L61" s="782">
        <f t="shared" si="72"/>
        <v>0.82165844742454819</v>
      </c>
      <c r="M61" s="783">
        <f t="shared" si="72"/>
        <v>1</v>
      </c>
      <c r="N61" s="733">
        <f t="shared" si="32"/>
        <v>8214.6094707803495</v>
      </c>
      <c r="O61" s="276">
        <f t="shared" si="33"/>
        <v>6938.595319591519</v>
      </c>
      <c r="P61" s="276">
        <f t="shared" si="34"/>
        <v>6546.4576133182636</v>
      </c>
      <c r="Q61" s="276">
        <f t="shared" si="35"/>
        <v>5814.1785315683555</v>
      </c>
      <c r="R61" s="276">
        <f t="shared" si="36"/>
        <v>5205.6441229898119</v>
      </c>
      <c r="S61" s="278">
        <f t="shared" si="37"/>
        <v>4304.5141076350046</v>
      </c>
      <c r="T61" s="734">
        <f t="shared" si="38"/>
        <v>1276.0141511888305</v>
      </c>
      <c r="U61" s="290">
        <f t="shared" si="39"/>
        <v>1668.1518574620859</v>
      </c>
      <c r="V61" s="290">
        <f t="shared" si="40"/>
        <v>2400.430939211994</v>
      </c>
      <c r="W61" s="290">
        <f t="shared" si="41"/>
        <v>3008.9653477905376</v>
      </c>
      <c r="X61" s="291">
        <f t="shared" si="42"/>
        <v>3910.0953631453449</v>
      </c>
      <c r="Y61" s="279">
        <f ca="1">IF(AND(Y$22=TRUE,INDEX(CDRANGE_CLS3,MATCH($A61,$A$24:$A$67,0),MATCH(Y$20,$B$20:$G$20,0))&lt;$D$6/OPDAYS_Cls3),86,payback(C61,T61,disc_rate/12,85))</f>
        <v>5</v>
      </c>
      <c r="Z61" s="280">
        <f ca="1">IF(AND(Z$22=TRUE,INDEX(CDRANGE_CLS3,MATCH($A61,$A$24:$A$67,0),MATCH(Z$20,$B$20:$G$20,0))&lt;$D$6/OPDAYS_Cls3),86,payback(D61,U61,disc_rate/12,85))</f>
        <v>4</v>
      </c>
      <c r="AA61" s="280">
        <f ca="1">IF(AND(AA$22=TRUE,INDEX(CDRANGE_CLS3,MATCH($A61,$A$24:$A$67,0),MATCH(AA$20,$B$20:$G$20,0))&lt;$D$6/OPDAYS_Cls3),86,payback(E61,V61,disc_rate/12,85))</f>
        <v>5</v>
      </c>
      <c r="AB61" s="280">
        <f ca="1">IF(AND(AB$22=TRUE,INDEX(CDRANGE_CLS3,MATCH($A61,$A$24:$A$67,0),MATCH(AB$20,$B$20:$G$20,0))&lt;$D$6/OPDAYS_Cls3),86,payback(F61,W61,disc_rate/12,85))</f>
        <v>8</v>
      </c>
      <c r="AC61" s="281">
        <f>IF(AND(AC$22=TRUE,INDEX(CDRANGE_CLS3,MATCH($A61,$A$24:$A$67,0),MATCH(AC$20,$B$20:$G$20,0))&lt;$D$6/OPDAYS_Cls3),86,payback(G61,X61,disc_rate/12,85))</f>
        <v>86</v>
      </c>
      <c r="AD61" s="296">
        <f t="shared" si="43"/>
        <v>0</v>
      </c>
      <c r="AE61" s="297">
        <f t="shared" si="44"/>
        <v>0</v>
      </c>
      <c r="AF61" s="297">
        <f t="shared" si="45"/>
        <v>0</v>
      </c>
      <c r="AG61" s="297">
        <f t="shared" si="46"/>
        <v>0</v>
      </c>
      <c r="AH61" s="298">
        <f t="shared" si="47"/>
        <v>0</v>
      </c>
      <c r="AI61" s="595">
        <f t="shared" si="48"/>
        <v>0.49999999719860178</v>
      </c>
      <c r="AJ61" s="300">
        <f t="shared" si="49"/>
        <v>0.49999999719860178</v>
      </c>
      <c r="AK61" s="300">
        <f t="shared" si="50"/>
        <v>0.49999999719860178</v>
      </c>
      <c r="AL61" s="300">
        <f t="shared" si="51"/>
        <v>0.49999999719860178</v>
      </c>
      <c r="AM61" s="598">
        <f t="shared" si="52"/>
        <v>0.4992875089834975</v>
      </c>
      <c r="AN61" s="299">
        <f t="shared" si="65"/>
        <v>0.99294537435345864</v>
      </c>
      <c r="AO61" s="300">
        <f t="shared" si="65"/>
        <v>0.99276586905801067</v>
      </c>
      <c r="AP61" s="300">
        <f t="shared" si="65"/>
        <v>0.96425794685830035</v>
      </c>
      <c r="AQ61" s="300">
        <f t="shared" si="65"/>
        <v>0.86267185666601875</v>
      </c>
      <c r="AR61" s="598">
        <f t="shared" si="65"/>
        <v>0.84403876163939762</v>
      </c>
      <c r="AS61" s="296">
        <f t="shared" ca="1" si="54"/>
        <v>0.99999999439720355</v>
      </c>
      <c r="AT61" s="297">
        <f t="shared" ca="1" si="55"/>
        <v>0.99999999439720355</v>
      </c>
      <c r="AU61" s="297">
        <f t="shared" ca="1" si="56"/>
        <v>0.99999999439720355</v>
      </c>
      <c r="AV61" s="297">
        <f t="shared" ca="1" si="57"/>
        <v>0.9886499544746119</v>
      </c>
      <c r="AW61" s="298">
        <f t="shared" si="58"/>
        <v>0</v>
      </c>
      <c r="AX61" s="296">
        <f t="shared" ca="1" si="59"/>
        <v>0.9929453687901878</v>
      </c>
      <c r="AY61" s="297">
        <f t="shared" ca="1" si="59"/>
        <v>0.99276586349574558</v>
      </c>
      <c r="AZ61" s="297">
        <f t="shared" ca="1" si="59"/>
        <v>0.96425794145575938</v>
      </c>
      <c r="BA61" s="297">
        <f t="shared" ca="1" si="59"/>
        <v>0.85288049181938841</v>
      </c>
      <c r="BB61" s="298">
        <f t="shared" si="59"/>
        <v>0</v>
      </c>
      <c r="BC61" s="296">
        <f t="shared" ca="1" si="66"/>
        <v>7.05463120981209E-3</v>
      </c>
      <c r="BD61" s="297">
        <f t="shared" ca="1" si="60"/>
        <v>0.25926360285305</v>
      </c>
      <c r="BE61" s="297">
        <f t="shared" ca="1" si="61"/>
        <v>0.25921673301425413</v>
      </c>
      <c r="BF61" s="297">
        <f t="shared" ca="1" si="62"/>
        <v>0.25177315473668382</v>
      </c>
      <c r="BG61" s="297">
        <f t="shared" ca="1" si="63"/>
        <v>0.22269187818619993</v>
      </c>
      <c r="BH61" s="298">
        <f t="shared" ca="1" si="64"/>
        <v>0</v>
      </c>
    </row>
    <row r="62" spans="1:60" ht="13.5" thickBot="1" x14ac:dyDescent="0.25">
      <c r="A62" s="302">
        <v>2045</v>
      </c>
      <c r="B62" s="823">
        <f t="shared" si="71"/>
        <v>100224.6</v>
      </c>
      <c r="C62" s="824">
        <f t="shared" si="71"/>
        <v>5059.7700000000004</v>
      </c>
      <c r="D62" s="824">
        <f t="shared" si="71"/>
        <v>5123.97</v>
      </c>
      <c r="E62" s="824">
        <f t="shared" si="71"/>
        <v>11472.42</v>
      </c>
      <c r="F62" s="824">
        <f t="shared" si="71"/>
        <v>23127.15</v>
      </c>
      <c r="G62" s="825">
        <f t="shared" si="71"/>
        <v>24401.75</v>
      </c>
      <c r="H62" s="781">
        <f t="shared" si="72"/>
        <v>1</v>
      </c>
      <c r="I62" s="782">
        <f t="shared" si="72"/>
        <v>1</v>
      </c>
      <c r="J62" s="782">
        <f t="shared" si="72"/>
        <v>1</v>
      </c>
      <c r="K62" s="782">
        <f t="shared" si="72"/>
        <v>1</v>
      </c>
      <c r="L62" s="782">
        <f t="shared" si="72"/>
        <v>0.82132954103891542</v>
      </c>
      <c r="M62" s="783">
        <f t="shared" si="72"/>
        <v>1</v>
      </c>
      <c r="N62" s="884">
        <f t="shared" si="32"/>
        <v>8325.0814676808805</v>
      </c>
      <c r="O62" s="779">
        <f t="shared" si="33"/>
        <v>7031.9071785869464</v>
      </c>
      <c r="P62" s="779">
        <f t="shared" si="34"/>
        <v>6634.4959123683157</v>
      </c>
      <c r="Q62" s="779">
        <f t="shared" si="35"/>
        <v>5892.3689695926159</v>
      </c>
      <c r="R62" s="779">
        <f t="shared" si="36"/>
        <v>5154.6977925127103</v>
      </c>
      <c r="S62" s="780">
        <f t="shared" si="37"/>
        <v>3803.7990426074634</v>
      </c>
      <c r="T62" s="737">
        <f t="shared" si="38"/>
        <v>1293.174289093934</v>
      </c>
      <c r="U62" s="304">
        <f t="shared" si="39"/>
        <v>1690.5855553125648</v>
      </c>
      <c r="V62" s="304">
        <f t="shared" si="40"/>
        <v>2432.7124980882645</v>
      </c>
      <c r="W62" s="304">
        <f t="shared" si="41"/>
        <v>3170.3836751681702</v>
      </c>
      <c r="X62" s="305">
        <f t="shared" si="42"/>
        <v>4521.2824250734175</v>
      </c>
      <c r="Y62" s="889">
        <f ca="1">IF(AND(Y$22=TRUE,INDEX(CDRANGE_CLS3,MATCH($A62,$A$24:$A$67,0),MATCH(Y$20,$B$20:$G$20,0))&lt;$D$6/OPDAYS_Cls3),86,payback(C62,T62,disc_rate/12,85))</f>
        <v>4</v>
      </c>
      <c r="Z62" s="890">
        <f ca="1">IF(AND(Z$22=TRUE,INDEX(CDRANGE_CLS3,MATCH($A62,$A$24:$A$67,0),MATCH(Z$20,$B$20:$G$20,0))&lt;$D$6/OPDAYS_Cls3),86,payback(D62,U62,disc_rate/12,85))</f>
        <v>4</v>
      </c>
      <c r="AA62" s="890">
        <f ca="1">IF(AND(AA$22=TRUE,INDEX(CDRANGE_CLS3,MATCH($A62,$A$24:$A$67,0),MATCH(AA$20,$B$20:$G$20,0))&lt;$D$6/OPDAYS_Cls3),86,payback(E62,V62,disc_rate/12,85))</f>
        <v>5</v>
      </c>
      <c r="AB62" s="890">
        <f ca="1">IF(AND(AB$22=TRUE,INDEX(CDRANGE_CLS3,MATCH($A62,$A$24:$A$67,0),MATCH(AB$20,$B$20:$G$20,0))&lt;$D$6/OPDAYS_Cls3),86,payback(F62,W62,disc_rate/12,85))</f>
        <v>8</v>
      </c>
      <c r="AC62" s="891">
        <f>IF(AND(AC$22=TRUE,INDEX(CDRANGE_CLS3,MATCH($A62,$A$24:$A$67,0),MATCH(AC$20,$B$20:$G$20,0))&lt;$D$6/OPDAYS_Cls3),86,payback(G62,X62,disc_rate/12,85))</f>
        <v>86</v>
      </c>
      <c r="AD62" s="310">
        <f t="shared" si="43"/>
        <v>0</v>
      </c>
      <c r="AE62" s="311">
        <f t="shared" si="44"/>
        <v>0</v>
      </c>
      <c r="AF62" s="311">
        <f t="shared" si="45"/>
        <v>0</v>
      </c>
      <c r="AG62" s="311">
        <f t="shared" si="46"/>
        <v>0</v>
      </c>
      <c r="AH62" s="312">
        <f t="shared" si="47"/>
        <v>0</v>
      </c>
      <c r="AI62" s="596">
        <f t="shared" si="48"/>
        <v>0.49999999896942315</v>
      </c>
      <c r="AJ62" s="314">
        <f t="shared" si="49"/>
        <v>0.49999999896942315</v>
      </c>
      <c r="AK62" s="314">
        <f t="shared" si="50"/>
        <v>0.49999999896942315</v>
      </c>
      <c r="AL62" s="314">
        <f t="shared" si="51"/>
        <v>0.49999999896942315</v>
      </c>
      <c r="AM62" s="599">
        <f t="shared" si="52"/>
        <v>0.49974809901174622</v>
      </c>
      <c r="AN62" s="313">
        <f t="shared" si="65"/>
        <v>0.99294537435345864</v>
      </c>
      <c r="AO62" s="314">
        <f t="shared" si="65"/>
        <v>0.99276586905801067</v>
      </c>
      <c r="AP62" s="314">
        <f t="shared" si="65"/>
        <v>0.96425794685830035</v>
      </c>
      <c r="AQ62" s="314">
        <f t="shared" si="65"/>
        <v>0.86251004933375119</v>
      </c>
      <c r="AR62" s="599">
        <f t="shared" si="65"/>
        <v>0.84818117779943425</v>
      </c>
      <c r="AS62" s="310">
        <f t="shared" ca="1" si="54"/>
        <v>0.99999999793884631</v>
      </c>
      <c r="AT62" s="311">
        <f t="shared" ca="1" si="55"/>
        <v>0.99999999793884631</v>
      </c>
      <c r="AU62" s="311">
        <f t="shared" ca="1" si="56"/>
        <v>0.99999999793884631</v>
      </c>
      <c r="AV62" s="311">
        <f t="shared" ca="1" si="57"/>
        <v>0.98864995797605693</v>
      </c>
      <c r="AW62" s="312">
        <f t="shared" si="58"/>
        <v>0</v>
      </c>
      <c r="AX62" s="310">
        <f t="shared" ca="1" si="59"/>
        <v>0.99294537230684565</v>
      </c>
      <c r="AY62" s="311">
        <f t="shared" ca="1" si="59"/>
        <v>0.99276586701176761</v>
      </c>
      <c r="AZ62" s="311">
        <f t="shared" ca="1" si="59"/>
        <v>0.96425794487081651</v>
      </c>
      <c r="BA62" s="311">
        <f t="shared" ca="1" si="59"/>
        <v>0.8527205240277399</v>
      </c>
      <c r="BB62" s="312">
        <f t="shared" si="59"/>
        <v>0</v>
      </c>
      <c r="BC62" s="310">
        <f t="shared" ca="1" si="66"/>
        <v>7.0546276931542362E-3</v>
      </c>
      <c r="BD62" s="311">
        <f t="shared" ca="1" si="60"/>
        <v>0.25927451042220923</v>
      </c>
      <c r="BE62" s="311">
        <f t="shared" ca="1" si="61"/>
        <v>0.25922763861153608</v>
      </c>
      <c r="BF62" s="311">
        <f t="shared" ca="1" si="62"/>
        <v>0.25178374717259655</v>
      </c>
      <c r="BG62" s="311">
        <f t="shared" ca="1" si="63"/>
        <v>0.22265947610050382</v>
      </c>
      <c r="BH62" s="312">
        <f t="shared" ca="1" si="64"/>
        <v>0</v>
      </c>
    </row>
    <row r="63" spans="1:60" x14ac:dyDescent="0.2">
      <c r="A63" s="316">
        <v>2046</v>
      </c>
      <c r="B63" s="826">
        <f t="shared" si="71"/>
        <v>100224.6</v>
      </c>
      <c r="C63" s="827">
        <f t="shared" si="71"/>
        <v>5059.7700000000004</v>
      </c>
      <c r="D63" s="827">
        <f t="shared" si="71"/>
        <v>5123.97</v>
      </c>
      <c r="E63" s="827">
        <f t="shared" si="71"/>
        <v>11472.42</v>
      </c>
      <c r="F63" s="827">
        <f t="shared" si="71"/>
        <v>23141.82</v>
      </c>
      <c r="G63" s="828">
        <f t="shared" si="71"/>
        <v>24041.65</v>
      </c>
      <c r="H63" s="781">
        <f t="shared" si="72"/>
        <v>1</v>
      </c>
      <c r="I63" s="782">
        <f t="shared" si="72"/>
        <v>1</v>
      </c>
      <c r="J63" s="782">
        <f t="shared" si="72"/>
        <v>1</v>
      </c>
      <c r="K63" s="782">
        <f t="shared" si="72"/>
        <v>1</v>
      </c>
      <c r="L63" s="782">
        <f t="shared" si="72"/>
        <v>0.82100063465328255</v>
      </c>
      <c r="M63" s="783">
        <f t="shared" si="72"/>
        <v>1</v>
      </c>
      <c r="N63" s="736">
        <f t="shared" si="32"/>
        <v>8328.3372300167448</v>
      </c>
      <c r="O63" s="632">
        <f t="shared" si="33"/>
        <v>7034.6572079566531</v>
      </c>
      <c r="P63" s="632">
        <f t="shared" si="34"/>
        <v>6637.0905226424356</v>
      </c>
      <c r="Q63" s="632">
        <f t="shared" si="35"/>
        <v>5894.6733498001477</v>
      </c>
      <c r="R63" s="632">
        <f t="shared" si="36"/>
        <v>5067.8384928092846</v>
      </c>
      <c r="S63" s="745">
        <f t="shared" si="37"/>
        <v>3433.7026915617189</v>
      </c>
      <c r="T63" s="733">
        <f t="shared" si="38"/>
        <v>1293.6800220600917</v>
      </c>
      <c r="U63" s="276">
        <f t="shared" si="39"/>
        <v>1691.2467073743092</v>
      </c>
      <c r="V63" s="276">
        <f t="shared" si="40"/>
        <v>2433.6638802165971</v>
      </c>
      <c r="W63" s="276">
        <f t="shared" si="41"/>
        <v>3260.4987372074602</v>
      </c>
      <c r="X63" s="277">
        <f t="shared" si="42"/>
        <v>4894.6345384550259</v>
      </c>
      <c r="Y63" s="279">
        <f ca="1">IF(AND(Y$22=TRUE,INDEX(CDRANGE_CLS3,MATCH($A63,$A$24:$A$67,0),MATCH(Y$20,$B$20:$G$20,0))&lt;$D$6/OPDAYS_Cls3),86,payback(C63,T63,disc_rate/12,85))</f>
        <v>4</v>
      </c>
      <c r="Z63" s="280">
        <f ca="1">IF(AND(Z$22=TRUE,INDEX(CDRANGE_CLS3,MATCH($A63,$A$24:$A$67,0),MATCH(Z$20,$B$20:$G$20,0))&lt;$D$6/OPDAYS_Cls3),86,payback(D63,U63,disc_rate/12,85))</f>
        <v>4</v>
      </c>
      <c r="AA63" s="280">
        <f ca="1">IF(AND(AA$22=TRUE,INDEX(CDRANGE_CLS3,MATCH($A63,$A$24:$A$67,0),MATCH(AA$20,$B$20:$G$20,0))&lt;$D$6/OPDAYS_Cls3),86,payback(E63,V63,disc_rate/12,85))</f>
        <v>5</v>
      </c>
      <c r="AB63" s="280">
        <f ca="1">IF(AND(AB$22=TRUE,INDEX(CDRANGE_CLS3,MATCH($A63,$A$24:$A$67,0),MATCH(AB$20,$B$20:$G$20,0))&lt;$D$6/OPDAYS_Cls3),86,payback(F63,W63,disc_rate/12,85))</f>
        <v>8</v>
      </c>
      <c r="AC63" s="281">
        <f>IF(AND(AC$22=TRUE,INDEX(CDRANGE_CLS3,MATCH($A63,$A$24:$A$67,0),MATCH(AC$20,$B$20:$G$20,0))&lt;$D$6/OPDAYS_Cls3),86,payback(G63,X63,disc_rate/12,85))</f>
        <v>86</v>
      </c>
      <c r="AD63" s="282">
        <f t="shared" si="43"/>
        <v>0</v>
      </c>
      <c r="AE63" s="283">
        <f t="shared" si="44"/>
        <v>0</v>
      </c>
      <c r="AF63" s="283">
        <f t="shared" si="45"/>
        <v>0</v>
      </c>
      <c r="AG63" s="283">
        <f t="shared" si="46"/>
        <v>0</v>
      </c>
      <c r="AH63" s="284">
        <f t="shared" si="47"/>
        <v>0</v>
      </c>
      <c r="AI63" s="594">
        <f t="shared" si="48"/>
        <v>0.49999999962087194</v>
      </c>
      <c r="AJ63" s="286">
        <f t="shared" si="49"/>
        <v>0.49999999962087194</v>
      </c>
      <c r="AK63" s="286">
        <f t="shared" si="50"/>
        <v>0.49999999962087194</v>
      </c>
      <c r="AL63" s="286">
        <f t="shared" si="51"/>
        <v>0.49999999962087194</v>
      </c>
      <c r="AM63" s="611">
        <f t="shared" si="52"/>
        <v>0.49988204931764657</v>
      </c>
      <c r="AN63" s="285">
        <f t="shared" si="65"/>
        <v>0.99294537435345864</v>
      </c>
      <c r="AO63" s="286">
        <f t="shared" si="65"/>
        <v>0.99276586905801067</v>
      </c>
      <c r="AP63" s="286">
        <f t="shared" si="65"/>
        <v>0.96425794685830035</v>
      </c>
      <c r="AQ63" s="286">
        <f t="shared" si="65"/>
        <v>0.86234816970972705</v>
      </c>
      <c r="AR63" s="611">
        <f t="shared" si="65"/>
        <v>0.85228268182513889</v>
      </c>
      <c r="AS63" s="282">
        <f t="shared" ca="1" si="54"/>
        <v>0.99999999924174388</v>
      </c>
      <c r="AT63" s="283">
        <f t="shared" ca="1" si="55"/>
        <v>0.99999999924174388</v>
      </c>
      <c r="AU63" s="283">
        <f t="shared" ca="1" si="56"/>
        <v>0.99999999924174388</v>
      </c>
      <c r="AV63" s="283">
        <f t="shared" ca="1" si="57"/>
        <v>0.98864995926416654</v>
      </c>
      <c r="AW63" s="284">
        <f t="shared" si="58"/>
        <v>0</v>
      </c>
      <c r="AX63" s="282">
        <f t="shared" ca="1" si="59"/>
        <v>0.99294537360055168</v>
      </c>
      <c r="AY63" s="283">
        <f t="shared" ca="1" si="59"/>
        <v>0.99276586830523983</v>
      </c>
      <c r="AZ63" s="283">
        <f t="shared" ca="1" si="59"/>
        <v>0.96425794612714588</v>
      </c>
      <c r="BA63" s="283">
        <f t="shared" ca="1" si="59"/>
        <v>0.85256048285505026</v>
      </c>
      <c r="BB63" s="284">
        <f t="shared" si="59"/>
        <v>0</v>
      </c>
      <c r="BC63" s="282">
        <f t="shared" ca="1" si="66"/>
        <v>7.054626399448205E-3</v>
      </c>
      <c r="BD63" s="283">
        <f t="shared" ca="1" si="60"/>
        <v>0.25928542320210141</v>
      </c>
      <c r="BE63" s="283">
        <f t="shared" ca="1" si="61"/>
        <v>0.25923854941860897</v>
      </c>
      <c r="BF63" s="283">
        <f t="shared" ca="1" si="62"/>
        <v>0.25179434466869771</v>
      </c>
      <c r="BG63" s="283">
        <f t="shared" ca="1" si="63"/>
        <v>0.22262705631114368</v>
      </c>
      <c r="BH63" s="284">
        <f t="shared" ca="1" si="64"/>
        <v>0</v>
      </c>
    </row>
    <row r="64" spans="1:60" x14ac:dyDescent="0.2">
      <c r="A64" s="317">
        <v>2047</v>
      </c>
      <c r="B64" s="820">
        <f t="shared" si="71"/>
        <v>100224.6</v>
      </c>
      <c r="C64" s="821">
        <f t="shared" si="71"/>
        <v>5059.7700000000004</v>
      </c>
      <c r="D64" s="821">
        <f t="shared" si="71"/>
        <v>5123.97</v>
      </c>
      <c r="E64" s="821">
        <f t="shared" si="71"/>
        <v>11472.42</v>
      </c>
      <c r="F64" s="821">
        <f t="shared" si="71"/>
        <v>23156.48</v>
      </c>
      <c r="G64" s="822">
        <f t="shared" si="71"/>
        <v>23681.54</v>
      </c>
      <c r="H64" s="781">
        <f t="shared" si="72"/>
        <v>1</v>
      </c>
      <c r="I64" s="782">
        <f t="shared" si="72"/>
        <v>1</v>
      </c>
      <c r="J64" s="782">
        <f t="shared" si="72"/>
        <v>1</v>
      </c>
      <c r="K64" s="782">
        <f t="shared" si="72"/>
        <v>1</v>
      </c>
      <c r="L64" s="782">
        <f t="shared" si="72"/>
        <v>0.82067172826764978</v>
      </c>
      <c r="M64" s="783">
        <f t="shared" si="72"/>
        <v>1</v>
      </c>
      <c r="N64" s="733">
        <f t="shared" si="32"/>
        <v>8404.1984375447228</v>
      </c>
      <c r="O64" s="276">
        <f t="shared" si="33"/>
        <v>7098.7345352312495</v>
      </c>
      <c r="P64" s="276">
        <f t="shared" si="34"/>
        <v>6697.5464921372195</v>
      </c>
      <c r="Q64" s="276">
        <f t="shared" si="35"/>
        <v>5948.3667853501793</v>
      </c>
      <c r="R64" s="276">
        <f t="shared" si="36"/>
        <v>5044.7628210527228</v>
      </c>
      <c r="S64" s="278">
        <f t="shared" si="37"/>
        <v>3208.4471888361268</v>
      </c>
      <c r="T64" s="734">
        <f t="shared" si="38"/>
        <v>1305.4639023134732</v>
      </c>
      <c r="U64" s="290">
        <f t="shared" si="39"/>
        <v>1706.6519454075033</v>
      </c>
      <c r="V64" s="290">
        <f t="shared" si="40"/>
        <v>2455.8316521945435</v>
      </c>
      <c r="W64" s="290">
        <f t="shared" si="41"/>
        <v>3359.435616492</v>
      </c>
      <c r="X64" s="291">
        <f t="shared" si="42"/>
        <v>5195.751248708596</v>
      </c>
      <c r="Y64" s="279">
        <f ca="1">IF(AND(Y$22=TRUE,INDEX(CDRANGE_CLS3,MATCH($A64,$A$24:$A$67,0),MATCH(Y$20,$B$20:$G$20,0))&lt;$D$6/OPDAYS_Cls3),86,payback(C64,T64,disc_rate/12,85))</f>
        <v>4</v>
      </c>
      <c r="Z64" s="280">
        <f ca="1">IF(AND(Z$22=TRUE,INDEX(CDRANGE_CLS3,MATCH($A64,$A$24:$A$67,0),MATCH(Z$20,$B$20:$G$20,0))&lt;$D$6/OPDAYS_Cls3),86,payback(D64,U64,disc_rate/12,85))</f>
        <v>4</v>
      </c>
      <c r="AA64" s="280">
        <f ca="1">IF(AND(AA$22=TRUE,INDEX(CDRANGE_CLS3,MATCH($A64,$A$24:$A$67,0),MATCH(AA$20,$B$20:$G$20,0))&lt;$D$6/OPDAYS_Cls3),86,payback(E64,V64,disc_rate/12,85))</f>
        <v>5</v>
      </c>
      <c r="AB64" s="280">
        <f ca="1">IF(AND(AB$22=TRUE,INDEX(CDRANGE_CLS3,MATCH($A64,$A$24:$A$67,0),MATCH(AB$20,$B$20:$G$20,0))&lt;$D$6/OPDAYS_Cls3),86,payback(F64,W64,disc_rate/12,85))</f>
        <v>8</v>
      </c>
      <c r="AC64" s="281">
        <f>IF(AND(AC$22=TRUE,INDEX(CDRANGE_CLS3,MATCH($A64,$A$24:$A$67,0),MATCH(AC$20,$B$20:$G$20,0))&lt;$D$6/OPDAYS_Cls3),86,payback(G64,X64,disc_rate/12,85))</f>
        <v>86</v>
      </c>
      <c r="AD64" s="296">
        <f t="shared" si="43"/>
        <v>0</v>
      </c>
      <c r="AE64" s="297">
        <f t="shared" si="44"/>
        <v>0</v>
      </c>
      <c r="AF64" s="297">
        <f t="shared" si="45"/>
        <v>0</v>
      </c>
      <c r="AG64" s="297">
        <f t="shared" si="46"/>
        <v>0</v>
      </c>
      <c r="AH64" s="298">
        <f t="shared" si="47"/>
        <v>0</v>
      </c>
      <c r="AI64" s="595">
        <f t="shared" si="48"/>
        <v>0.49999999962087194</v>
      </c>
      <c r="AJ64" s="300">
        <f t="shared" si="49"/>
        <v>0.49999999962087194</v>
      </c>
      <c r="AK64" s="300">
        <f t="shared" si="50"/>
        <v>0.49999999962087194</v>
      </c>
      <c r="AL64" s="300">
        <f t="shared" si="51"/>
        <v>0.49999999962087194</v>
      </c>
      <c r="AM64" s="598">
        <f t="shared" si="52"/>
        <v>0.49996596978666119</v>
      </c>
      <c r="AN64" s="299">
        <f t="shared" si="65"/>
        <v>0.99294537435345864</v>
      </c>
      <c r="AO64" s="300">
        <f t="shared" si="65"/>
        <v>0.99276586905801067</v>
      </c>
      <c r="AP64" s="300">
        <f t="shared" si="65"/>
        <v>0.96425794685830035</v>
      </c>
      <c r="AQ64" s="300">
        <f t="shared" si="65"/>
        <v>0.86218632826727426</v>
      </c>
      <c r="AR64" s="598">
        <f t="shared" si="65"/>
        <v>0.85634271448917654</v>
      </c>
      <c r="AS64" s="296">
        <f t="shared" ca="1" si="54"/>
        <v>0.99999999924174388</v>
      </c>
      <c r="AT64" s="297">
        <f t="shared" ca="1" si="55"/>
        <v>0.99999999924174388</v>
      </c>
      <c r="AU64" s="297">
        <f t="shared" ca="1" si="56"/>
        <v>0.99999999924174388</v>
      </c>
      <c r="AV64" s="297">
        <f t="shared" ca="1" si="57"/>
        <v>0.98864995926416654</v>
      </c>
      <c r="AW64" s="298">
        <f t="shared" si="58"/>
        <v>0</v>
      </c>
      <c r="AX64" s="296">
        <f t="shared" ca="1" si="59"/>
        <v>0.99294537360055168</v>
      </c>
      <c r="AY64" s="297">
        <f t="shared" ca="1" si="59"/>
        <v>0.99276586830523983</v>
      </c>
      <c r="AZ64" s="297">
        <f t="shared" ca="1" si="59"/>
        <v>0.96425794612714588</v>
      </c>
      <c r="BA64" s="297">
        <f t="shared" ca="1" si="59"/>
        <v>0.852400478319562</v>
      </c>
      <c r="BB64" s="298">
        <f t="shared" si="59"/>
        <v>0</v>
      </c>
      <c r="BC64" s="296">
        <f t="shared" ca="1" si="66"/>
        <v>7.054626399448205E-3</v>
      </c>
      <c r="BD64" s="297">
        <f t="shared" ca="1" si="60"/>
        <v>0.25929633398862101</v>
      </c>
      <c r="BE64" s="297">
        <f t="shared" ca="1" si="61"/>
        <v>0.25924945823266971</v>
      </c>
      <c r="BF64" s="297">
        <f t="shared" ca="1" si="62"/>
        <v>0.25180494022901728</v>
      </c>
      <c r="BG64" s="297">
        <f t="shared" ca="1" si="63"/>
        <v>0.22259464115024372</v>
      </c>
      <c r="BH64" s="298">
        <f t="shared" ca="1" si="64"/>
        <v>0</v>
      </c>
    </row>
    <row r="65" spans="1:60" x14ac:dyDescent="0.2">
      <c r="A65" s="317">
        <v>2048</v>
      </c>
      <c r="B65" s="820">
        <f t="shared" si="71"/>
        <v>100224.6</v>
      </c>
      <c r="C65" s="821">
        <f t="shared" si="71"/>
        <v>5059.7700000000004</v>
      </c>
      <c r="D65" s="821">
        <f t="shared" si="71"/>
        <v>5123.97</v>
      </c>
      <c r="E65" s="821">
        <f t="shared" si="71"/>
        <v>11472.42</v>
      </c>
      <c r="F65" s="821">
        <f t="shared" si="71"/>
        <v>23171.15</v>
      </c>
      <c r="G65" s="822">
        <f t="shared" si="71"/>
        <v>23321.43</v>
      </c>
      <c r="H65" s="781">
        <f t="shared" si="72"/>
        <v>1</v>
      </c>
      <c r="I65" s="782">
        <f t="shared" si="72"/>
        <v>1</v>
      </c>
      <c r="J65" s="782">
        <f t="shared" si="72"/>
        <v>1</v>
      </c>
      <c r="K65" s="782">
        <f t="shared" si="72"/>
        <v>1</v>
      </c>
      <c r="L65" s="782">
        <f t="shared" si="72"/>
        <v>0.82034282188201701</v>
      </c>
      <c r="M65" s="783">
        <f t="shared" si="72"/>
        <v>1</v>
      </c>
      <c r="N65" s="733">
        <f t="shared" si="32"/>
        <v>8475.3695815406791</v>
      </c>
      <c r="O65" s="276">
        <f t="shared" si="33"/>
        <v>7158.8503287302447</v>
      </c>
      <c r="P65" s="276">
        <f t="shared" si="34"/>
        <v>6754.2648156458627</v>
      </c>
      <c r="Q65" s="276">
        <f t="shared" si="35"/>
        <v>5998.7406636167425</v>
      </c>
      <c r="R65" s="276">
        <f t="shared" si="36"/>
        <v>5037.789065996818</v>
      </c>
      <c r="S65" s="278">
        <f t="shared" si="37"/>
        <v>3092.8882067705749</v>
      </c>
      <c r="T65" s="734">
        <f t="shared" si="38"/>
        <v>1316.5192528104344</v>
      </c>
      <c r="U65" s="290">
        <f t="shared" si="39"/>
        <v>1721.1047658948164</v>
      </c>
      <c r="V65" s="290">
        <f t="shared" si="40"/>
        <v>2476.6289179239366</v>
      </c>
      <c r="W65" s="290">
        <f t="shared" si="41"/>
        <v>3437.5805155438611</v>
      </c>
      <c r="X65" s="291">
        <f t="shared" si="42"/>
        <v>5382.4813747701046</v>
      </c>
      <c r="Y65" s="279">
        <f ca="1">IF(AND(Y$22=TRUE,INDEX(CDRANGE_CLS3,MATCH($A65,$A$24:$A$67,0),MATCH(Y$20,$B$20:$G$20,0))&lt;$D$6/OPDAYS_Cls3),86,payback(C65,T65,disc_rate/12,85))</f>
        <v>4</v>
      </c>
      <c r="Z65" s="280">
        <f ca="1">IF(AND(Z$22=TRUE,INDEX(CDRANGE_CLS3,MATCH($A65,$A$24:$A$67,0),MATCH(Z$20,$B$20:$G$20,0))&lt;$D$6/OPDAYS_Cls3),86,payback(D65,U65,disc_rate/12,85))</f>
        <v>4</v>
      </c>
      <c r="AA65" s="280">
        <f ca="1">IF(AND(AA$22=TRUE,INDEX(CDRANGE_CLS3,MATCH($A65,$A$24:$A$67,0),MATCH(AA$20,$B$20:$G$20,0))&lt;$D$6/OPDAYS_Cls3),86,payback(E65,V65,disc_rate/12,85))</f>
        <v>5</v>
      </c>
      <c r="AB65" s="280">
        <f ca="1">IF(AND(AB$22=TRUE,INDEX(CDRANGE_CLS3,MATCH($A65,$A$24:$A$67,0),MATCH(AB$20,$B$20:$G$20,0))&lt;$D$6/OPDAYS_Cls3),86,payback(F65,W65,disc_rate/12,85))</f>
        <v>7</v>
      </c>
      <c r="AC65" s="281">
        <f>IF(AND(AC$22=TRUE,INDEX(CDRANGE_CLS3,MATCH($A65,$A$24:$A$67,0),MATCH(AC$20,$B$20:$G$20,0))&lt;$D$6/OPDAYS_Cls3),86,payback(G65,X65,disc_rate/12,85))</f>
        <v>86</v>
      </c>
      <c r="AD65" s="296">
        <f t="shared" si="43"/>
        <v>0</v>
      </c>
      <c r="AE65" s="297">
        <f t="shared" si="44"/>
        <v>0</v>
      </c>
      <c r="AF65" s="297">
        <f t="shared" si="45"/>
        <v>0</v>
      </c>
      <c r="AG65" s="297">
        <f t="shared" si="46"/>
        <v>0</v>
      </c>
      <c r="AH65" s="298">
        <f t="shared" si="47"/>
        <v>0</v>
      </c>
      <c r="AI65" s="595">
        <f t="shared" si="48"/>
        <v>0.49999999962087194</v>
      </c>
      <c r="AJ65" s="300">
        <f t="shared" si="49"/>
        <v>0.49999999962087194</v>
      </c>
      <c r="AK65" s="300">
        <f t="shared" si="50"/>
        <v>0.49999999962087194</v>
      </c>
      <c r="AL65" s="300">
        <f t="shared" si="51"/>
        <v>0.49999999962087194</v>
      </c>
      <c r="AM65" s="598">
        <f t="shared" si="52"/>
        <v>0.49998619831278412</v>
      </c>
      <c r="AN65" s="299">
        <f t="shared" si="65"/>
        <v>0.99294537435345864</v>
      </c>
      <c r="AO65" s="300">
        <f t="shared" si="65"/>
        <v>0.99276586905801067</v>
      </c>
      <c r="AP65" s="300">
        <f t="shared" si="65"/>
        <v>0.96425794685830035</v>
      </c>
      <c r="AQ65" s="300">
        <f t="shared" si="65"/>
        <v>0.86202430426524257</v>
      </c>
      <c r="AR65" s="598">
        <f t="shared" si="65"/>
        <v>0.8603603794700404</v>
      </c>
      <c r="AS65" s="296">
        <f t="shared" ca="1" si="54"/>
        <v>0.99999999924174388</v>
      </c>
      <c r="AT65" s="297">
        <f t="shared" ca="1" si="55"/>
        <v>0.99999999924174388</v>
      </c>
      <c r="AU65" s="297">
        <f t="shared" ca="1" si="56"/>
        <v>0.99999999924174388</v>
      </c>
      <c r="AV65" s="297">
        <f t="shared" ca="1" si="57"/>
        <v>0.99672728465125515</v>
      </c>
      <c r="AW65" s="298">
        <f t="shared" si="58"/>
        <v>0</v>
      </c>
      <c r="AX65" s="296">
        <f t="shared" ca="1" si="59"/>
        <v>0.99294537360055168</v>
      </c>
      <c r="AY65" s="297">
        <f t="shared" ca="1" si="59"/>
        <v>0.99276586830523983</v>
      </c>
      <c r="AZ65" s="297">
        <f t="shared" ca="1" si="59"/>
        <v>0.96425794612714588</v>
      </c>
      <c r="BA65" s="297">
        <f t="shared" ca="1" si="59"/>
        <v>0.85920314409368259</v>
      </c>
      <c r="BB65" s="298">
        <f t="shared" si="59"/>
        <v>0</v>
      </c>
      <c r="BC65" s="296">
        <f t="shared" ca="1" si="66"/>
        <v>7.054626399448205E-3</v>
      </c>
      <c r="BD65" s="297">
        <f t="shared" ca="1" si="60"/>
        <v>0.25883326586179922</v>
      </c>
      <c r="BE65" s="297">
        <f t="shared" ca="1" si="61"/>
        <v>0.25878647381959796</v>
      </c>
      <c r="BF65" s="297">
        <f t="shared" ca="1" si="62"/>
        <v>0.25135525071662551</v>
      </c>
      <c r="BG65" s="297">
        <f t="shared" ca="1" si="63"/>
        <v>0.22397038320252904</v>
      </c>
      <c r="BH65" s="298">
        <f t="shared" ca="1" si="64"/>
        <v>0</v>
      </c>
    </row>
    <row r="66" spans="1:60" x14ac:dyDescent="0.2">
      <c r="A66" s="317">
        <v>2049</v>
      </c>
      <c r="B66" s="820">
        <f t="shared" si="71"/>
        <v>100224.6</v>
      </c>
      <c r="C66" s="821">
        <f t="shared" si="71"/>
        <v>5059.7700000000004</v>
      </c>
      <c r="D66" s="821">
        <f t="shared" si="71"/>
        <v>5123.97</v>
      </c>
      <c r="E66" s="821">
        <f t="shared" si="71"/>
        <v>11472.42</v>
      </c>
      <c r="F66" s="821">
        <f t="shared" si="71"/>
        <v>23185.82</v>
      </c>
      <c r="G66" s="822">
        <f t="shared" si="71"/>
        <v>22961.33</v>
      </c>
      <c r="H66" s="781">
        <f t="shared" si="72"/>
        <v>1</v>
      </c>
      <c r="I66" s="782">
        <f t="shared" si="72"/>
        <v>1</v>
      </c>
      <c r="J66" s="782">
        <f t="shared" si="72"/>
        <v>1</v>
      </c>
      <c r="K66" s="782">
        <f t="shared" si="72"/>
        <v>1</v>
      </c>
      <c r="L66" s="782">
        <f t="shared" si="72"/>
        <v>0.82001391549638414</v>
      </c>
      <c r="M66" s="783">
        <f t="shared" si="72"/>
        <v>1</v>
      </c>
      <c r="N66" s="733">
        <f t="shared" si="32"/>
        <v>8527.1127923232034</v>
      </c>
      <c r="O66" s="276">
        <f t="shared" si="33"/>
        <v>7202.556021792504</v>
      </c>
      <c r="P66" s="276">
        <f t="shared" si="34"/>
        <v>6795.5004626196687</v>
      </c>
      <c r="Q66" s="276">
        <f t="shared" si="35"/>
        <v>6035.3637394131374</v>
      </c>
      <c r="R66" s="276">
        <f t="shared" si="36"/>
        <v>5029.4623689443106</v>
      </c>
      <c r="S66" s="278">
        <f t="shared" si="37"/>
        <v>3030.2313600568878</v>
      </c>
      <c r="T66" s="734">
        <f t="shared" si="38"/>
        <v>1324.5567705306994</v>
      </c>
      <c r="U66" s="290">
        <f t="shared" si="39"/>
        <v>1731.6123297035347</v>
      </c>
      <c r="V66" s="290">
        <f t="shared" si="40"/>
        <v>2491.749052910066</v>
      </c>
      <c r="W66" s="290">
        <f t="shared" si="41"/>
        <v>3497.6504233788928</v>
      </c>
      <c r="X66" s="291">
        <f t="shared" si="42"/>
        <v>5496.8814322663156</v>
      </c>
      <c r="Y66" s="279">
        <f ca="1">IF(AND(Y$22=TRUE,INDEX(CDRANGE_CLS3,MATCH($A66,$A$24:$A$67,0),MATCH(Y$20,$B$20:$G$20,0))&lt;$D$6/OPDAYS_Cls3),86,payback(C66,T66,disc_rate/12,85))</f>
        <v>4</v>
      </c>
      <c r="Z66" s="280">
        <f ca="1">IF(AND(Z$22=TRUE,INDEX(CDRANGE_CLS3,MATCH($A66,$A$24:$A$67,0),MATCH(Z$20,$B$20:$G$20,0))&lt;$D$6/OPDAYS_Cls3),86,payback(D66,U66,disc_rate/12,85))</f>
        <v>3</v>
      </c>
      <c r="AA66" s="280">
        <f ca="1">IF(AND(AA$22=TRUE,INDEX(CDRANGE_CLS3,MATCH($A66,$A$24:$A$67,0),MATCH(AA$20,$B$20:$G$20,0))&lt;$D$6/OPDAYS_Cls3),86,payback(E66,V66,disc_rate/12,85))</f>
        <v>5</v>
      </c>
      <c r="AB66" s="280">
        <f ca="1">IF(AND(AB$22=TRUE,INDEX(CDRANGE_CLS3,MATCH($A66,$A$24:$A$67,0),MATCH(AB$20,$B$20:$G$20,0))&lt;$D$6/OPDAYS_Cls3),86,payback(F66,W66,disc_rate/12,85))</f>
        <v>7</v>
      </c>
      <c r="AC66" s="281">
        <f>IF(AND(AC$22=TRUE,INDEX(CDRANGE_CLS3,MATCH($A66,$A$24:$A$67,0),MATCH(AC$20,$B$20:$G$20,0))&lt;$D$6/OPDAYS_Cls3),86,payback(G66,X66,disc_rate/12,85))</f>
        <v>86</v>
      </c>
      <c r="AD66" s="296">
        <f t="shared" si="43"/>
        <v>0</v>
      </c>
      <c r="AE66" s="297">
        <f t="shared" si="44"/>
        <v>0</v>
      </c>
      <c r="AF66" s="297">
        <f t="shared" si="45"/>
        <v>0</v>
      </c>
      <c r="AG66" s="297">
        <f t="shared" si="46"/>
        <v>0</v>
      </c>
      <c r="AH66" s="298">
        <f t="shared" si="47"/>
        <v>0</v>
      </c>
      <c r="AI66" s="595">
        <f t="shared" si="48"/>
        <v>0.49999999962087194</v>
      </c>
      <c r="AJ66" s="300">
        <f t="shared" si="49"/>
        <v>0.49999999962087194</v>
      </c>
      <c r="AK66" s="300">
        <f t="shared" si="50"/>
        <v>0.49999999962087194</v>
      </c>
      <c r="AL66" s="300">
        <f t="shared" si="51"/>
        <v>0.49999999962087194</v>
      </c>
      <c r="AM66" s="598">
        <f t="shared" si="52"/>
        <v>0.49999473991021715</v>
      </c>
      <c r="AN66" s="299">
        <f t="shared" si="65"/>
        <v>0.99294537435345864</v>
      </c>
      <c r="AO66" s="300">
        <f t="shared" si="65"/>
        <v>0.99276586905801067</v>
      </c>
      <c r="AP66" s="300">
        <f t="shared" si="65"/>
        <v>0.96425794685830035</v>
      </c>
      <c r="AQ66" s="300">
        <f t="shared" si="65"/>
        <v>0.86186220812776648</v>
      </c>
      <c r="AR66" s="598">
        <f t="shared" si="65"/>
        <v>0.86433479059280294</v>
      </c>
      <c r="AS66" s="296">
        <f t="shared" ca="1" si="54"/>
        <v>0.99999999924174388</v>
      </c>
      <c r="AT66" s="297">
        <f t="shared" ca="1" si="55"/>
        <v>0.99999999924174388</v>
      </c>
      <c r="AU66" s="297">
        <f t="shared" ca="1" si="56"/>
        <v>0.99999999924174388</v>
      </c>
      <c r="AV66" s="297">
        <f t="shared" ca="1" si="57"/>
        <v>0.99672728465125515</v>
      </c>
      <c r="AW66" s="298">
        <f t="shared" si="58"/>
        <v>0</v>
      </c>
      <c r="AX66" s="296">
        <f t="shared" ca="1" si="59"/>
        <v>0.99294537360055168</v>
      </c>
      <c r="AY66" s="297">
        <f t="shared" ca="1" si="59"/>
        <v>0.99276586830523983</v>
      </c>
      <c r="AZ66" s="297">
        <f t="shared" ca="1" si="59"/>
        <v>0.96425794612714588</v>
      </c>
      <c r="BA66" s="297">
        <f t="shared" ca="1" si="59"/>
        <v>0.8590415784507236</v>
      </c>
      <c r="BB66" s="298">
        <f t="shared" si="59"/>
        <v>0</v>
      </c>
      <c r="BC66" s="296">
        <f t="shared" ca="1" si="66"/>
        <v>7.054626399448205E-3</v>
      </c>
      <c r="BD66" s="297">
        <f t="shared" ca="1" si="60"/>
        <v>0.25884424471315509</v>
      </c>
      <c r="BE66" s="297">
        <f t="shared" ca="1" si="61"/>
        <v>0.25879745068619014</v>
      </c>
      <c r="BF66" s="297">
        <f t="shared" ca="1" si="62"/>
        <v>0.25136591237530354</v>
      </c>
      <c r="BG66" s="297">
        <f t="shared" ca="1" si="63"/>
        <v>0.22393776582590302</v>
      </c>
      <c r="BH66" s="298">
        <f t="shared" ca="1" si="64"/>
        <v>0</v>
      </c>
    </row>
    <row r="67" spans="1:60" ht="13.5" thickBot="1" x14ac:dyDescent="0.25">
      <c r="A67" s="302">
        <v>2050</v>
      </c>
      <c r="B67" s="823">
        <f t="shared" si="71"/>
        <v>100224.6</v>
      </c>
      <c r="C67" s="824">
        <f t="shared" si="71"/>
        <v>5059.7700000000004</v>
      </c>
      <c r="D67" s="824">
        <f t="shared" si="71"/>
        <v>5123.97</v>
      </c>
      <c r="E67" s="824">
        <f t="shared" si="71"/>
        <v>11472.42</v>
      </c>
      <c r="F67" s="824">
        <f t="shared" si="71"/>
        <v>23200.49</v>
      </c>
      <c r="G67" s="825">
        <f t="shared" si="71"/>
        <v>22601.22</v>
      </c>
      <c r="H67" s="781">
        <f t="shared" si="72"/>
        <v>1</v>
      </c>
      <c r="I67" s="782">
        <f t="shared" si="72"/>
        <v>1</v>
      </c>
      <c r="J67" s="782">
        <f t="shared" si="72"/>
        <v>1</v>
      </c>
      <c r="K67" s="782">
        <f t="shared" si="72"/>
        <v>1</v>
      </c>
      <c r="L67" s="782">
        <f t="shared" si="72"/>
        <v>0.81968500911075137</v>
      </c>
      <c r="M67" s="783">
        <f t="shared" si="72"/>
        <v>1</v>
      </c>
      <c r="N67" s="884">
        <f t="shared" si="32"/>
        <v>8574.7820248709722</v>
      </c>
      <c r="O67" s="779">
        <f t="shared" si="33"/>
        <v>7242.8205669325989</v>
      </c>
      <c r="P67" s="779">
        <f t="shared" si="34"/>
        <v>6833.489439629886</v>
      </c>
      <c r="Q67" s="779">
        <f t="shared" si="35"/>
        <v>6069.1033139457359</v>
      </c>
      <c r="R67" s="779">
        <f t="shared" si="36"/>
        <v>5023.2026964611441</v>
      </c>
      <c r="S67" s="780">
        <f t="shared" si="37"/>
        <v>2992.3225309252562</v>
      </c>
      <c r="T67" s="737">
        <f t="shared" si="38"/>
        <v>1331.9614579383733</v>
      </c>
      <c r="U67" s="304">
        <f t="shared" si="39"/>
        <v>1741.2925852410863</v>
      </c>
      <c r="V67" s="304">
        <f t="shared" si="40"/>
        <v>2505.6787109252364</v>
      </c>
      <c r="W67" s="304">
        <f t="shared" si="41"/>
        <v>3551.5793284098281</v>
      </c>
      <c r="X67" s="305">
        <f t="shared" si="42"/>
        <v>5582.4594939457165</v>
      </c>
      <c r="Y67" s="889">
        <f ca="1">IF(AND(Y$22=TRUE,INDEX(CDRANGE_CLS3,MATCH($A67,$A$24:$A$67,0),MATCH(Y$20,$B$20:$G$20,0))&lt;$D$6/OPDAYS_Cls3),86,payback(C67,T67,disc_rate/12,85))</f>
        <v>4</v>
      </c>
      <c r="Z67" s="890">
        <f ca="1">IF(AND(Z$22=TRUE,INDEX(CDRANGE_CLS3,MATCH($A67,$A$24:$A$67,0),MATCH(Z$20,$B$20:$G$20,0))&lt;$D$6/OPDAYS_Cls3),86,payback(D67,U67,disc_rate/12,85))</f>
        <v>3</v>
      </c>
      <c r="AA67" s="890">
        <f ca="1">IF(AND(AA$22=TRUE,INDEX(CDRANGE_CLS3,MATCH($A67,$A$24:$A$67,0),MATCH(AA$20,$B$20:$G$20,0))&lt;$D$6/OPDAYS_Cls3),86,payback(E67,V67,disc_rate/12,85))</f>
        <v>5</v>
      </c>
      <c r="AB67" s="890">
        <f ca="1">IF(AND(AB$22=TRUE,INDEX(CDRANGE_CLS3,MATCH($A67,$A$24:$A$67,0),MATCH(AB$20,$B$20:$G$20,0))&lt;$D$6/OPDAYS_Cls3),86,payback(F67,W67,disc_rate/12,85))</f>
        <v>7</v>
      </c>
      <c r="AC67" s="891">
        <f>IF(AND(AC$22=TRUE,INDEX(CDRANGE_CLS3,MATCH($A67,$A$24:$A$67,0),MATCH(AC$20,$B$20:$G$20,0))&lt;$D$6/OPDAYS_Cls3),86,payback(G67,X67,disc_rate/12,85))</f>
        <v>86</v>
      </c>
      <c r="AD67" s="310">
        <f t="shared" si="43"/>
        <v>0</v>
      </c>
      <c r="AE67" s="311">
        <f t="shared" si="44"/>
        <v>0</v>
      </c>
      <c r="AF67" s="311">
        <f t="shared" si="45"/>
        <v>0</v>
      </c>
      <c r="AG67" s="311">
        <f t="shared" si="46"/>
        <v>0</v>
      </c>
      <c r="AH67" s="312">
        <f t="shared" si="47"/>
        <v>0</v>
      </c>
      <c r="AI67" s="596">
        <f t="shared" si="48"/>
        <v>0.49999999962087194</v>
      </c>
      <c r="AJ67" s="314">
        <f t="shared" si="49"/>
        <v>0.49999999962087194</v>
      </c>
      <c r="AK67" s="314">
        <f t="shared" si="50"/>
        <v>0.49999999962087194</v>
      </c>
      <c r="AL67" s="314">
        <f t="shared" si="51"/>
        <v>0.49999999962087194</v>
      </c>
      <c r="AM67" s="599">
        <f t="shared" si="52"/>
        <v>0.49999890515837031</v>
      </c>
      <c r="AN67" s="313">
        <f t="shared" si="65"/>
        <v>0.99294537435345864</v>
      </c>
      <c r="AO67" s="314">
        <f t="shared" si="65"/>
        <v>0.99276586905801067</v>
      </c>
      <c r="AP67" s="314">
        <f t="shared" si="65"/>
        <v>0.96425794685830035</v>
      </c>
      <c r="AQ67" s="314">
        <f t="shared" si="65"/>
        <v>0.86170003990699406</v>
      </c>
      <c r="AR67" s="599">
        <f t="shared" si="65"/>
        <v>0.86826539789271351</v>
      </c>
      <c r="AS67" s="310">
        <f t="shared" ca="1" si="54"/>
        <v>0.99999999924174388</v>
      </c>
      <c r="AT67" s="311">
        <f t="shared" ca="1" si="55"/>
        <v>0.99999999924174388</v>
      </c>
      <c r="AU67" s="311">
        <f t="shared" ca="1" si="56"/>
        <v>0.99999999924174388</v>
      </c>
      <c r="AV67" s="311">
        <f t="shared" ca="1" si="57"/>
        <v>0.99672728465125515</v>
      </c>
      <c r="AW67" s="312">
        <f t="shared" si="58"/>
        <v>0</v>
      </c>
      <c r="AX67" s="310">
        <f t="shared" ca="1" si="59"/>
        <v>0.99294537360055168</v>
      </c>
      <c r="AY67" s="311">
        <f t="shared" ca="1" si="59"/>
        <v>0.99276586830523983</v>
      </c>
      <c r="AZ67" s="311">
        <f t="shared" ca="1" si="59"/>
        <v>0.96425794612714588</v>
      </c>
      <c r="BA67" s="311">
        <f t="shared" ca="1" si="59"/>
        <v>0.85887994096037634</v>
      </c>
      <c r="BB67" s="312">
        <f t="shared" si="59"/>
        <v>0</v>
      </c>
      <c r="BC67" s="310">
        <f t="shared" ca="1" si="66"/>
        <v>7.0546263994484271E-3</v>
      </c>
      <c r="BD67" s="311">
        <f t="shared" ca="1" si="60"/>
        <v>0.25885522937878219</v>
      </c>
      <c r="BE67" s="311">
        <f t="shared" ca="1" si="61"/>
        <v>0.25880843336600245</v>
      </c>
      <c r="BF67" s="311">
        <f t="shared" ca="1" si="62"/>
        <v>0.25137657968027127</v>
      </c>
      <c r="BG67" s="311">
        <f t="shared" ca="1" si="63"/>
        <v>0.22390513117549576</v>
      </c>
      <c r="BH67" s="312">
        <f t="shared" ca="1" si="64"/>
        <v>0</v>
      </c>
    </row>
    <row r="68" spans="1:60" x14ac:dyDescent="0.2">
      <c r="A68" s="227" t="s">
        <v>241</v>
      </c>
      <c r="B68" s="808"/>
      <c r="C68" s="808"/>
      <c r="D68" s="808"/>
      <c r="E68" s="808"/>
      <c r="F68" s="808"/>
      <c r="G68" s="768"/>
      <c r="N68" s="885"/>
      <c r="O68" s="885"/>
      <c r="P68" s="885"/>
      <c r="Q68" s="885"/>
      <c r="R68" s="885"/>
      <c r="S68" s="885"/>
      <c r="W68" s="227" t="s">
        <v>40</v>
      </c>
      <c r="X68" s="227" t="s">
        <v>40</v>
      </c>
      <c r="Y68" s="234"/>
      <c r="Z68" s="234"/>
      <c r="AA68" s="234"/>
      <c r="AB68" s="234"/>
      <c r="AC68" s="234"/>
      <c r="AD68" s="322"/>
      <c r="AE68" s="234"/>
      <c r="AF68" s="234"/>
      <c r="AG68" s="234"/>
      <c r="AH68" s="234"/>
    </row>
    <row r="69" spans="1:60" ht="13.5" thickBot="1" x14ac:dyDescent="0.25"/>
    <row r="70" spans="1:60" s="29" customFormat="1" ht="15" x14ac:dyDescent="0.25">
      <c r="A70" s="333"/>
      <c r="B70" s="1559" t="s">
        <v>194</v>
      </c>
      <c r="C70" s="1560"/>
      <c r="D70" s="1560"/>
      <c r="E70" s="1560"/>
      <c r="F70" s="1560"/>
      <c r="G70" s="1560"/>
      <c r="H70" s="1560"/>
      <c r="I70" s="1560"/>
      <c r="J70" s="1560"/>
      <c r="K70" s="1560"/>
      <c r="L70" s="1560"/>
      <c r="M70" s="1560"/>
      <c r="N70" s="1561"/>
      <c r="O70" s="1559" t="s">
        <v>195</v>
      </c>
      <c r="P70" s="1560"/>
      <c r="Q70" s="1560"/>
      <c r="R70" s="1560"/>
      <c r="S70" s="1560"/>
      <c r="T70" s="1560"/>
      <c r="U70" s="1560"/>
      <c r="V70" s="1560"/>
      <c r="W70" s="1560"/>
      <c r="X70" s="1560"/>
      <c r="Y70" s="1560"/>
      <c r="Z70" s="1560"/>
      <c r="AA70" s="1561"/>
    </row>
    <row r="71" spans="1:60" x14ac:dyDescent="0.2">
      <c r="A71" s="324"/>
      <c r="B71" s="1556" t="s">
        <v>121</v>
      </c>
      <c r="C71" s="1557"/>
      <c r="D71" s="1557"/>
      <c r="E71" s="1557"/>
      <c r="F71" s="1557"/>
      <c r="G71" s="1557"/>
      <c r="H71" s="1557"/>
      <c r="I71" s="1557"/>
      <c r="J71" s="1557"/>
      <c r="K71" s="1557"/>
      <c r="L71" s="1558"/>
      <c r="M71" s="382"/>
      <c r="N71" s="325"/>
      <c r="O71" s="1556" t="s">
        <v>121</v>
      </c>
      <c r="P71" s="1557"/>
      <c r="Q71" s="1557"/>
      <c r="R71" s="1557"/>
      <c r="S71" s="1557"/>
      <c r="T71" s="1557"/>
      <c r="U71" s="1557"/>
      <c r="V71" s="1557"/>
      <c r="W71" s="1557"/>
      <c r="X71" s="1557"/>
      <c r="Y71" s="1558"/>
      <c r="Z71" s="382"/>
      <c r="AA71" s="325"/>
      <c r="AC71" s="955" t="s">
        <v>268</v>
      </c>
      <c r="AD71" s="234" t="b">
        <f>INDEX(TECH_OPT_FUEL2_Cls1,MATCH(RIGHT(O70),TECH_OPT_ROWS_Cls1,0))&lt;&gt;"N/A"</f>
        <v>0</v>
      </c>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7"/>
      <c r="AC72" s="955" t="s">
        <v>269</v>
      </c>
      <c r="AD72" s="234">
        <f>MATCH(RIGHT(O70),TECH_OPT_ROWS_Cls1,0)</f>
        <v>2</v>
      </c>
    </row>
    <row r="73" spans="1:60" s="228" customFormat="1" ht="13.5" thickTop="1" thickBot="1" x14ac:dyDescent="0.25">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11">
        <v>1.1022999100839563E-4</v>
      </c>
      <c r="Z73" s="384"/>
      <c r="AA73" s="336"/>
    </row>
    <row r="74" spans="1:60" s="228" customFormat="1" x14ac:dyDescent="0.2">
      <c r="A74" s="331" t="s">
        <v>125</v>
      </c>
      <c r="B74" s="924">
        <f t="array" ref="B74:L74">TRANSPOSE(Cls3CentVMTShr)</f>
        <v>7.4407503791532936E-2</v>
      </c>
      <c r="C74" s="925">
        <v>0.15052192967997111</v>
      </c>
      <c r="D74" s="925">
        <v>8.9028098283245441E-2</v>
      </c>
      <c r="E74" s="925">
        <v>4.5356257743642811E-2</v>
      </c>
      <c r="F74" s="925">
        <v>2.1016507050137231E-2</v>
      </c>
      <c r="G74" s="925">
        <v>4.9007047894213725E-4</v>
      </c>
      <c r="H74" s="925">
        <v>1.4797621296467818E-2</v>
      </c>
      <c r="I74" s="925">
        <v>0</v>
      </c>
      <c r="J74" s="925">
        <v>0</v>
      </c>
      <c r="K74" s="925">
        <v>3.7103078033661591E-3</v>
      </c>
      <c r="L74" s="1212">
        <v>0</v>
      </c>
      <c r="M74" s="1213"/>
      <c r="N74" s="1214"/>
      <c r="O74" s="924">
        <f t="array" ref="O74:Y74">TRANSPOSE(Cls3NCentVMTShr)</f>
        <v>0.11481596497083862</v>
      </c>
      <c r="P74" s="925">
        <v>0.26987209279577573</v>
      </c>
      <c r="Q74" s="925">
        <v>8.3836105982992667E-2</v>
      </c>
      <c r="R74" s="925">
        <v>5.9842896537765707E-2</v>
      </c>
      <c r="S74" s="925">
        <v>1.6413649143963899E-2</v>
      </c>
      <c r="T74" s="925">
        <v>1.0165768727376887E-2</v>
      </c>
      <c r="U74" s="925">
        <v>2.0700108148562976E-2</v>
      </c>
      <c r="V74" s="925">
        <v>2.0956833812228508E-2</v>
      </c>
      <c r="W74" s="925">
        <v>3.1584958359553582E-3</v>
      </c>
      <c r="X74" s="925">
        <v>0</v>
      </c>
      <c r="Y74" s="926">
        <v>9.0978791723388369E-4</v>
      </c>
      <c r="Z74" s="1213"/>
      <c r="AA74" s="1214"/>
      <c r="AB74" s="1572" t="str">
        <f>"% of miles on f2 for Tech "&amp; RIGHT(O69)&amp;" adopters"</f>
        <v>% of miles on f2 for Tech  adopters</v>
      </c>
      <c r="AC74" s="1573"/>
      <c r="AD74" s="1574"/>
      <c r="AE74" s="1239" t="s">
        <v>299</v>
      </c>
      <c r="AF74" s="1240"/>
      <c r="AG74" s="1240"/>
      <c r="AH74" s="1230" t="s">
        <v>298</v>
      </c>
      <c r="AI74" s="1231"/>
    </row>
    <row r="75" spans="1:60" ht="13.5" thickBot="1" x14ac:dyDescent="0.25">
      <c r="A75" s="943" t="s">
        <v>267</v>
      </c>
      <c r="B75" s="934">
        <f t="array" ref="B75:L75">TRANSPOSE(Cls3CentVMT/OPDAYS_Cls3)</f>
        <v>49.202805162026571</v>
      </c>
      <c r="C75" s="935">
        <v>115.99623692884222</v>
      </c>
      <c r="D75" s="935">
        <v>190.94140758026836</v>
      </c>
      <c r="E75" s="935">
        <v>282.72824571583544</v>
      </c>
      <c r="F75" s="935">
        <v>349.10577157713089</v>
      </c>
      <c r="G75" s="935">
        <v>408.92399999999998</v>
      </c>
      <c r="H75" s="935">
        <v>540.31926836851005</v>
      </c>
      <c r="I75" s="935">
        <v>600</v>
      </c>
      <c r="J75" s="935">
        <v>680</v>
      </c>
      <c r="K75" s="935">
        <v>800.00000000000011</v>
      </c>
      <c r="L75" s="936">
        <v>800</v>
      </c>
      <c r="M75" s="932"/>
      <c r="N75" s="933"/>
      <c r="O75" s="934">
        <f t="array" ref="O75:Y75">TRANSPOSE(Cls3NCentVMT/OPDAYS_Cls3)</f>
        <v>45.820527909508108</v>
      </c>
      <c r="P75" s="935">
        <v>114.90604343518244</v>
      </c>
      <c r="Q75" s="935">
        <v>196.29405935940918</v>
      </c>
      <c r="R75" s="935">
        <v>286.46435582159182</v>
      </c>
      <c r="S75" s="935">
        <v>352.24339419308075</v>
      </c>
      <c r="T75" s="935">
        <v>427.07804424634116</v>
      </c>
      <c r="U75" s="935">
        <v>519.59880241076587</v>
      </c>
      <c r="V75" s="935">
        <v>608.4346682070543</v>
      </c>
      <c r="W75" s="935">
        <v>703.2</v>
      </c>
      <c r="X75" s="935">
        <v>760</v>
      </c>
      <c r="Y75" s="1215">
        <v>900</v>
      </c>
      <c r="Z75" s="944"/>
      <c r="AA75" s="933"/>
      <c r="AB75" s="946" t="s">
        <v>187</v>
      </c>
      <c r="AC75" s="947" t="s">
        <v>15</v>
      </c>
      <c r="AD75" s="948" t="s">
        <v>18</v>
      </c>
      <c r="AE75" s="330" t="s">
        <v>187</v>
      </c>
      <c r="AF75" s="1241" t="s">
        <v>15</v>
      </c>
      <c r="AG75" s="1241" t="s">
        <v>18</v>
      </c>
      <c r="AH75" s="1242" t="s">
        <v>187</v>
      </c>
      <c r="AI75" s="1243" t="s">
        <v>15</v>
      </c>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2">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2">
        <f>SUMPRODUCT(O76:Y76,$O$73:$Y$73)</f>
        <v>0</v>
      </c>
      <c r="AB76" s="949">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50">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8">
        <f>AB76*AH76+AC76*AI76</f>
        <v>0</v>
      </c>
      <c r="AE76" s="1232">
        <f t="shared" ref="AE76:AE90" si="73">SUMPRODUCT($B$74:$L$74,B76:L76)</f>
        <v>0</v>
      </c>
      <c r="AF76" s="1233">
        <f t="shared" ref="AF76:AF90" si="74">SUMPRODUCT($O$74:$Y$74,O76:Y76)</f>
        <v>0</v>
      </c>
      <c r="AG76" s="1233">
        <f t="shared" ref="AG76:AG90" si="75">SUM(AE76:AF76)</f>
        <v>0</v>
      </c>
      <c r="AH76" s="1174">
        <f>IF(AG76&gt;0,AE76/AG76,0)</f>
        <v>0</v>
      </c>
      <c r="AI76" s="1234">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6">SUMPRODUCT(B77:L77,$B$74:$L$74)</f>
        <v>0</v>
      </c>
      <c r="N77" s="298">
        <f t="shared" ref="N77:N119" si="77">SUMPRODUCT(B77:L77,$B$73:$L$73)</f>
        <v>0</v>
      </c>
      <c r="O77" s="344">
        <v>0</v>
      </c>
      <c r="P77" s="345">
        <v>0</v>
      </c>
      <c r="Q77" s="345">
        <v>0</v>
      </c>
      <c r="R77" s="345">
        <v>0</v>
      </c>
      <c r="S77" s="345">
        <v>0</v>
      </c>
      <c r="T77" s="345">
        <v>0</v>
      </c>
      <c r="U77" s="345">
        <v>0</v>
      </c>
      <c r="V77" s="345">
        <v>0</v>
      </c>
      <c r="W77" s="345">
        <v>0</v>
      </c>
      <c r="X77" s="345">
        <v>0</v>
      </c>
      <c r="Y77" s="380">
        <v>0</v>
      </c>
      <c r="Z77" s="296">
        <f t="shared" ref="Z77:Z119" si="78">SUMPRODUCT(O77:Y77,$O$74:$Y$74)</f>
        <v>0</v>
      </c>
      <c r="AA77" s="298">
        <f t="shared" ref="AA77:AA119" si="79">SUMPRODUCT(O77:Y77,$O$73:$Y$73)</f>
        <v>0</v>
      </c>
      <c r="AB77" s="949">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50">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8">
        <f t="shared" ref="AD77:AD101" si="80">AB77*AH77+AC77*AI77</f>
        <v>0</v>
      </c>
      <c r="AE77" s="1232">
        <f t="shared" si="73"/>
        <v>0</v>
      </c>
      <c r="AF77" s="1233">
        <f t="shared" si="74"/>
        <v>0</v>
      </c>
      <c r="AG77" s="1233">
        <f t="shared" si="75"/>
        <v>0</v>
      </c>
      <c r="AH77" s="1174">
        <f t="shared" ref="AH77:AH119" si="81">IF(AG77&gt;0,AE77/AG77,0)</f>
        <v>0</v>
      </c>
      <c r="AI77" s="1234">
        <f t="shared" ref="AI77:AI119" si="82">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6"/>
        <v>0</v>
      </c>
      <c r="N78" s="298">
        <f t="shared" si="77"/>
        <v>0</v>
      </c>
      <c r="O78" s="344">
        <v>0</v>
      </c>
      <c r="P78" s="345">
        <v>0</v>
      </c>
      <c r="Q78" s="345">
        <v>0</v>
      </c>
      <c r="R78" s="345">
        <v>0</v>
      </c>
      <c r="S78" s="345">
        <v>0</v>
      </c>
      <c r="T78" s="345">
        <v>0</v>
      </c>
      <c r="U78" s="345">
        <v>0</v>
      </c>
      <c r="V78" s="345">
        <v>0</v>
      </c>
      <c r="W78" s="345">
        <v>0</v>
      </c>
      <c r="X78" s="345">
        <v>0</v>
      </c>
      <c r="Y78" s="380">
        <v>0</v>
      </c>
      <c r="Z78" s="296">
        <f t="shared" si="78"/>
        <v>0</v>
      </c>
      <c r="AA78" s="298">
        <f t="shared" si="79"/>
        <v>0</v>
      </c>
      <c r="AB78" s="949">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50">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8">
        <f t="shared" si="80"/>
        <v>0</v>
      </c>
      <c r="AE78" s="1232">
        <f t="shared" si="73"/>
        <v>0</v>
      </c>
      <c r="AF78" s="1233">
        <f t="shared" si="74"/>
        <v>0</v>
      </c>
      <c r="AG78" s="1233">
        <f t="shared" si="75"/>
        <v>0</v>
      </c>
      <c r="AH78" s="1174">
        <f t="shared" si="81"/>
        <v>0</v>
      </c>
      <c r="AI78" s="1234">
        <f t="shared" si="82"/>
        <v>0</v>
      </c>
      <c r="AJ78" s="227"/>
      <c r="AK78" s="227"/>
      <c r="AL78" s="227"/>
      <c r="AM78" s="227"/>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76"/>
        <v>0</v>
      </c>
      <c r="N79" s="312">
        <f t="shared" si="77"/>
        <v>0</v>
      </c>
      <c r="O79" s="346">
        <v>0</v>
      </c>
      <c r="P79" s="347">
        <v>0</v>
      </c>
      <c r="Q79" s="347">
        <v>0</v>
      </c>
      <c r="R79" s="347">
        <v>0</v>
      </c>
      <c r="S79" s="347">
        <v>0</v>
      </c>
      <c r="T79" s="347">
        <v>0</v>
      </c>
      <c r="U79" s="347">
        <v>0</v>
      </c>
      <c r="V79" s="347">
        <v>0</v>
      </c>
      <c r="W79" s="347">
        <v>0</v>
      </c>
      <c r="X79" s="347">
        <v>0</v>
      </c>
      <c r="Y79" s="381">
        <v>0</v>
      </c>
      <c r="Z79" s="310">
        <f t="shared" si="78"/>
        <v>0</v>
      </c>
      <c r="AA79" s="312">
        <f t="shared" si="79"/>
        <v>0</v>
      </c>
      <c r="AB79" s="949">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50">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8">
        <f t="shared" si="80"/>
        <v>0</v>
      </c>
      <c r="AE79" s="1232">
        <f t="shared" si="73"/>
        <v>0</v>
      </c>
      <c r="AF79" s="1233">
        <f t="shared" si="74"/>
        <v>0</v>
      </c>
      <c r="AG79" s="1233">
        <f t="shared" si="75"/>
        <v>0</v>
      </c>
      <c r="AH79" s="1174">
        <f t="shared" si="81"/>
        <v>0</v>
      </c>
      <c r="AI79" s="1234">
        <f t="shared" si="82"/>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6"/>
        <v>0</v>
      </c>
      <c r="N80" s="284">
        <f t="shared" si="77"/>
        <v>0</v>
      </c>
      <c r="O80" s="342">
        <v>0</v>
      </c>
      <c r="P80" s="343">
        <v>0</v>
      </c>
      <c r="Q80" s="343">
        <v>0</v>
      </c>
      <c r="R80" s="343">
        <v>0</v>
      </c>
      <c r="S80" s="343">
        <v>0</v>
      </c>
      <c r="T80" s="343">
        <v>0</v>
      </c>
      <c r="U80" s="343">
        <v>0</v>
      </c>
      <c r="V80" s="343">
        <v>0</v>
      </c>
      <c r="W80" s="343">
        <v>0</v>
      </c>
      <c r="X80" s="343">
        <v>0</v>
      </c>
      <c r="Y80" s="379">
        <v>0</v>
      </c>
      <c r="Z80" s="282">
        <f t="shared" si="78"/>
        <v>0</v>
      </c>
      <c r="AA80" s="284">
        <f t="shared" si="79"/>
        <v>0</v>
      </c>
      <c r="AB80" s="949">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50">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8">
        <f t="shared" si="80"/>
        <v>0</v>
      </c>
      <c r="AE80" s="1232">
        <f t="shared" si="73"/>
        <v>0</v>
      </c>
      <c r="AF80" s="1233">
        <f t="shared" si="74"/>
        <v>0</v>
      </c>
      <c r="AG80" s="1233">
        <f t="shared" si="75"/>
        <v>0</v>
      </c>
      <c r="AH80" s="1174">
        <f t="shared" si="81"/>
        <v>0</v>
      </c>
      <c r="AI80" s="1234">
        <f t="shared" si="82"/>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76"/>
        <v>0</v>
      </c>
      <c r="N81" s="298">
        <f t="shared" si="77"/>
        <v>0</v>
      </c>
      <c r="O81" s="344">
        <v>0</v>
      </c>
      <c r="P81" s="345">
        <v>0</v>
      </c>
      <c r="Q81" s="345">
        <v>0</v>
      </c>
      <c r="R81" s="345">
        <v>0</v>
      </c>
      <c r="S81" s="345">
        <v>0</v>
      </c>
      <c r="T81" s="345">
        <v>0</v>
      </c>
      <c r="U81" s="345">
        <v>0</v>
      </c>
      <c r="V81" s="345">
        <v>0</v>
      </c>
      <c r="W81" s="345">
        <v>0</v>
      </c>
      <c r="X81" s="345">
        <v>0</v>
      </c>
      <c r="Y81" s="380">
        <v>0</v>
      </c>
      <c r="Z81" s="296">
        <f t="shared" si="78"/>
        <v>0</v>
      </c>
      <c r="AA81" s="298">
        <f t="shared" si="79"/>
        <v>0</v>
      </c>
      <c r="AB81" s="949">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50">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8">
        <f t="shared" si="80"/>
        <v>0</v>
      </c>
      <c r="AE81" s="1232">
        <f t="shared" si="73"/>
        <v>0</v>
      </c>
      <c r="AF81" s="1233">
        <f t="shared" si="74"/>
        <v>0</v>
      </c>
      <c r="AG81" s="1233">
        <f t="shared" si="75"/>
        <v>0</v>
      </c>
      <c r="AH81" s="1174">
        <f t="shared" si="81"/>
        <v>0</v>
      </c>
      <c r="AI81" s="1234">
        <f t="shared" si="82"/>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76"/>
        <v>0</v>
      </c>
      <c r="N82" s="298">
        <f t="shared" si="77"/>
        <v>0</v>
      </c>
      <c r="O82" s="344">
        <v>0</v>
      </c>
      <c r="P82" s="345">
        <v>0</v>
      </c>
      <c r="Q82" s="345">
        <v>0</v>
      </c>
      <c r="R82" s="345">
        <v>0</v>
      </c>
      <c r="S82" s="345">
        <v>0</v>
      </c>
      <c r="T82" s="345">
        <v>0</v>
      </c>
      <c r="U82" s="345">
        <v>0</v>
      </c>
      <c r="V82" s="345">
        <v>0</v>
      </c>
      <c r="W82" s="345">
        <v>0</v>
      </c>
      <c r="X82" s="345">
        <v>0</v>
      </c>
      <c r="Y82" s="380">
        <v>0</v>
      </c>
      <c r="Z82" s="296">
        <f t="shared" si="78"/>
        <v>0</v>
      </c>
      <c r="AA82" s="298">
        <f t="shared" si="79"/>
        <v>0</v>
      </c>
      <c r="AB82" s="949">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50">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8">
        <f t="shared" si="80"/>
        <v>0</v>
      </c>
      <c r="AE82" s="1232">
        <f t="shared" si="73"/>
        <v>0</v>
      </c>
      <c r="AF82" s="1233">
        <f t="shared" si="74"/>
        <v>0</v>
      </c>
      <c r="AG82" s="1233">
        <f t="shared" si="75"/>
        <v>0</v>
      </c>
      <c r="AH82" s="1174">
        <f t="shared" si="81"/>
        <v>0</v>
      </c>
      <c r="AI82" s="1234">
        <f t="shared" si="82"/>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76"/>
        <v>0</v>
      </c>
      <c r="N83" s="298">
        <f t="shared" si="77"/>
        <v>0</v>
      </c>
      <c r="O83" s="344">
        <v>0</v>
      </c>
      <c r="P83" s="345">
        <v>0</v>
      </c>
      <c r="Q83" s="345">
        <v>0</v>
      </c>
      <c r="R83" s="345">
        <v>0</v>
      </c>
      <c r="S83" s="345">
        <v>0</v>
      </c>
      <c r="T83" s="345">
        <v>0</v>
      </c>
      <c r="U83" s="345">
        <v>0</v>
      </c>
      <c r="V83" s="345">
        <v>0</v>
      </c>
      <c r="W83" s="345">
        <v>0</v>
      </c>
      <c r="X83" s="345">
        <v>0</v>
      </c>
      <c r="Y83" s="380">
        <v>0</v>
      </c>
      <c r="Z83" s="296">
        <f t="shared" si="78"/>
        <v>0</v>
      </c>
      <c r="AA83" s="298">
        <f t="shared" si="79"/>
        <v>0</v>
      </c>
      <c r="AB83" s="949">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50">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8">
        <f t="shared" si="80"/>
        <v>0</v>
      </c>
      <c r="AE83" s="1232">
        <f t="shared" si="73"/>
        <v>0</v>
      </c>
      <c r="AF83" s="1233">
        <f t="shared" si="74"/>
        <v>0</v>
      </c>
      <c r="AG83" s="1233">
        <f t="shared" si="75"/>
        <v>0</v>
      </c>
      <c r="AH83" s="1174">
        <f t="shared" si="81"/>
        <v>0</v>
      </c>
      <c r="AI83" s="1234">
        <f t="shared" si="82"/>
        <v>0</v>
      </c>
      <c r="AJ83" s="227"/>
      <c r="AK83" s="227"/>
      <c r="AL83" s="227"/>
      <c r="AM83" s="227"/>
    </row>
    <row r="84" spans="1:39" ht="13.5" thickBot="1" x14ac:dyDescent="0.25">
      <c r="A84" s="328">
        <v>2015</v>
      </c>
      <c r="B84" s="346">
        <v>0</v>
      </c>
      <c r="C84" s="347">
        <v>0</v>
      </c>
      <c r="D84" s="347">
        <v>0</v>
      </c>
      <c r="E84" s="347">
        <v>0</v>
      </c>
      <c r="F84" s="347">
        <v>0</v>
      </c>
      <c r="G84" s="347">
        <v>0</v>
      </c>
      <c r="H84" s="347">
        <v>0</v>
      </c>
      <c r="I84" s="347">
        <v>0</v>
      </c>
      <c r="J84" s="347">
        <v>0</v>
      </c>
      <c r="K84" s="347">
        <v>0</v>
      </c>
      <c r="L84" s="381">
        <v>0</v>
      </c>
      <c r="M84" s="310">
        <f t="shared" si="76"/>
        <v>0</v>
      </c>
      <c r="N84" s="312">
        <f t="shared" si="77"/>
        <v>0</v>
      </c>
      <c r="O84" s="346">
        <v>0</v>
      </c>
      <c r="P84" s="347">
        <v>0</v>
      </c>
      <c r="Q84" s="347">
        <v>0</v>
      </c>
      <c r="R84" s="347">
        <v>0</v>
      </c>
      <c r="S84" s="347">
        <v>0</v>
      </c>
      <c r="T84" s="347">
        <v>0</v>
      </c>
      <c r="U84" s="347">
        <v>0</v>
      </c>
      <c r="V84" s="347">
        <v>0</v>
      </c>
      <c r="W84" s="347">
        <v>0</v>
      </c>
      <c r="X84" s="347">
        <v>0</v>
      </c>
      <c r="Y84" s="381">
        <v>0</v>
      </c>
      <c r="Z84" s="310">
        <f t="shared" si="78"/>
        <v>0</v>
      </c>
      <c r="AA84" s="312">
        <f t="shared" si="79"/>
        <v>0</v>
      </c>
      <c r="AB84" s="949">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50">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8">
        <f t="shared" si="80"/>
        <v>0</v>
      </c>
      <c r="AE84" s="1232">
        <f t="shared" si="73"/>
        <v>0</v>
      </c>
      <c r="AF84" s="1233">
        <f t="shared" si="74"/>
        <v>0</v>
      </c>
      <c r="AG84" s="1233">
        <f t="shared" si="75"/>
        <v>0</v>
      </c>
      <c r="AH84" s="1174">
        <f t="shared" si="81"/>
        <v>0</v>
      </c>
      <c r="AI84" s="1234">
        <f t="shared" si="82"/>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76"/>
        <v>0</v>
      </c>
      <c r="N85" s="284">
        <f t="shared" si="77"/>
        <v>0</v>
      </c>
      <c r="O85" s="342">
        <v>0</v>
      </c>
      <c r="P85" s="343">
        <v>0</v>
      </c>
      <c r="Q85" s="343">
        <v>0</v>
      </c>
      <c r="R85" s="343">
        <v>0</v>
      </c>
      <c r="S85" s="343">
        <v>0</v>
      </c>
      <c r="T85" s="343">
        <v>0</v>
      </c>
      <c r="U85" s="343">
        <v>0</v>
      </c>
      <c r="V85" s="343">
        <v>0</v>
      </c>
      <c r="W85" s="343">
        <v>0</v>
      </c>
      <c r="X85" s="343">
        <v>0</v>
      </c>
      <c r="Y85" s="379">
        <v>0</v>
      </c>
      <c r="Z85" s="282">
        <f t="shared" si="78"/>
        <v>0</v>
      </c>
      <c r="AA85" s="284">
        <f t="shared" si="79"/>
        <v>0</v>
      </c>
      <c r="AB85" s="949">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50">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8">
        <f t="shared" si="80"/>
        <v>0</v>
      </c>
      <c r="AE85" s="1232">
        <f t="shared" si="73"/>
        <v>0</v>
      </c>
      <c r="AF85" s="1233">
        <f t="shared" si="74"/>
        <v>0</v>
      </c>
      <c r="AG85" s="1233">
        <f t="shared" si="75"/>
        <v>0</v>
      </c>
      <c r="AH85" s="1174">
        <f t="shared" si="81"/>
        <v>0</v>
      </c>
      <c r="AI85" s="1234">
        <f t="shared" si="82"/>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76"/>
        <v>0</v>
      </c>
      <c r="N86" s="298">
        <f t="shared" si="77"/>
        <v>0</v>
      </c>
      <c r="O86" s="344">
        <v>0</v>
      </c>
      <c r="P86" s="345">
        <v>0</v>
      </c>
      <c r="Q86" s="345">
        <v>0</v>
      </c>
      <c r="R86" s="345">
        <v>0</v>
      </c>
      <c r="S86" s="345">
        <v>0</v>
      </c>
      <c r="T86" s="345">
        <v>0</v>
      </c>
      <c r="U86" s="345">
        <v>0</v>
      </c>
      <c r="V86" s="345">
        <v>0</v>
      </c>
      <c r="W86" s="345">
        <v>0</v>
      </c>
      <c r="X86" s="345">
        <v>0</v>
      </c>
      <c r="Y86" s="380">
        <v>0</v>
      </c>
      <c r="Z86" s="296">
        <f t="shared" si="78"/>
        <v>0</v>
      </c>
      <c r="AA86" s="298">
        <f t="shared" si="79"/>
        <v>0</v>
      </c>
      <c r="AB86" s="949">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50">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8">
        <f t="shared" si="80"/>
        <v>0</v>
      </c>
      <c r="AE86" s="1232">
        <f t="shared" si="73"/>
        <v>0</v>
      </c>
      <c r="AF86" s="1233">
        <f t="shared" si="74"/>
        <v>0</v>
      </c>
      <c r="AG86" s="1233">
        <f t="shared" si="75"/>
        <v>0</v>
      </c>
      <c r="AH86" s="1174">
        <f t="shared" si="81"/>
        <v>0</v>
      </c>
      <c r="AI86" s="1234">
        <f t="shared" si="82"/>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76"/>
        <v>0</v>
      </c>
      <c r="N87" s="298">
        <f t="shared" si="77"/>
        <v>0</v>
      </c>
      <c r="O87" s="344">
        <v>0</v>
      </c>
      <c r="P87" s="345">
        <v>0</v>
      </c>
      <c r="Q87" s="345">
        <v>0</v>
      </c>
      <c r="R87" s="345">
        <v>0</v>
      </c>
      <c r="S87" s="345">
        <v>0</v>
      </c>
      <c r="T87" s="345">
        <v>0</v>
      </c>
      <c r="U87" s="345">
        <v>0</v>
      </c>
      <c r="V87" s="345">
        <v>0</v>
      </c>
      <c r="W87" s="345">
        <v>0</v>
      </c>
      <c r="X87" s="345">
        <v>0</v>
      </c>
      <c r="Y87" s="380">
        <v>0</v>
      </c>
      <c r="Z87" s="296">
        <f t="shared" si="78"/>
        <v>0</v>
      </c>
      <c r="AA87" s="298">
        <f t="shared" si="79"/>
        <v>0</v>
      </c>
      <c r="AB87" s="949">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50">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8">
        <f t="shared" si="80"/>
        <v>0</v>
      </c>
      <c r="AE87" s="1232">
        <f t="shared" si="73"/>
        <v>0</v>
      </c>
      <c r="AF87" s="1233">
        <f t="shared" si="74"/>
        <v>0</v>
      </c>
      <c r="AG87" s="1233">
        <f t="shared" si="75"/>
        <v>0</v>
      </c>
      <c r="AH87" s="1174">
        <f t="shared" si="81"/>
        <v>0</v>
      </c>
      <c r="AI87" s="1234">
        <f t="shared" si="82"/>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76"/>
        <v>0</v>
      </c>
      <c r="N88" s="298">
        <f t="shared" si="77"/>
        <v>0</v>
      </c>
      <c r="O88" s="344">
        <v>0</v>
      </c>
      <c r="P88" s="345">
        <v>0</v>
      </c>
      <c r="Q88" s="345">
        <v>0</v>
      </c>
      <c r="R88" s="345">
        <v>0</v>
      </c>
      <c r="S88" s="345">
        <v>0</v>
      </c>
      <c r="T88" s="345">
        <v>0</v>
      </c>
      <c r="U88" s="345">
        <v>0</v>
      </c>
      <c r="V88" s="345">
        <v>0</v>
      </c>
      <c r="W88" s="345">
        <v>0</v>
      </c>
      <c r="X88" s="345">
        <v>0</v>
      </c>
      <c r="Y88" s="380">
        <v>0</v>
      </c>
      <c r="Z88" s="296">
        <f t="shared" si="78"/>
        <v>0</v>
      </c>
      <c r="AA88" s="298">
        <f t="shared" si="79"/>
        <v>0</v>
      </c>
      <c r="AB88" s="949">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50">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8">
        <f t="shared" si="80"/>
        <v>0</v>
      </c>
      <c r="AE88" s="1232">
        <f t="shared" si="73"/>
        <v>0</v>
      </c>
      <c r="AF88" s="1233">
        <f t="shared" si="74"/>
        <v>0</v>
      </c>
      <c r="AG88" s="1233">
        <f t="shared" si="75"/>
        <v>0</v>
      </c>
      <c r="AH88" s="1174">
        <f t="shared" si="81"/>
        <v>0</v>
      </c>
      <c r="AI88" s="1234">
        <f t="shared" si="82"/>
        <v>0</v>
      </c>
      <c r="AJ88" s="227"/>
      <c r="AK88" s="227"/>
      <c r="AL88" s="227"/>
      <c r="AM88" s="227"/>
    </row>
    <row r="89" spans="1:39" ht="13.5" thickBot="1" x14ac:dyDescent="0.25">
      <c r="A89" s="328">
        <v>2020</v>
      </c>
      <c r="B89" s="346">
        <v>0</v>
      </c>
      <c r="C89" s="347">
        <v>0</v>
      </c>
      <c r="D89" s="347">
        <v>0</v>
      </c>
      <c r="E89" s="347">
        <v>0</v>
      </c>
      <c r="F89" s="347">
        <v>0</v>
      </c>
      <c r="G89" s="347">
        <v>0</v>
      </c>
      <c r="H89" s="347">
        <v>0</v>
      </c>
      <c r="I89" s="347">
        <v>0</v>
      </c>
      <c r="J89" s="347">
        <v>0</v>
      </c>
      <c r="K89" s="347">
        <v>0</v>
      </c>
      <c r="L89" s="381">
        <v>0</v>
      </c>
      <c r="M89" s="310">
        <f t="shared" si="76"/>
        <v>0</v>
      </c>
      <c r="N89" s="312">
        <f t="shared" si="77"/>
        <v>0</v>
      </c>
      <c r="O89" s="346">
        <v>0</v>
      </c>
      <c r="P89" s="347">
        <v>0</v>
      </c>
      <c r="Q89" s="347">
        <v>0</v>
      </c>
      <c r="R89" s="347">
        <v>0</v>
      </c>
      <c r="S89" s="347">
        <v>0</v>
      </c>
      <c r="T89" s="347">
        <v>0</v>
      </c>
      <c r="U89" s="347">
        <v>0</v>
      </c>
      <c r="V89" s="347">
        <v>0</v>
      </c>
      <c r="W89" s="347">
        <v>0</v>
      </c>
      <c r="X89" s="347">
        <v>0</v>
      </c>
      <c r="Y89" s="381">
        <v>0</v>
      </c>
      <c r="Z89" s="310">
        <f t="shared" si="78"/>
        <v>0</v>
      </c>
      <c r="AA89" s="312">
        <f t="shared" si="79"/>
        <v>0</v>
      </c>
      <c r="AB89" s="949">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50">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8">
        <f t="shared" si="80"/>
        <v>0</v>
      </c>
      <c r="AE89" s="1232">
        <f t="shared" si="73"/>
        <v>0</v>
      </c>
      <c r="AF89" s="1233">
        <f t="shared" si="74"/>
        <v>0</v>
      </c>
      <c r="AG89" s="1233">
        <f t="shared" si="75"/>
        <v>0</v>
      </c>
      <c r="AH89" s="1174">
        <f t="shared" si="81"/>
        <v>0</v>
      </c>
      <c r="AI89" s="1234">
        <f t="shared" si="82"/>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76"/>
        <v>0</v>
      </c>
      <c r="N90" s="284">
        <f t="shared" si="77"/>
        <v>0</v>
      </c>
      <c r="O90" s="342">
        <v>0</v>
      </c>
      <c r="P90" s="343">
        <v>0</v>
      </c>
      <c r="Q90" s="343">
        <v>0</v>
      </c>
      <c r="R90" s="343">
        <v>0</v>
      </c>
      <c r="S90" s="343">
        <v>0</v>
      </c>
      <c r="T90" s="343">
        <v>0</v>
      </c>
      <c r="U90" s="343">
        <v>0</v>
      </c>
      <c r="V90" s="343">
        <v>0</v>
      </c>
      <c r="W90" s="343">
        <v>0</v>
      </c>
      <c r="X90" s="343">
        <v>0</v>
      </c>
      <c r="Y90" s="379">
        <v>0</v>
      </c>
      <c r="Z90" s="282">
        <f t="shared" si="78"/>
        <v>0</v>
      </c>
      <c r="AA90" s="284">
        <f t="shared" si="79"/>
        <v>0</v>
      </c>
      <c r="AB90" s="949">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50">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8">
        <f t="shared" si="80"/>
        <v>0</v>
      </c>
      <c r="AE90" s="1232">
        <f t="shared" si="73"/>
        <v>0</v>
      </c>
      <c r="AF90" s="1233">
        <f t="shared" si="74"/>
        <v>0</v>
      </c>
      <c r="AG90" s="1233">
        <f t="shared" si="75"/>
        <v>0</v>
      </c>
      <c r="AH90" s="1174">
        <f t="shared" si="81"/>
        <v>0</v>
      </c>
      <c r="AI90" s="1234">
        <f t="shared" si="82"/>
        <v>0</v>
      </c>
      <c r="AJ90" s="227"/>
      <c r="AK90" s="227"/>
      <c r="AL90" s="227"/>
      <c r="AM90" s="227"/>
    </row>
    <row r="91" spans="1:39" x14ac:dyDescent="0.2">
      <c r="A91" s="330">
        <v>2022</v>
      </c>
      <c r="B91" s="344">
        <v>1.1923336791622855E-2</v>
      </c>
      <c r="C91" s="345">
        <v>1.1923336791622855E-2</v>
      </c>
      <c r="D91" s="345">
        <v>1.4148520209635794E-2</v>
      </c>
      <c r="E91" s="345">
        <v>1.7380028291857207E-2</v>
      </c>
      <c r="F91" s="345">
        <v>1.751238207108631E-2</v>
      </c>
      <c r="G91" s="345">
        <v>1.7408285068753027E-2</v>
      </c>
      <c r="H91" s="345">
        <v>1.699321303714367E-2</v>
      </c>
      <c r="I91" s="345">
        <v>1.6794347005367471E-2</v>
      </c>
      <c r="J91" s="345">
        <v>1.6597084501231416E-2</v>
      </c>
      <c r="K91" s="345">
        <v>1.640701124333328E-2</v>
      </c>
      <c r="L91" s="380">
        <v>1.640701124333328E-2</v>
      </c>
      <c r="M91" s="296">
        <f t="shared" si="76"/>
        <v>5.4187328610556841E-3</v>
      </c>
      <c r="N91" s="298">
        <f t="shared" si="77"/>
        <v>4.8530184943064531E-3</v>
      </c>
      <c r="O91" s="344">
        <v>1.1923336791622855E-2</v>
      </c>
      <c r="P91" s="345">
        <v>1.1923336791622855E-2</v>
      </c>
      <c r="Q91" s="345">
        <v>1.4681980993515399E-2</v>
      </c>
      <c r="R91" s="345">
        <v>1.7437699355307725E-2</v>
      </c>
      <c r="S91" s="345">
        <v>1.741585648412888E-2</v>
      </c>
      <c r="T91" s="345">
        <v>1.7332680414725962E-2</v>
      </c>
      <c r="U91" s="345">
        <v>1.7168637074701988E-2</v>
      </c>
      <c r="V91" s="345">
        <v>1.6756158251621484E-2</v>
      </c>
      <c r="W91" s="345">
        <v>1.6538782245192254E-2</v>
      </c>
      <c r="X91" s="345">
        <v>1.640701124333328E-2</v>
      </c>
      <c r="Y91" s="380">
        <v>1.6238720794049248E-2</v>
      </c>
      <c r="Z91" s="296">
        <f t="shared" si="78"/>
        <v>8.0967857386927168E-3</v>
      </c>
      <c r="AA91" s="298">
        <f t="shared" si="79"/>
        <v>7.6734359339692589E-3</v>
      </c>
      <c r="AB91" s="949">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50">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8">
        <f t="shared" si="80"/>
        <v>0</v>
      </c>
      <c r="AE91" s="1232">
        <f>SUMPRODUCT($B$74:$L$74,B91:L91)</f>
        <v>5.4187328610556841E-3</v>
      </c>
      <c r="AF91" s="1233">
        <f>SUMPRODUCT($O$74:$Y$74,O91:Y91)</f>
        <v>8.0967857386927168E-3</v>
      </c>
      <c r="AG91" s="1233">
        <f>SUM(AE91:AF91)</f>
        <v>1.3515518599748401E-2</v>
      </c>
      <c r="AH91" s="1174">
        <f t="shared" si="81"/>
        <v>0.4009267436586974</v>
      </c>
      <c r="AI91" s="1234">
        <f t="shared" si="82"/>
        <v>0.5990732563413026</v>
      </c>
      <c r="AJ91" s="227"/>
      <c r="AK91" s="540"/>
      <c r="AL91" s="540"/>
      <c r="AM91" s="540"/>
    </row>
    <row r="92" spans="1:39" x14ac:dyDescent="0.2">
      <c r="A92" s="330">
        <v>2023</v>
      </c>
      <c r="B92" s="344">
        <v>3.0045473573670177E-2</v>
      </c>
      <c r="C92" s="345">
        <v>3.0044267568608209E-2</v>
      </c>
      <c r="D92" s="345">
        <v>3.3019347061941852E-2</v>
      </c>
      <c r="E92" s="345">
        <v>3.9450002882807748E-2</v>
      </c>
      <c r="F92" s="345">
        <v>4.1268999013786049E-2</v>
      </c>
      <c r="G92" s="345">
        <v>4.1450264872663879E-2</v>
      </c>
      <c r="H92" s="345">
        <v>4.1147784197899974E-2</v>
      </c>
      <c r="I92" s="345">
        <v>4.126901247133459E-2</v>
      </c>
      <c r="J92" s="345">
        <v>4.0902542485086464E-2</v>
      </c>
      <c r="K92" s="345">
        <v>4.0576806851024154E-2</v>
      </c>
      <c r="L92" s="380">
        <v>4.0576806851024154E-2</v>
      </c>
      <c r="M92" s="296">
        <f t="shared" si="76"/>
        <v>1.3133969524046888E-2</v>
      </c>
      <c r="N92" s="298">
        <f t="shared" si="77"/>
        <v>1.1994508758680741E-2</v>
      </c>
      <c r="O92" s="344">
        <v>3.0045473573670177E-2</v>
      </c>
      <c r="P92" s="345">
        <v>3.0033325682417275E-2</v>
      </c>
      <c r="Q92" s="345">
        <v>3.2649751376599798E-2</v>
      </c>
      <c r="R92" s="345">
        <v>4.0011469209852768E-2</v>
      </c>
      <c r="S92" s="345">
        <v>4.1103256052244706E-2</v>
      </c>
      <c r="T92" s="345">
        <v>4.1642948859462937E-2</v>
      </c>
      <c r="U92" s="345">
        <v>4.123417023417153E-2</v>
      </c>
      <c r="V92" s="345">
        <v>4.1233323281795457E-2</v>
      </c>
      <c r="W92" s="345">
        <v>4.082823782489043E-2</v>
      </c>
      <c r="X92" s="345">
        <v>4.0576806851024154E-2</v>
      </c>
      <c r="Y92" s="380">
        <v>4.0492411313250661E-2</v>
      </c>
      <c r="Z92" s="296">
        <f t="shared" si="78"/>
        <v>1.9667940749139239E-2</v>
      </c>
      <c r="AA92" s="298">
        <f t="shared" si="79"/>
        <v>1.9008702860729879E-2</v>
      </c>
      <c r="AB92" s="949">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50">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8">
        <f t="shared" si="80"/>
        <v>0</v>
      </c>
      <c r="AE92" s="1232">
        <f t="shared" ref="AE92:AE119" si="83">SUMPRODUCT($B$74:$L$74,B92:L92)</f>
        <v>1.3133969524046888E-2</v>
      </c>
      <c r="AF92" s="1233">
        <f t="shared" ref="AF92:AF119" si="84">SUMPRODUCT($O$74:$Y$74,O92:Y92)</f>
        <v>1.9667940749139239E-2</v>
      </c>
      <c r="AG92" s="1233">
        <f t="shared" ref="AG92:AG119" si="85">SUM(AE92:AF92)</f>
        <v>3.280191027318613E-2</v>
      </c>
      <c r="AH92" s="1174">
        <f t="shared" si="81"/>
        <v>0.40040258066260337</v>
      </c>
      <c r="AI92" s="1234">
        <f t="shared" si="82"/>
        <v>0.59959741933739652</v>
      </c>
      <c r="AJ92" s="227"/>
      <c r="AK92" s="540"/>
      <c r="AL92" s="540"/>
      <c r="AM92" s="540"/>
    </row>
    <row r="93" spans="1:39" x14ac:dyDescent="0.2">
      <c r="A93" s="330">
        <v>2024</v>
      </c>
      <c r="B93" s="344">
        <v>6.0135202507298105E-2</v>
      </c>
      <c r="C93" s="345">
        <v>5.9960508196441803E-2</v>
      </c>
      <c r="D93" s="345">
        <v>6.0300194151922996E-2</v>
      </c>
      <c r="E93" s="345">
        <v>8.0157552587724182E-2</v>
      </c>
      <c r="F93" s="345">
        <v>8.6068443271891865E-2</v>
      </c>
      <c r="G93" s="345">
        <v>9.0278434585652698E-2</v>
      </c>
      <c r="H93" s="345">
        <v>9.0831343580355606E-2</v>
      </c>
      <c r="I93" s="345">
        <v>9.1248002531559444E-2</v>
      </c>
      <c r="J93" s="345">
        <v>9.1327849643731238E-2</v>
      </c>
      <c r="K93" s="345">
        <v>9.0783254411302028E-2</v>
      </c>
      <c r="L93" s="380">
        <v>9.0783254411302028E-2</v>
      </c>
      <c r="M93" s="296">
        <f t="shared" si="76"/>
        <v>2.6037962415513406E-2</v>
      </c>
      <c r="N93" s="298">
        <f t="shared" si="77"/>
        <v>2.3762937891669281E-2</v>
      </c>
      <c r="O93" s="344">
        <v>6.0135202507298105E-2</v>
      </c>
      <c r="P93" s="345">
        <v>5.6759636552195653E-2</v>
      </c>
      <c r="Q93" s="345">
        <v>6.5228676388990839E-2</v>
      </c>
      <c r="R93" s="345">
        <v>8.5203987119134031E-2</v>
      </c>
      <c r="S93" s="345">
        <v>8.7993779393992527E-2</v>
      </c>
      <c r="T93" s="345">
        <v>9.0467153408797976E-2</v>
      </c>
      <c r="U93" s="345">
        <v>9.0831343580355606E-2</v>
      </c>
      <c r="V93" s="345">
        <v>9.0590905256562299E-2</v>
      </c>
      <c r="W93" s="345">
        <v>9.0761603224973716E-2</v>
      </c>
      <c r="X93" s="345">
        <v>9.0783254411302028E-2</v>
      </c>
      <c r="Y93" s="380">
        <v>9.0693451820146417E-2</v>
      </c>
      <c r="Z93" s="296">
        <f t="shared" si="78"/>
        <v>3.9301561134959091E-2</v>
      </c>
      <c r="AA93" s="298">
        <f t="shared" si="79"/>
        <v>3.7417699389086949E-2</v>
      </c>
      <c r="AB93" s="949">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50">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8">
        <f t="shared" si="80"/>
        <v>0</v>
      </c>
      <c r="AE93" s="1232">
        <f t="shared" si="83"/>
        <v>2.6037962415513406E-2</v>
      </c>
      <c r="AF93" s="1233">
        <f t="shared" si="84"/>
        <v>3.9301561134959091E-2</v>
      </c>
      <c r="AG93" s="1233">
        <f t="shared" si="85"/>
        <v>6.5339523550472497E-2</v>
      </c>
      <c r="AH93" s="1174">
        <f t="shared" si="81"/>
        <v>0.39850248365218016</v>
      </c>
      <c r="AI93" s="1234">
        <f t="shared" si="82"/>
        <v>0.60149751634781989</v>
      </c>
      <c r="AJ93" s="227"/>
      <c r="AK93" s="540"/>
      <c r="AL93" s="540"/>
      <c r="AM93" s="540"/>
    </row>
    <row r="94" spans="1:39" ht="13.5" thickBot="1" x14ac:dyDescent="0.25">
      <c r="A94" s="328">
        <v>2025</v>
      </c>
      <c r="B94" s="346">
        <v>4.6989237482330033E-2</v>
      </c>
      <c r="C94" s="347">
        <v>4.412846587007898E-2</v>
      </c>
      <c r="D94" s="347">
        <v>9.1806024265341027E-2</v>
      </c>
      <c r="E94" s="347">
        <v>0.13956108150780883</v>
      </c>
      <c r="F94" s="347">
        <v>0.15328524420497366</v>
      </c>
      <c r="G94" s="347">
        <v>0.16024759037436534</v>
      </c>
      <c r="H94" s="347">
        <v>0.16472780643708898</v>
      </c>
      <c r="I94" s="347">
        <v>0.16568089559562138</v>
      </c>
      <c r="J94" s="347">
        <v>0.16726394418526258</v>
      </c>
      <c r="K94" s="347">
        <v>0.16750129585114876</v>
      </c>
      <c r="L94" s="381">
        <v>0.16750129585114876</v>
      </c>
      <c r="M94" s="310">
        <f t="shared" si="76"/>
        <v>3.1001051928451547E-2</v>
      </c>
      <c r="N94" s="312">
        <f t="shared" si="77"/>
        <v>2.2705761383056213E-2</v>
      </c>
      <c r="O94" s="346">
        <v>4.6989237482330033E-2</v>
      </c>
      <c r="P94" s="347">
        <v>4.640582256929638E-2</v>
      </c>
      <c r="Q94" s="347">
        <v>0.10470889601520449</v>
      </c>
      <c r="R94" s="347">
        <v>0.14237469685093465</v>
      </c>
      <c r="S94" s="347">
        <v>0.15700284872304021</v>
      </c>
      <c r="T94" s="347">
        <v>0.16007110110318806</v>
      </c>
      <c r="U94" s="347">
        <v>0.16689553062279808</v>
      </c>
      <c r="V94" s="347">
        <v>0.1667683278949223</v>
      </c>
      <c r="W94" s="347">
        <v>0.16726394418526258</v>
      </c>
      <c r="X94" s="347">
        <v>0.16750129585114876</v>
      </c>
      <c r="Y94" s="381">
        <v>0.16743249689683634</v>
      </c>
      <c r="Z94" s="310">
        <f t="shared" si="78"/>
        <v>4.7051809123781055E-2</v>
      </c>
      <c r="AA94" s="312">
        <f t="shared" si="79"/>
        <v>3.5508823949729588E-2</v>
      </c>
      <c r="AB94" s="949">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50">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8">
        <f t="shared" si="80"/>
        <v>0</v>
      </c>
      <c r="AE94" s="1232">
        <f t="shared" si="83"/>
        <v>3.1001051928451547E-2</v>
      </c>
      <c r="AF94" s="1233">
        <f t="shared" si="84"/>
        <v>4.7051809123781055E-2</v>
      </c>
      <c r="AG94" s="1233">
        <f t="shared" si="85"/>
        <v>7.8052861052232608E-2</v>
      </c>
      <c r="AH94" s="1174">
        <f t="shared" si="81"/>
        <v>0.39718021236538387</v>
      </c>
      <c r="AI94" s="1234">
        <f t="shared" si="82"/>
        <v>0.60281978763461608</v>
      </c>
      <c r="AJ94" s="227"/>
      <c r="AK94" s="540"/>
      <c r="AL94" s="540"/>
      <c r="AM94" s="540"/>
    </row>
    <row r="95" spans="1:39" x14ac:dyDescent="0.2">
      <c r="A95" s="329">
        <v>2026</v>
      </c>
      <c r="B95" s="342">
        <v>5.3576907039906467E-2</v>
      </c>
      <c r="C95" s="343">
        <v>5.464605680509696E-2</v>
      </c>
      <c r="D95" s="343">
        <v>0.15556416653516952</v>
      </c>
      <c r="E95" s="343">
        <v>0.21436075428876289</v>
      </c>
      <c r="F95" s="343">
        <v>0.22656196014450158</v>
      </c>
      <c r="G95" s="343">
        <v>0.23622122993451231</v>
      </c>
      <c r="H95" s="343">
        <v>0.24204497299863631</v>
      </c>
      <c r="I95" s="343">
        <v>0.24363284233138865</v>
      </c>
      <c r="J95" s="343">
        <v>0.24435611903919441</v>
      </c>
      <c r="K95" s="343">
        <v>0.24459125483655653</v>
      </c>
      <c r="L95" s="379">
        <v>0.24459125483655653</v>
      </c>
      <c r="M95" s="282">
        <f t="shared" si="76"/>
        <v>4.5150642135264943E-2</v>
      </c>
      <c r="N95" s="284">
        <f t="shared" si="77"/>
        <v>3.0591303870803478E-2</v>
      </c>
      <c r="O95" s="342">
        <v>5.3576907039906467E-2</v>
      </c>
      <c r="P95" s="343">
        <v>5.6492877989765648E-2</v>
      </c>
      <c r="Q95" s="343">
        <v>0.16634458074013295</v>
      </c>
      <c r="R95" s="343">
        <v>0.22087996723088105</v>
      </c>
      <c r="S95" s="343">
        <v>0.23174857975946297</v>
      </c>
      <c r="T95" s="343">
        <v>0.23769498490085536</v>
      </c>
      <c r="U95" s="343">
        <v>0.24204497299863631</v>
      </c>
      <c r="V95" s="343">
        <v>0.24435611903919441</v>
      </c>
      <c r="W95" s="343">
        <v>0.24464564596867297</v>
      </c>
      <c r="X95" s="343">
        <v>0.24449165149167346</v>
      </c>
      <c r="Y95" s="379">
        <v>0.24294549738540802</v>
      </c>
      <c r="Z95" s="282">
        <f t="shared" si="78"/>
        <v>6.590633536966399E-2</v>
      </c>
      <c r="AA95" s="284">
        <f t="shared" si="79"/>
        <v>4.5796368040142831E-2</v>
      </c>
      <c r="AB95" s="949">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50">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8">
        <f t="shared" si="80"/>
        <v>0</v>
      </c>
      <c r="AE95" s="1232">
        <f t="shared" si="83"/>
        <v>4.5150642135264943E-2</v>
      </c>
      <c r="AF95" s="1233">
        <f t="shared" si="84"/>
        <v>6.590633536966399E-2</v>
      </c>
      <c r="AG95" s="1233">
        <f t="shared" si="85"/>
        <v>0.11105697750492893</v>
      </c>
      <c r="AH95" s="1174">
        <f t="shared" si="81"/>
        <v>0.40655385325303911</v>
      </c>
      <c r="AI95" s="1234">
        <f t="shared" si="82"/>
        <v>0.59344614674696095</v>
      </c>
      <c r="AJ95" s="227"/>
      <c r="AK95" s="540"/>
      <c r="AL95" s="540"/>
      <c r="AM95" s="540"/>
    </row>
    <row r="96" spans="1:39" x14ac:dyDescent="0.2">
      <c r="A96" s="330">
        <v>2027</v>
      </c>
      <c r="B96" s="344">
        <v>2.7670525158214849E-2</v>
      </c>
      <c r="C96" s="345">
        <v>6.9141565570428415E-2</v>
      </c>
      <c r="D96" s="345">
        <v>0.20922787148901373</v>
      </c>
      <c r="E96" s="345">
        <v>0.26591639062959499</v>
      </c>
      <c r="F96" s="345">
        <v>0.27899276501045028</v>
      </c>
      <c r="G96" s="345">
        <v>0.28652248547358705</v>
      </c>
      <c r="H96" s="345">
        <v>0.29266012679468983</v>
      </c>
      <c r="I96" s="345">
        <v>0.29412871479957658</v>
      </c>
      <c r="J96" s="345">
        <v>0.29417871135673662</v>
      </c>
      <c r="K96" s="345">
        <v>0.291885196233027</v>
      </c>
      <c r="L96" s="380">
        <v>0.291885196233027</v>
      </c>
      <c r="M96" s="296">
        <f t="shared" si="76"/>
        <v>5.4571875705169665E-2</v>
      </c>
      <c r="N96" s="298">
        <f t="shared" si="77"/>
        <v>3.2526499327049062E-2</v>
      </c>
      <c r="O96" s="344">
        <v>2.7670525158214849E-2</v>
      </c>
      <c r="P96" s="345">
        <v>7.4468761109438078E-2</v>
      </c>
      <c r="Q96" s="345">
        <v>0.22454423533453655</v>
      </c>
      <c r="R96" s="345">
        <v>0.26922767250562052</v>
      </c>
      <c r="S96" s="345">
        <v>0.28437607391277969</v>
      </c>
      <c r="T96" s="345">
        <v>0.28817928687091771</v>
      </c>
      <c r="U96" s="345">
        <v>0.29328092207900253</v>
      </c>
      <c r="V96" s="345">
        <v>0.29545724276282331</v>
      </c>
      <c r="W96" s="345">
        <v>0.29294670642401416</v>
      </c>
      <c r="X96" s="345">
        <v>0.29116911662223277</v>
      </c>
      <c r="Y96" s="380">
        <v>0.28552170138222704</v>
      </c>
      <c r="Z96" s="296">
        <f t="shared" si="78"/>
        <v>7.9255379889097102E-2</v>
      </c>
      <c r="AA96" s="298">
        <f t="shared" si="79"/>
        <v>4.7974534765707288E-2</v>
      </c>
      <c r="AB96" s="949">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50">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8">
        <f t="shared" si="80"/>
        <v>0</v>
      </c>
      <c r="AE96" s="1232">
        <f t="shared" si="83"/>
        <v>5.4571875705169665E-2</v>
      </c>
      <c r="AF96" s="1233">
        <f t="shared" si="84"/>
        <v>7.9255379889097102E-2</v>
      </c>
      <c r="AG96" s="1233">
        <f t="shared" si="85"/>
        <v>0.13382725559426678</v>
      </c>
      <c r="AH96" s="1174">
        <f t="shared" si="81"/>
        <v>0.40777848624960927</v>
      </c>
      <c r="AI96" s="1234">
        <f t="shared" si="82"/>
        <v>0.59222151375039056</v>
      </c>
      <c r="AJ96" s="227"/>
      <c r="AK96" s="540"/>
      <c r="AL96" s="540"/>
      <c r="AM96" s="540"/>
    </row>
    <row r="97" spans="1:39" x14ac:dyDescent="0.2">
      <c r="A97" s="330">
        <v>2028</v>
      </c>
      <c r="B97" s="344">
        <v>1.906093417050304E-2</v>
      </c>
      <c r="C97" s="345">
        <v>9.5147579118660619E-2</v>
      </c>
      <c r="D97" s="345">
        <v>0.24267194496844155</v>
      </c>
      <c r="E97" s="345">
        <v>0.29094009048245345</v>
      </c>
      <c r="F97" s="345">
        <v>0.30730250559469457</v>
      </c>
      <c r="G97" s="345">
        <v>0.3140061361844263</v>
      </c>
      <c r="H97" s="345">
        <v>0.31929341919673493</v>
      </c>
      <c r="I97" s="345">
        <v>0.31856223599677402</v>
      </c>
      <c r="J97" s="345">
        <v>0.31459425878420233</v>
      </c>
      <c r="K97" s="345">
        <v>0.30757218925596191</v>
      </c>
      <c r="L97" s="380">
        <v>0.30757218925596191</v>
      </c>
      <c r="M97" s="296">
        <f t="shared" si="76"/>
        <v>6.3018930250526892E-2</v>
      </c>
      <c r="N97" s="298">
        <f t="shared" si="77"/>
        <v>3.7201651916035278E-2</v>
      </c>
      <c r="O97" s="344">
        <v>1.906093417050304E-2</v>
      </c>
      <c r="P97" s="345">
        <v>0.11001742740888597</v>
      </c>
      <c r="Q97" s="345">
        <v>0.24928346045529418</v>
      </c>
      <c r="R97" s="345">
        <v>0.29474125351761138</v>
      </c>
      <c r="S97" s="345">
        <v>0.30962014400670251</v>
      </c>
      <c r="T97" s="345">
        <v>0.31718096685828262</v>
      </c>
      <c r="U97" s="345">
        <v>0.31894211084122209</v>
      </c>
      <c r="V97" s="345">
        <v>0.31501308385977561</v>
      </c>
      <c r="W97" s="345">
        <v>0.30944352966888466</v>
      </c>
      <c r="X97" s="345">
        <v>0.30543717361419653</v>
      </c>
      <c r="Y97" s="380">
        <v>0.29564638140321847</v>
      </c>
      <c r="Z97" s="296">
        <f t="shared" si="78"/>
        <v>9.3172807284683273E-2</v>
      </c>
      <c r="AA97" s="298">
        <f t="shared" si="79"/>
        <v>5.6857236554709034E-2</v>
      </c>
      <c r="AB97" s="949">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50">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8">
        <f t="shared" si="80"/>
        <v>0</v>
      </c>
      <c r="AE97" s="1232">
        <f t="shared" si="83"/>
        <v>6.3018930250526892E-2</v>
      </c>
      <c r="AF97" s="1233">
        <f t="shared" si="84"/>
        <v>9.3172807284683273E-2</v>
      </c>
      <c r="AG97" s="1233">
        <f t="shared" si="85"/>
        <v>0.15619173753521015</v>
      </c>
      <c r="AH97" s="1174">
        <f t="shared" si="81"/>
        <v>0.4034716000026608</v>
      </c>
      <c r="AI97" s="1234">
        <f t="shared" si="82"/>
        <v>0.59652839999733931</v>
      </c>
      <c r="AJ97" s="227"/>
      <c r="AK97" s="540"/>
      <c r="AL97" s="540"/>
      <c r="AM97" s="540"/>
    </row>
    <row r="98" spans="1:39" x14ac:dyDescent="0.2">
      <c r="A98" s="330">
        <v>2029</v>
      </c>
      <c r="B98" s="344">
        <v>4.4940383363715319E-3</v>
      </c>
      <c r="C98" s="345">
        <v>0.11816106974980937</v>
      </c>
      <c r="D98" s="345">
        <v>0.25680053547065401</v>
      </c>
      <c r="E98" s="345">
        <v>0.30360778876784605</v>
      </c>
      <c r="F98" s="345">
        <v>0.31893002688852334</v>
      </c>
      <c r="G98" s="345">
        <v>0.32490488178823912</v>
      </c>
      <c r="H98" s="345">
        <v>0.32310948502175263</v>
      </c>
      <c r="I98" s="345">
        <v>0.31954827995252932</v>
      </c>
      <c r="J98" s="345">
        <v>0.31174062239058492</v>
      </c>
      <c r="K98" s="345">
        <v>0.30017852567945036</v>
      </c>
      <c r="L98" s="380">
        <v>0.30017852567945036</v>
      </c>
      <c r="M98" s="296">
        <f t="shared" si="76"/>
        <v>6.7510226810258922E-2</v>
      </c>
      <c r="N98" s="298">
        <f t="shared" si="77"/>
        <v>3.9081291595163159E-2</v>
      </c>
      <c r="O98" s="344">
        <v>4.4940383363715319E-3</v>
      </c>
      <c r="P98" s="345">
        <v>0.126100468942344</v>
      </c>
      <c r="Q98" s="345">
        <v>0.27221446810076333</v>
      </c>
      <c r="R98" s="345">
        <v>0.31055466268016307</v>
      </c>
      <c r="S98" s="345">
        <v>0.32085229023765077</v>
      </c>
      <c r="T98" s="345">
        <v>0.32676786053525597</v>
      </c>
      <c r="U98" s="345">
        <v>0.32134477801744005</v>
      </c>
      <c r="V98" s="345">
        <v>0.31308708066852553</v>
      </c>
      <c r="W98" s="345">
        <v>0.30400586205971764</v>
      </c>
      <c r="X98" s="345">
        <v>0.29834372615017557</v>
      </c>
      <c r="Y98" s="380">
        <v>0.28875119290376577</v>
      </c>
      <c r="Z98" s="296">
        <f t="shared" si="78"/>
        <v>9.8977168938909454E-2</v>
      </c>
      <c r="AA98" s="298">
        <f t="shared" si="79"/>
        <v>5.850582086097153E-2</v>
      </c>
      <c r="AB98" s="949">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50">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8">
        <f t="shared" si="80"/>
        <v>0</v>
      </c>
      <c r="AE98" s="1232">
        <f t="shared" si="83"/>
        <v>6.7510226810258922E-2</v>
      </c>
      <c r="AF98" s="1233">
        <f t="shared" si="84"/>
        <v>9.8977168938909454E-2</v>
      </c>
      <c r="AG98" s="1233">
        <f t="shared" si="85"/>
        <v>0.16648739574916838</v>
      </c>
      <c r="AH98" s="1174">
        <f t="shared" si="81"/>
        <v>0.40549752434094483</v>
      </c>
      <c r="AI98" s="1234">
        <f t="shared" si="82"/>
        <v>0.59450247565905512</v>
      </c>
      <c r="AJ98" s="227"/>
      <c r="AK98" s="540"/>
      <c r="AL98" s="540"/>
      <c r="AM98" s="540"/>
    </row>
    <row r="99" spans="1:39" ht="13.5" thickBot="1" x14ac:dyDescent="0.25">
      <c r="A99" s="328">
        <v>2030</v>
      </c>
      <c r="B99" s="346">
        <v>0</v>
      </c>
      <c r="C99" s="347">
        <v>0.12747636896705583</v>
      </c>
      <c r="D99" s="347">
        <v>0.26466200408145013</v>
      </c>
      <c r="E99" s="347">
        <v>0.30997133730510035</v>
      </c>
      <c r="F99" s="347">
        <v>0.32419610900257689</v>
      </c>
      <c r="G99" s="347">
        <v>0.32451830130833104</v>
      </c>
      <c r="H99" s="347">
        <v>0.31756602574741249</v>
      </c>
      <c r="I99" s="347">
        <v>0.30858047025591101</v>
      </c>
      <c r="J99" s="347">
        <v>0.29905503467860761</v>
      </c>
      <c r="K99" s="347">
        <v>0.28829824165674872</v>
      </c>
      <c r="L99" s="381">
        <v>0.28829824165674872</v>
      </c>
      <c r="M99" s="310">
        <f t="shared" si="76"/>
        <v>6.9550887475850753E-2</v>
      </c>
      <c r="N99" s="312">
        <f t="shared" si="77"/>
        <v>4.0181303711278052E-2</v>
      </c>
      <c r="O99" s="346">
        <v>0</v>
      </c>
      <c r="P99" s="347">
        <v>0.14403447886008452</v>
      </c>
      <c r="Q99" s="347">
        <v>0.27960469325129222</v>
      </c>
      <c r="R99" s="347">
        <v>0.31665303000882927</v>
      </c>
      <c r="S99" s="347">
        <v>0.32601647300420278</v>
      </c>
      <c r="T99" s="347">
        <v>0.32314916363478513</v>
      </c>
      <c r="U99" s="347">
        <v>0.314672966209048</v>
      </c>
      <c r="V99" s="347">
        <v>0.3010679574765428</v>
      </c>
      <c r="W99" s="347">
        <v>0.29253006904484968</v>
      </c>
      <c r="X99" s="347">
        <v>0.28829824165674872</v>
      </c>
      <c r="Y99" s="381">
        <v>0.28005301921590725</v>
      </c>
      <c r="Z99" s="310">
        <f t="shared" si="78"/>
        <v>0.10389940856068265</v>
      </c>
      <c r="AA99" s="312">
        <f t="shared" si="79"/>
        <v>6.2290088731453308E-2</v>
      </c>
      <c r="AB99" s="949">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50">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8">
        <f t="shared" si="80"/>
        <v>0</v>
      </c>
      <c r="AE99" s="1232">
        <f t="shared" si="83"/>
        <v>6.9550887475850753E-2</v>
      </c>
      <c r="AF99" s="1233">
        <f t="shared" si="84"/>
        <v>0.10389940856068265</v>
      </c>
      <c r="AG99" s="1233">
        <f t="shared" si="85"/>
        <v>0.17345029603653339</v>
      </c>
      <c r="AH99" s="1174">
        <f t="shared" si="81"/>
        <v>0.40098454176867721</v>
      </c>
      <c r="AI99" s="1234">
        <f t="shared" si="82"/>
        <v>0.59901545823132285</v>
      </c>
      <c r="AJ99" s="227"/>
      <c r="AK99" s="540"/>
      <c r="AL99" s="540"/>
      <c r="AM99" s="540"/>
    </row>
    <row r="100" spans="1:39" x14ac:dyDescent="0.2">
      <c r="A100" s="329">
        <v>2031</v>
      </c>
      <c r="B100" s="342">
        <v>0</v>
      </c>
      <c r="C100" s="343">
        <v>0.13428252149809833</v>
      </c>
      <c r="D100" s="343">
        <v>0.26165867590646308</v>
      </c>
      <c r="E100" s="343">
        <v>0.31143157535339488</v>
      </c>
      <c r="F100" s="343">
        <v>0.32504897288730394</v>
      </c>
      <c r="G100" s="343">
        <v>0.32256096342407542</v>
      </c>
      <c r="H100" s="343">
        <v>0.31047906374849371</v>
      </c>
      <c r="I100" s="343">
        <v>0.301559784265507</v>
      </c>
      <c r="J100" s="343">
        <v>0.29305702481422358</v>
      </c>
      <c r="K100" s="343">
        <v>0.28199936974112644</v>
      </c>
      <c r="L100" s="379">
        <v>0.28199936974112644</v>
      </c>
      <c r="M100" s="282">
        <f t="shared" si="76"/>
        <v>7.0262937078773832E-2</v>
      </c>
      <c r="N100" s="284">
        <f t="shared" si="77"/>
        <v>4.0998217586940562E-2</v>
      </c>
      <c r="O100" s="342">
        <v>0</v>
      </c>
      <c r="P100" s="343">
        <v>0.14238082922928033</v>
      </c>
      <c r="Q100" s="343">
        <v>0.28090624588131591</v>
      </c>
      <c r="R100" s="343">
        <v>0.31795420975051447</v>
      </c>
      <c r="S100" s="343">
        <v>0.3221999407000618</v>
      </c>
      <c r="T100" s="343">
        <v>0.31771569975545011</v>
      </c>
      <c r="U100" s="343">
        <v>0.30669279779085018</v>
      </c>
      <c r="V100" s="343">
        <v>0.29522900180008665</v>
      </c>
      <c r="W100" s="343">
        <v>0.28625270337856745</v>
      </c>
      <c r="X100" s="343">
        <v>0.28199936974112644</v>
      </c>
      <c r="Y100" s="379">
        <v>0.27417706158371979</v>
      </c>
      <c r="Z100" s="282">
        <f t="shared" si="78"/>
        <v>0.10320951030196315</v>
      </c>
      <c r="AA100" s="284">
        <f t="shared" si="79"/>
        <v>6.1863022439677728E-2</v>
      </c>
      <c r="AB100" s="949">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50">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8">
        <f t="shared" si="80"/>
        <v>0</v>
      </c>
      <c r="AE100" s="1232">
        <f t="shared" si="83"/>
        <v>7.0262937078773832E-2</v>
      </c>
      <c r="AF100" s="1233">
        <f t="shared" si="84"/>
        <v>0.10320951030196315</v>
      </c>
      <c r="AG100" s="1233">
        <f t="shared" si="85"/>
        <v>0.17347244738073697</v>
      </c>
      <c r="AH100" s="1174">
        <f t="shared" si="81"/>
        <v>0.40503802269279615</v>
      </c>
      <c r="AI100" s="1234">
        <f t="shared" si="82"/>
        <v>0.5949619773072039</v>
      </c>
      <c r="AJ100" s="227"/>
      <c r="AK100" s="540"/>
      <c r="AL100" s="540"/>
      <c r="AM100" s="540"/>
    </row>
    <row r="101" spans="1:39" x14ac:dyDescent="0.2">
      <c r="A101" s="330">
        <v>2032</v>
      </c>
      <c r="B101" s="344">
        <v>0</v>
      </c>
      <c r="C101" s="345">
        <v>0.13848294391919105</v>
      </c>
      <c r="D101" s="345">
        <v>0.2621775519825319</v>
      </c>
      <c r="E101" s="345">
        <v>0.31196642787427981</v>
      </c>
      <c r="F101" s="345">
        <v>0.32325534363573888</v>
      </c>
      <c r="G101" s="345">
        <v>0.31884469405706867</v>
      </c>
      <c r="H101" s="345">
        <v>0.3012883918960127</v>
      </c>
      <c r="I101" s="345">
        <v>0.29251467949692767</v>
      </c>
      <c r="J101" s="345">
        <v>0.28585684843165571</v>
      </c>
      <c r="K101" s="345">
        <v>0.277082310516371</v>
      </c>
      <c r="L101" s="380">
        <v>0.277082310516371</v>
      </c>
      <c r="M101" s="296">
        <f t="shared" si="76"/>
        <v>7.0771885285693129E-2</v>
      </c>
      <c r="N101" s="298">
        <f t="shared" si="77"/>
        <v>4.1586123370690446E-2</v>
      </c>
      <c r="O101" s="344">
        <v>0</v>
      </c>
      <c r="P101" s="345">
        <v>0.14681374111026543</v>
      </c>
      <c r="Q101" s="345">
        <v>0.27721773836569819</v>
      </c>
      <c r="R101" s="345">
        <v>0.31768330099151249</v>
      </c>
      <c r="S101" s="345">
        <v>0.31817211580784927</v>
      </c>
      <c r="T101" s="345">
        <v>0.31047404182515609</v>
      </c>
      <c r="U101" s="345">
        <v>0.29696479341216736</v>
      </c>
      <c r="V101" s="345">
        <v>0.28808297834845714</v>
      </c>
      <c r="W101" s="345">
        <v>0.27912790292702389</v>
      </c>
      <c r="X101" s="345">
        <v>0.27511327251427664</v>
      </c>
      <c r="Y101" s="380">
        <v>0.26979666046120615</v>
      </c>
      <c r="Z101" s="296">
        <f t="shared" si="78"/>
        <v>0.10356304145513848</v>
      </c>
      <c r="AA101" s="298">
        <f t="shared" si="79"/>
        <v>6.2708023650790104E-2</v>
      </c>
      <c r="AB101" s="949">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50">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8">
        <f t="shared" si="80"/>
        <v>0</v>
      </c>
      <c r="AE101" s="1232">
        <f t="shared" si="83"/>
        <v>7.0771885285693129E-2</v>
      </c>
      <c r="AF101" s="1233">
        <f t="shared" si="84"/>
        <v>0.10356304145513848</v>
      </c>
      <c r="AG101" s="1233">
        <f t="shared" si="85"/>
        <v>0.17433492674083162</v>
      </c>
      <c r="AH101" s="1174">
        <f t="shared" si="81"/>
        <v>0.4059535665558483</v>
      </c>
      <c r="AI101" s="1234">
        <f t="shared" si="82"/>
        <v>0.59404643344415164</v>
      </c>
      <c r="AJ101" s="227"/>
      <c r="AK101" s="540"/>
      <c r="AL101" s="540"/>
      <c r="AM101" s="540"/>
    </row>
    <row r="102" spans="1:39" x14ac:dyDescent="0.2">
      <c r="A102" s="330">
        <v>2033</v>
      </c>
      <c r="B102" s="344">
        <v>0</v>
      </c>
      <c r="C102" s="345">
        <v>0.13647866446465523</v>
      </c>
      <c r="D102" s="345">
        <v>0.27139251805130232</v>
      </c>
      <c r="E102" s="345">
        <v>0.31165826601947827</v>
      </c>
      <c r="F102" s="345">
        <v>0.31916762434196649</v>
      </c>
      <c r="G102" s="345">
        <v>0.31379970907009269</v>
      </c>
      <c r="H102" s="345">
        <v>0.29177162810865415</v>
      </c>
      <c r="I102" s="345">
        <v>0.28489450211886774</v>
      </c>
      <c r="J102" s="345">
        <v>0.27834948528029074</v>
      </c>
      <c r="K102" s="345">
        <v>0.27208638577693117</v>
      </c>
      <c r="L102" s="380">
        <v>0.27208638577693117</v>
      </c>
      <c r="M102" s="296">
        <f t="shared" si="76"/>
        <v>7.1028867246308192E-2</v>
      </c>
      <c r="N102" s="298">
        <f t="shared" si="77"/>
        <v>4.1707199792541789E-2</v>
      </c>
      <c r="O102" s="344">
        <v>0</v>
      </c>
      <c r="P102" s="345">
        <v>0.15587048090676844</v>
      </c>
      <c r="Q102" s="345">
        <v>0.27750050181740749</v>
      </c>
      <c r="R102" s="345">
        <v>0.31527125252709853</v>
      </c>
      <c r="S102" s="345">
        <v>0.31550712241334011</v>
      </c>
      <c r="T102" s="345">
        <v>0.30044372878212278</v>
      </c>
      <c r="U102" s="345">
        <v>0.28947340702620922</v>
      </c>
      <c r="V102" s="345">
        <v>0.28050686336294078</v>
      </c>
      <c r="W102" s="345">
        <v>0.27400332161275348</v>
      </c>
      <c r="X102" s="345">
        <v>0.27027488101700137</v>
      </c>
      <c r="Y102" s="380">
        <v>0.26702117936366931</v>
      </c>
      <c r="Z102" s="296">
        <f t="shared" si="78"/>
        <v>0.10540830152975102</v>
      </c>
      <c r="AA102" s="298">
        <f t="shared" si="79"/>
        <v>6.4882328526105787E-2</v>
      </c>
      <c r="AB102" s="949">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50">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8">
        <f>AB102*AH102+AC102*AI102</f>
        <v>0</v>
      </c>
      <c r="AE102" s="1232">
        <f t="shared" si="83"/>
        <v>7.1028867246308192E-2</v>
      </c>
      <c r="AF102" s="1233">
        <f t="shared" si="84"/>
        <v>0.10540830152975102</v>
      </c>
      <c r="AG102" s="1233">
        <f t="shared" si="85"/>
        <v>0.17643716877605919</v>
      </c>
      <c r="AH102" s="1174">
        <f t="shared" si="81"/>
        <v>0.40257315246574121</v>
      </c>
      <c r="AI102" s="1234">
        <f t="shared" si="82"/>
        <v>0.5974268475342589</v>
      </c>
      <c r="AJ102" s="227"/>
      <c r="AK102" s="540"/>
      <c r="AL102" s="540"/>
      <c r="AM102" s="540"/>
    </row>
    <row r="103" spans="1:39" x14ac:dyDescent="0.2">
      <c r="A103" s="330">
        <v>2034</v>
      </c>
      <c r="B103" s="344">
        <v>0</v>
      </c>
      <c r="C103" s="345">
        <v>0.13654245859751943</v>
      </c>
      <c r="D103" s="345">
        <v>0.27156707998573243</v>
      </c>
      <c r="E103" s="345">
        <v>0.30989782357386303</v>
      </c>
      <c r="F103" s="345">
        <v>0.31248013162932997</v>
      </c>
      <c r="G103" s="345">
        <v>0.3058693159732514</v>
      </c>
      <c r="H103" s="345">
        <v>0.2839544487051967</v>
      </c>
      <c r="I103" s="345">
        <v>0.27718949104714308</v>
      </c>
      <c r="J103" s="345">
        <v>0.27310334153476945</v>
      </c>
      <c r="K103" s="345">
        <v>0.26734590170321948</v>
      </c>
      <c r="L103" s="380">
        <v>0.26734590170321948</v>
      </c>
      <c r="M103" s="296">
        <f t="shared" si="76"/>
        <v>7.0696464993282582E-2</v>
      </c>
      <c r="N103" s="298">
        <f t="shared" si="77"/>
        <v>4.1623626847285052E-2</v>
      </c>
      <c r="O103" s="344">
        <v>0</v>
      </c>
      <c r="P103" s="345">
        <v>0.15594333614186004</v>
      </c>
      <c r="Q103" s="345">
        <v>0.27765959016720743</v>
      </c>
      <c r="R103" s="345">
        <v>0.31040554913906415</v>
      </c>
      <c r="S103" s="345">
        <v>0.30683377586576976</v>
      </c>
      <c r="T103" s="345">
        <v>0.29311528710920359</v>
      </c>
      <c r="U103" s="345">
        <v>0.28165381568447906</v>
      </c>
      <c r="V103" s="345">
        <v>0.27515315243598815</v>
      </c>
      <c r="W103" s="345">
        <v>0.26906841449994662</v>
      </c>
      <c r="X103" s="345">
        <v>0.26734590170321948</v>
      </c>
      <c r="Y103" s="380">
        <v>0.26304055746101329</v>
      </c>
      <c r="Z103" s="296">
        <f t="shared" si="78"/>
        <v>0.10463999055561943</v>
      </c>
      <c r="AA103" s="298">
        <f t="shared" si="79"/>
        <v>6.4677532055408909E-2</v>
      </c>
      <c r="AB103" s="949">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50">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8">
        <f t="shared" ref="AD103:AD119" si="86">AB103*AH103+AC103*AI103</f>
        <v>0</v>
      </c>
      <c r="AE103" s="1232">
        <f t="shared" si="83"/>
        <v>7.0696464993282582E-2</v>
      </c>
      <c r="AF103" s="1233">
        <f t="shared" si="84"/>
        <v>0.10463999055561943</v>
      </c>
      <c r="AG103" s="1233">
        <f t="shared" si="85"/>
        <v>0.17533645554890201</v>
      </c>
      <c r="AH103" s="1174">
        <f t="shared" si="81"/>
        <v>0.4032045975377041</v>
      </c>
      <c r="AI103" s="1234">
        <f t="shared" si="82"/>
        <v>0.5967954024622959</v>
      </c>
      <c r="AJ103" s="227"/>
      <c r="AK103" s="540"/>
      <c r="AL103" s="540"/>
      <c r="AM103" s="540"/>
    </row>
    <row r="104" spans="1:39" ht="13.5" thickBot="1" x14ac:dyDescent="0.25">
      <c r="A104" s="328">
        <v>2035</v>
      </c>
      <c r="B104" s="346">
        <v>0</v>
      </c>
      <c r="C104" s="347">
        <v>0.14517464149113044</v>
      </c>
      <c r="D104" s="347">
        <v>0.27170818020438847</v>
      </c>
      <c r="E104" s="347">
        <v>0.30840235538119182</v>
      </c>
      <c r="F104" s="347">
        <v>0.30212189915196325</v>
      </c>
      <c r="G104" s="347">
        <v>0.2940361027026766</v>
      </c>
      <c r="H104" s="347">
        <v>0.27615438433432993</v>
      </c>
      <c r="I104" s="347">
        <v>0.27189081786522984</v>
      </c>
      <c r="J104" s="347">
        <v>0.26813630627263463</v>
      </c>
      <c r="K104" s="347">
        <v>0.26308098052355444</v>
      </c>
      <c r="L104" s="381">
        <v>0.26308098052355444</v>
      </c>
      <c r="M104" s="310">
        <f t="shared" si="76"/>
        <v>7.1585791319755135E-2</v>
      </c>
      <c r="N104" s="312">
        <f t="shared" si="77"/>
        <v>4.2731104017834871E-2</v>
      </c>
      <c r="O104" s="346">
        <v>0</v>
      </c>
      <c r="P104" s="347">
        <v>0.1535300251614154</v>
      </c>
      <c r="Q104" s="347">
        <v>0.2830134189018042</v>
      </c>
      <c r="R104" s="347">
        <v>0.30280542465775895</v>
      </c>
      <c r="S104" s="347">
        <v>0.29566954658395567</v>
      </c>
      <c r="T104" s="347">
        <v>0.28283377004214433</v>
      </c>
      <c r="U104" s="347">
        <v>0.27398080791000512</v>
      </c>
      <c r="V104" s="347">
        <v>0.26813630627263463</v>
      </c>
      <c r="W104" s="347">
        <v>0.26454300751690363</v>
      </c>
      <c r="X104" s="347">
        <v>0.26308098052355444</v>
      </c>
      <c r="Y104" s="381">
        <v>0.26066527519731214</v>
      </c>
      <c r="Z104" s="310">
        <f t="shared" si="78"/>
        <v>0.10337263324199136</v>
      </c>
      <c r="AA104" s="312">
        <f t="shared" si="79"/>
        <v>6.399010473865005E-2</v>
      </c>
      <c r="AB104" s="949">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50">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8">
        <f t="shared" si="86"/>
        <v>0</v>
      </c>
      <c r="AE104" s="1232">
        <f t="shared" si="83"/>
        <v>7.1585791319755135E-2</v>
      </c>
      <c r="AF104" s="1233">
        <f t="shared" si="84"/>
        <v>0.10337263324199136</v>
      </c>
      <c r="AG104" s="1233">
        <f t="shared" si="85"/>
        <v>0.17495842456174648</v>
      </c>
      <c r="AH104" s="1174">
        <f t="shared" si="81"/>
        <v>0.40915887016627206</v>
      </c>
      <c r="AI104" s="1234">
        <f t="shared" si="82"/>
        <v>0.59084112983372805</v>
      </c>
      <c r="AJ104" s="227"/>
      <c r="AK104" s="540"/>
      <c r="AL104" s="540"/>
      <c r="AM104" s="540"/>
    </row>
    <row r="105" spans="1:39" x14ac:dyDescent="0.2">
      <c r="A105" s="329">
        <v>2036</v>
      </c>
      <c r="B105" s="342">
        <v>0</v>
      </c>
      <c r="C105" s="343">
        <v>0.14740510991224454</v>
      </c>
      <c r="D105" s="343">
        <v>0.27767599357456363</v>
      </c>
      <c r="E105" s="343">
        <v>0.31163105193839974</v>
      </c>
      <c r="F105" s="343">
        <v>0.30068623728465116</v>
      </c>
      <c r="G105" s="343">
        <v>0.2917983844858752</v>
      </c>
      <c r="H105" s="343">
        <v>0.27413468594931828</v>
      </c>
      <c r="I105" s="343">
        <v>0.27074211514139135</v>
      </c>
      <c r="J105" s="343">
        <v>0.26653086410875004</v>
      </c>
      <c r="K105" s="343">
        <v>0.263226064963971</v>
      </c>
      <c r="L105" s="379">
        <v>0.263226064963971</v>
      </c>
      <c r="M105" s="282">
        <f t="shared" si="76"/>
        <v>7.2538652737774947E-2</v>
      </c>
      <c r="N105" s="284">
        <f t="shared" si="77"/>
        <v>4.3390941750658094E-2</v>
      </c>
      <c r="O105" s="342">
        <v>0</v>
      </c>
      <c r="P105" s="343">
        <v>0.15604639238442009</v>
      </c>
      <c r="Q105" s="343">
        <v>0.29124112322564816</v>
      </c>
      <c r="R105" s="343">
        <v>0.29949938870838955</v>
      </c>
      <c r="S105" s="343">
        <v>0.29349790339313819</v>
      </c>
      <c r="T105" s="343">
        <v>0.28060782890444746</v>
      </c>
      <c r="U105" s="343">
        <v>0.27413468594931828</v>
      </c>
      <c r="V105" s="343">
        <v>0.26828552241968018</v>
      </c>
      <c r="W105" s="343">
        <v>0.26468939274424019</v>
      </c>
      <c r="X105" s="343">
        <v>0.263226064963971</v>
      </c>
      <c r="Y105" s="379">
        <v>0.26080822232996448</v>
      </c>
      <c r="Z105" s="282">
        <f t="shared" si="78"/>
        <v>0.10449229826167834</v>
      </c>
      <c r="AA105" s="284">
        <f t="shared" si="79"/>
        <v>6.4926933813211296E-2</v>
      </c>
      <c r="AB105" s="949">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50">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8">
        <f t="shared" si="86"/>
        <v>0</v>
      </c>
      <c r="AE105" s="1232">
        <f t="shared" si="83"/>
        <v>7.2538652737774947E-2</v>
      </c>
      <c r="AF105" s="1233">
        <f t="shared" si="84"/>
        <v>0.10449229826167834</v>
      </c>
      <c r="AG105" s="1233">
        <f t="shared" si="85"/>
        <v>0.17703095099945329</v>
      </c>
      <c r="AH105" s="1174">
        <f t="shared" si="81"/>
        <v>0.40975124591630852</v>
      </c>
      <c r="AI105" s="1234">
        <f t="shared" si="82"/>
        <v>0.59024875408369148</v>
      </c>
      <c r="AJ105" s="227"/>
      <c r="AK105" s="540"/>
      <c r="AL105" s="540"/>
      <c r="AM105" s="540"/>
    </row>
    <row r="106" spans="1:39" x14ac:dyDescent="0.2">
      <c r="A106" s="330">
        <v>2037</v>
      </c>
      <c r="B106" s="344">
        <v>0</v>
      </c>
      <c r="C106" s="345">
        <v>0.14740666613042622</v>
      </c>
      <c r="D106" s="345">
        <v>0.27766815017392332</v>
      </c>
      <c r="E106" s="345">
        <v>0.31163642593763596</v>
      </c>
      <c r="F106" s="345">
        <v>0.30069441287691001</v>
      </c>
      <c r="G106" s="345">
        <v>0.291808427693448</v>
      </c>
      <c r="H106" s="345">
        <v>0.27503887388298986</v>
      </c>
      <c r="I106" s="345">
        <v>0.27075472114015842</v>
      </c>
      <c r="J106" s="345">
        <v>0.26654379374344267</v>
      </c>
      <c r="K106" s="345">
        <v>0.26323927813868953</v>
      </c>
      <c r="L106" s="380">
        <v>0.26323927813868953</v>
      </c>
      <c r="M106" s="296">
        <f t="shared" si="76"/>
        <v>7.2552038044030501E-2</v>
      </c>
      <c r="N106" s="298">
        <f t="shared" si="77"/>
        <v>4.3393619088272342E-2</v>
      </c>
      <c r="O106" s="344">
        <v>0</v>
      </c>
      <c r="P106" s="345">
        <v>0.15604803983228102</v>
      </c>
      <c r="Q106" s="345">
        <v>0.28257661654041133</v>
      </c>
      <c r="R106" s="345">
        <v>0.29760250913240904</v>
      </c>
      <c r="S106" s="345">
        <v>0.29350730840334288</v>
      </c>
      <c r="T106" s="345">
        <v>0.28061896239281892</v>
      </c>
      <c r="U106" s="345">
        <v>0.2720551761050361</v>
      </c>
      <c r="V106" s="345">
        <v>0.26829827458376393</v>
      </c>
      <c r="W106" s="345">
        <v>0.26470246308501638</v>
      </c>
      <c r="X106" s="345">
        <v>0.26323927813868953</v>
      </c>
      <c r="Y106" s="380">
        <v>0.26082166626843406</v>
      </c>
      <c r="Z106" s="296">
        <f t="shared" si="78"/>
        <v>0.10361037182398261</v>
      </c>
      <c r="AA106" s="298">
        <f t="shared" si="79"/>
        <v>6.4471720003353244E-2</v>
      </c>
      <c r="AB106" s="949">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50">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8">
        <f t="shared" si="86"/>
        <v>0</v>
      </c>
      <c r="AE106" s="1232">
        <f t="shared" si="83"/>
        <v>7.2552038044030501E-2</v>
      </c>
      <c r="AF106" s="1233">
        <f t="shared" si="84"/>
        <v>0.10361037182398261</v>
      </c>
      <c r="AG106" s="1233">
        <f t="shared" si="85"/>
        <v>0.17616240986801313</v>
      </c>
      <c r="AH106" s="1174">
        <f t="shared" si="81"/>
        <v>0.41184744292717701</v>
      </c>
      <c r="AI106" s="1234">
        <f t="shared" si="82"/>
        <v>0.58815255707282288</v>
      </c>
      <c r="AJ106" s="227"/>
      <c r="AK106" s="540"/>
      <c r="AL106" s="540"/>
      <c r="AM106" s="540"/>
    </row>
    <row r="107" spans="1:39" x14ac:dyDescent="0.2">
      <c r="A107" s="330">
        <v>2038</v>
      </c>
      <c r="B107" s="344">
        <v>0</v>
      </c>
      <c r="C107" s="345">
        <v>0.14522232709365585</v>
      </c>
      <c r="D107" s="345">
        <v>0.27758107271016658</v>
      </c>
      <c r="E107" s="345">
        <v>0.30762227099866929</v>
      </c>
      <c r="F107" s="345">
        <v>0.29627582504699967</v>
      </c>
      <c r="G107" s="345">
        <v>0.28939075227409039</v>
      </c>
      <c r="H107" s="345">
        <v>0.27415715754135384</v>
      </c>
      <c r="I107" s="345">
        <v>0.2707655255131331</v>
      </c>
      <c r="J107" s="345">
        <v>0.26655495009102403</v>
      </c>
      <c r="K107" s="345">
        <v>0.26195246760201252</v>
      </c>
      <c r="L107" s="380">
        <v>0.26195246760201252</v>
      </c>
      <c r="M107" s="296">
        <f t="shared" si="76"/>
        <v>7.1921557848784498E-2</v>
      </c>
      <c r="N107" s="298">
        <f t="shared" si="77"/>
        <v>4.2977280246188007E-2</v>
      </c>
      <c r="O107" s="344">
        <v>0</v>
      </c>
      <c r="P107" s="345">
        <v>0.16501581275052957</v>
      </c>
      <c r="Q107" s="345">
        <v>0.29006313409003753</v>
      </c>
      <c r="R107" s="345">
        <v>0.29285217543769204</v>
      </c>
      <c r="S107" s="345">
        <v>0.29113241285601749</v>
      </c>
      <c r="T107" s="345">
        <v>0.28073236803076701</v>
      </c>
      <c r="U107" s="345">
        <v>0.27206573837441378</v>
      </c>
      <c r="V107" s="345">
        <v>0.26655495009102403</v>
      </c>
      <c r="W107" s="345">
        <v>0.26325074028638001</v>
      </c>
      <c r="X107" s="345">
        <v>0.26195246760201252</v>
      </c>
      <c r="Y107" s="380">
        <v>0.2599090853602713</v>
      </c>
      <c r="Z107" s="296">
        <f t="shared" si="78"/>
        <v>0.10629433093623428</v>
      </c>
      <c r="AA107" s="298">
        <f t="shared" si="79"/>
        <v>6.6989773493629695E-2</v>
      </c>
      <c r="AB107" s="949">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50">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8">
        <f t="shared" si="86"/>
        <v>0</v>
      </c>
      <c r="AE107" s="1232">
        <f t="shared" si="83"/>
        <v>7.1921557848784498E-2</v>
      </c>
      <c r="AF107" s="1233">
        <f t="shared" si="84"/>
        <v>0.10629433093623428</v>
      </c>
      <c r="AG107" s="1233">
        <f t="shared" si="85"/>
        <v>0.17821588878501876</v>
      </c>
      <c r="AH107" s="1174">
        <f t="shared" si="81"/>
        <v>0.40356422953703774</v>
      </c>
      <c r="AI107" s="1234">
        <f t="shared" si="82"/>
        <v>0.59643577046296237</v>
      </c>
      <c r="AJ107" s="227"/>
      <c r="AK107" s="540"/>
      <c r="AL107" s="540"/>
      <c r="AM107" s="540"/>
    </row>
    <row r="108" spans="1:39" x14ac:dyDescent="0.2">
      <c r="A108" s="330">
        <v>2039</v>
      </c>
      <c r="B108" s="344">
        <v>0</v>
      </c>
      <c r="C108" s="345">
        <v>0.14938387689649688</v>
      </c>
      <c r="D108" s="345">
        <v>0.27715429919593187</v>
      </c>
      <c r="E108" s="345">
        <v>0.30405097804103132</v>
      </c>
      <c r="F108" s="345">
        <v>0.29397618070849824</v>
      </c>
      <c r="G108" s="345">
        <v>0.28453606339655302</v>
      </c>
      <c r="H108" s="345">
        <v>0.27207563121843542</v>
      </c>
      <c r="I108" s="345">
        <v>0.26888949824474406</v>
      </c>
      <c r="J108" s="345">
        <v>0.26494892582926988</v>
      </c>
      <c r="K108" s="345">
        <v>0.26196341860180422</v>
      </c>
      <c r="L108" s="380">
        <v>0.26196341860180422</v>
      </c>
      <c r="M108" s="296">
        <f t="shared" si="76"/>
        <v>7.2266516399511316E-2</v>
      </c>
      <c r="N108" s="298">
        <f t="shared" si="77"/>
        <v>4.34600285946279E-2</v>
      </c>
      <c r="O108" s="344">
        <v>0</v>
      </c>
      <c r="P108" s="345">
        <v>0.16975535511621134</v>
      </c>
      <c r="Q108" s="345">
        <v>0.2880909439477578</v>
      </c>
      <c r="R108" s="345">
        <v>0.29153368367535587</v>
      </c>
      <c r="S108" s="345">
        <v>0.28629463660701643</v>
      </c>
      <c r="T108" s="345">
        <v>0.2784164287656391</v>
      </c>
      <c r="U108" s="345">
        <v>0.27008174074927604</v>
      </c>
      <c r="V108" s="345">
        <v>0.26656545050758101</v>
      </c>
      <c r="W108" s="345">
        <v>0.26326155460235517</v>
      </c>
      <c r="X108" s="345">
        <v>0.26196341860180422</v>
      </c>
      <c r="Y108" s="380">
        <v>0.25992024767534849</v>
      </c>
      <c r="Z108" s="296">
        <f t="shared" si="78"/>
        <v>0.10718540458289413</v>
      </c>
      <c r="AA108" s="298">
        <f t="shared" si="79"/>
        <v>6.8042542322639094E-2</v>
      </c>
      <c r="AB108" s="949">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50">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8">
        <f t="shared" si="86"/>
        <v>0</v>
      </c>
      <c r="AE108" s="1232">
        <f t="shared" si="83"/>
        <v>7.2266516399511316E-2</v>
      </c>
      <c r="AF108" s="1233">
        <f t="shared" si="84"/>
        <v>0.10718540458289413</v>
      </c>
      <c r="AG108" s="1233">
        <f t="shared" si="85"/>
        <v>0.17945192098240545</v>
      </c>
      <c r="AH108" s="1174">
        <f t="shared" si="81"/>
        <v>0.40270684205490764</v>
      </c>
      <c r="AI108" s="1234">
        <f t="shared" si="82"/>
        <v>0.59729315794509241</v>
      </c>
      <c r="AJ108" s="227"/>
      <c r="AK108" s="540"/>
      <c r="AL108" s="540"/>
      <c r="AM108" s="540"/>
    </row>
    <row r="109" spans="1:39" ht="13.5" thickBot="1" x14ac:dyDescent="0.25">
      <c r="A109" s="328">
        <v>2040</v>
      </c>
      <c r="B109" s="346">
        <v>0</v>
      </c>
      <c r="C109" s="347">
        <v>0.15840462426809163</v>
      </c>
      <c r="D109" s="347">
        <v>0.27589200379182749</v>
      </c>
      <c r="E109" s="347">
        <v>0.29611673542790889</v>
      </c>
      <c r="F109" s="347">
        <v>0.28922879200776896</v>
      </c>
      <c r="G109" s="347">
        <v>0.28213291144263591</v>
      </c>
      <c r="H109" s="347">
        <v>0.27009162939188291</v>
      </c>
      <c r="I109" s="347">
        <v>0.26713827994959977</v>
      </c>
      <c r="J109" s="347">
        <v>0.26495937480771725</v>
      </c>
      <c r="K109" s="347">
        <v>0.26197414585497214</v>
      </c>
      <c r="L109" s="381">
        <v>0.26197414585497214</v>
      </c>
      <c r="M109" s="310">
        <f t="shared" si="76"/>
        <v>7.302181944058149E-2</v>
      </c>
      <c r="N109" s="312">
        <f t="shared" si="77"/>
        <v>4.4496096658065323E-2</v>
      </c>
      <c r="O109" s="346">
        <v>0</v>
      </c>
      <c r="P109" s="347">
        <v>0.16722433059246389</v>
      </c>
      <c r="Q109" s="347">
        <v>0.28423975372152022</v>
      </c>
      <c r="R109" s="347">
        <v>0.28149814405614998</v>
      </c>
      <c r="S109" s="347">
        <v>0.2838628559023792</v>
      </c>
      <c r="T109" s="347">
        <v>0.27615810748593189</v>
      </c>
      <c r="U109" s="347">
        <v>0.27009162939188291</v>
      </c>
      <c r="V109" s="347">
        <v>0.26495937480771725</v>
      </c>
      <c r="W109" s="347">
        <v>0.26197414585497214</v>
      </c>
      <c r="X109" s="347">
        <v>0.26197414585497214</v>
      </c>
      <c r="Y109" s="381">
        <v>0.25993118837412421</v>
      </c>
      <c r="Z109" s="310">
        <f t="shared" si="78"/>
        <v>0.10547854529251731</v>
      </c>
      <c r="AA109" s="312">
        <f t="shared" si="79"/>
        <v>6.6961536255809154E-2</v>
      </c>
      <c r="AB109" s="949">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50">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8">
        <f t="shared" si="86"/>
        <v>0</v>
      </c>
      <c r="AE109" s="1232">
        <f t="shared" si="83"/>
        <v>7.302181944058149E-2</v>
      </c>
      <c r="AF109" s="1233">
        <f t="shared" si="84"/>
        <v>0.10547854529251731</v>
      </c>
      <c r="AG109" s="1233">
        <f t="shared" si="85"/>
        <v>0.1785003647330988</v>
      </c>
      <c r="AH109" s="1174">
        <f t="shared" si="81"/>
        <v>0.40908498730390142</v>
      </c>
      <c r="AI109" s="1234">
        <f t="shared" si="82"/>
        <v>0.59091501269609858</v>
      </c>
      <c r="AJ109" s="227"/>
      <c r="AK109" s="540"/>
      <c r="AL109" s="540"/>
      <c r="AM109" s="540"/>
    </row>
    <row r="110" spans="1:39" x14ac:dyDescent="0.2">
      <c r="A110" s="329">
        <v>2041</v>
      </c>
      <c r="B110" s="342">
        <v>0</v>
      </c>
      <c r="C110" s="343">
        <v>0.15840465489833824</v>
      </c>
      <c r="D110" s="343">
        <v>0.27209568778925441</v>
      </c>
      <c r="E110" s="343">
        <v>0.28162478985349571</v>
      </c>
      <c r="F110" s="343">
        <v>0.28436185433192895</v>
      </c>
      <c r="G110" s="343">
        <v>0.27976094564875942</v>
      </c>
      <c r="H110" s="343">
        <v>0.26821886008169182</v>
      </c>
      <c r="I110" s="343">
        <v>0.26714851155744307</v>
      </c>
      <c r="J110" s="343">
        <v>0.2635047064761008</v>
      </c>
      <c r="K110" s="343">
        <v>0.26086605127521123</v>
      </c>
      <c r="L110" s="379">
        <v>0.26086605127521123</v>
      </c>
      <c r="M110" s="282">
        <f t="shared" si="76"/>
        <v>7.189127247485054E-2</v>
      </c>
      <c r="N110" s="284">
        <f t="shared" si="77"/>
        <v>4.4011162346853643E-2</v>
      </c>
      <c r="O110" s="342">
        <v>0</v>
      </c>
      <c r="P110" s="343">
        <v>0.16715310543534254</v>
      </c>
      <c r="Q110" s="343">
        <v>0.27502720499597622</v>
      </c>
      <c r="R110" s="343">
        <v>0.26861367271836584</v>
      </c>
      <c r="S110" s="343">
        <v>0.27902071299792214</v>
      </c>
      <c r="T110" s="343">
        <v>0.27397126863817889</v>
      </c>
      <c r="U110" s="343">
        <v>0.26821886008169182</v>
      </c>
      <c r="V110" s="343">
        <v>0.26496974119449307</v>
      </c>
      <c r="W110" s="343">
        <v>0.26198479168813293</v>
      </c>
      <c r="X110" s="343">
        <v>0.26086605127521123</v>
      </c>
      <c r="Y110" s="379">
        <v>0.25994204847031543</v>
      </c>
      <c r="Z110" s="282">
        <f t="shared" si="78"/>
        <v>0.10377572140564792</v>
      </c>
      <c r="AA110" s="284">
        <f t="shared" si="79"/>
        <v>6.6182375228476045E-2</v>
      </c>
      <c r="AB110" s="949">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50">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8">
        <f t="shared" si="86"/>
        <v>0</v>
      </c>
      <c r="AE110" s="1232">
        <f t="shared" si="83"/>
        <v>7.189127247485054E-2</v>
      </c>
      <c r="AF110" s="1233">
        <f t="shared" si="84"/>
        <v>0.10377572140564792</v>
      </c>
      <c r="AG110" s="1233">
        <f t="shared" si="85"/>
        <v>0.17566699388049845</v>
      </c>
      <c r="AH110" s="1174">
        <f t="shared" si="81"/>
        <v>0.40924746810295082</v>
      </c>
      <c r="AI110" s="1234">
        <f t="shared" si="82"/>
        <v>0.59075253189704924</v>
      </c>
      <c r="AJ110" s="227"/>
      <c r="AK110" s="540"/>
      <c r="AL110" s="540"/>
      <c r="AM110" s="540"/>
    </row>
    <row r="111" spans="1:39" x14ac:dyDescent="0.2">
      <c r="A111" s="330">
        <v>2042</v>
      </c>
      <c r="B111" s="344">
        <v>0</v>
      </c>
      <c r="C111" s="345">
        <v>0.15822390949228374</v>
      </c>
      <c r="D111" s="345">
        <v>0.25921985352947624</v>
      </c>
      <c r="E111" s="345">
        <v>0.26236129736597918</v>
      </c>
      <c r="F111" s="345">
        <v>0.27703999781330546</v>
      </c>
      <c r="G111" s="345">
        <v>0.27515578491900738</v>
      </c>
      <c r="H111" s="345">
        <v>0.26647088249203299</v>
      </c>
      <c r="I111" s="345">
        <v>0.26553591655124381</v>
      </c>
      <c r="J111" s="345">
        <v>0.26351520476639345</v>
      </c>
      <c r="K111" s="345">
        <v>0.26087678883799797</v>
      </c>
      <c r="L111" s="380">
        <v>0.26087678883799797</v>
      </c>
      <c r="M111" s="296">
        <f t="shared" si="76"/>
        <v>6.9662072586073903E-2</v>
      </c>
      <c r="N111" s="298">
        <f t="shared" si="77"/>
        <v>4.2940081805122814E-2</v>
      </c>
      <c r="O111" s="344">
        <v>0</v>
      </c>
      <c r="P111" s="345">
        <v>0.16625654486981437</v>
      </c>
      <c r="Q111" s="345">
        <v>0.25736424782735112</v>
      </c>
      <c r="R111" s="345">
        <v>0.25064021116840174</v>
      </c>
      <c r="S111" s="345">
        <v>0.27430500419330472</v>
      </c>
      <c r="T111" s="345">
        <v>0.27186969817330692</v>
      </c>
      <c r="U111" s="345">
        <v>0.26647088249203299</v>
      </c>
      <c r="V111" s="345">
        <v>0.26351520476639345</v>
      </c>
      <c r="W111" s="345">
        <v>0.26087678883799797</v>
      </c>
      <c r="X111" s="345">
        <v>0.26087678883799797</v>
      </c>
      <c r="Y111" s="380">
        <v>0.25924180507811179</v>
      </c>
      <c r="Z111" s="296">
        <f t="shared" si="78"/>
        <v>0.100807818612584</v>
      </c>
      <c r="AA111" s="298">
        <f t="shared" si="79"/>
        <v>6.4677641528593413E-2</v>
      </c>
      <c r="AB111" s="949">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50">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8">
        <f t="shared" si="86"/>
        <v>0</v>
      </c>
      <c r="AE111" s="1232">
        <f t="shared" si="83"/>
        <v>6.9662072586073903E-2</v>
      </c>
      <c r="AF111" s="1233">
        <f t="shared" si="84"/>
        <v>0.100807818612584</v>
      </c>
      <c r="AG111" s="1233">
        <f t="shared" si="85"/>
        <v>0.17046989119865791</v>
      </c>
      <c r="AH111" s="1174">
        <f t="shared" si="81"/>
        <v>0.40864736931692452</v>
      </c>
      <c r="AI111" s="1234">
        <f t="shared" si="82"/>
        <v>0.59135263068307542</v>
      </c>
      <c r="AJ111" s="227"/>
      <c r="AK111" s="540"/>
      <c r="AL111" s="540"/>
      <c r="AM111" s="540"/>
    </row>
    <row r="112" spans="1:39" x14ac:dyDescent="0.2">
      <c r="A112" s="330">
        <v>2043</v>
      </c>
      <c r="B112" s="344">
        <v>0</v>
      </c>
      <c r="C112" s="345">
        <v>0.15643070534685971</v>
      </c>
      <c r="D112" s="345">
        <v>0.23988652703588906</v>
      </c>
      <c r="E112" s="345">
        <v>0.2438127101304306</v>
      </c>
      <c r="F112" s="345">
        <v>0.27230062567521712</v>
      </c>
      <c r="G112" s="345">
        <v>0.27295892041175152</v>
      </c>
      <c r="H112" s="345">
        <v>0.26648105589281834</v>
      </c>
      <c r="I112" s="345">
        <v>0.26407543430211666</v>
      </c>
      <c r="J112" s="345">
        <v>0.26222592337488454</v>
      </c>
      <c r="K112" s="345">
        <v>0.25996370330936802</v>
      </c>
      <c r="L112" s="380">
        <v>0.25996370330936802</v>
      </c>
      <c r="M112" s="296">
        <f t="shared" si="76"/>
        <v>6.6725733290520936E-2</v>
      </c>
      <c r="N112" s="298">
        <f t="shared" si="77"/>
        <v>4.134707770855392E-2</v>
      </c>
      <c r="O112" s="344">
        <v>0</v>
      </c>
      <c r="P112" s="345">
        <v>0.1620363306900269</v>
      </c>
      <c r="Q112" s="345">
        <v>0.23659250897185818</v>
      </c>
      <c r="R112" s="345">
        <v>0.23565209777468726</v>
      </c>
      <c r="S112" s="345">
        <v>0.27203300555720172</v>
      </c>
      <c r="T112" s="345">
        <v>0.26986710604561831</v>
      </c>
      <c r="U112" s="345">
        <v>0.26486119499427047</v>
      </c>
      <c r="V112" s="345">
        <v>0.26222592337488454</v>
      </c>
      <c r="W112" s="345">
        <v>0.26088751304588936</v>
      </c>
      <c r="X112" s="345">
        <v>0.25996370330936802</v>
      </c>
      <c r="Y112" s="380">
        <v>0.25925269949956947</v>
      </c>
      <c r="Z112" s="296">
        <f t="shared" si="78"/>
        <v>9.6912600906518806E-2</v>
      </c>
      <c r="AA112" s="298">
        <f t="shared" si="79"/>
        <v>6.2259448905934198E-2</v>
      </c>
      <c r="AB112" s="949">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50">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8">
        <f t="shared" si="86"/>
        <v>0</v>
      </c>
      <c r="AE112" s="1232">
        <f t="shared" si="83"/>
        <v>6.6725733290520936E-2</v>
      </c>
      <c r="AF112" s="1233">
        <f t="shared" si="84"/>
        <v>9.6912600906518806E-2</v>
      </c>
      <c r="AG112" s="1233">
        <f t="shared" si="85"/>
        <v>0.16363833419703974</v>
      </c>
      <c r="AH112" s="1174">
        <f t="shared" si="81"/>
        <v>0.40776345969261291</v>
      </c>
      <c r="AI112" s="1234">
        <f t="shared" si="82"/>
        <v>0.59223654030738704</v>
      </c>
      <c r="AJ112" s="227"/>
      <c r="AK112" s="540"/>
      <c r="AL112" s="540"/>
      <c r="AM112" s="540"/>
    </row>
    <row r="113" spans="1:39" x14ac:dyDescent="0.2">
      <c r="A113" s="330">
        <v>2044</v>
      </c>
      <c r="B113" s="344">
        <v>0</v>
      </c>
      <c r="C113" s="345">
        <v>0.15008015083946047</v>
      </c>
      <c r="D113" s="345">
        <v>0.21981747774340077</v>
      </c>
      <c r="E113" s="345">
        <v>0.23071365268579666</v>
      </c>
      <c r="F113" s="345">
        <v>0.27001794968872689</v>
      </c>
      <c r="G113" s="345">
        <v>0.26882689594695564</v>
      </c>
      <c r="H113" s="345">
        <v>0.26487155467947543</v>
      </c>
      <c r="I113" s="345">
        <v>0.26408597126542038</v>
      </c>
      <c r="J113" s="345">
        <v>0.2611162957780358</v>
      </c>
      <c r="K113" s="345">
        <v>0.25997453289266287</v>
      </c>
      <c r="L113" s="380">
        <v>0.25997453289266287</v>
      </c>
      <c r="M113" s="296">
        <f t="shared" si="76"/>
        <v>6.3315226585493253E-2</v>
      </c>
      <c r="N113" s="298">
        <f t="shared" si="77"/>
        <v>3.9178634504392101E-2</v>
      </c>
      <c r="O113" s="344">
        <v>0</v>
      </c>
      <c r="P113" s="345">
        <v>0.15341581122859424</v>
      </c>
      <c r="Q113" s="345">
        <v>0.22170018935084684</v>
      </c>
      <c r="R113" s="345">
        <v>0.22843493797043135</v>
      </c>
      <c r="S113" s="345">
        <v>0.2677113050058551</v>
      </c>
      <c r="T113" s="345">
        <v>0.26797714837908948</v>
      </c>
      <c r="U113" s="345">
        <v>0.26340337904091765</v>
      </c>
      <c r="V113" s="345">
        <v>0.26223655572807453</v>
      </c>
      <c r="W113" s="345">
        <v>0.26089824593235555</v>
      </c>
      <c r="X113" s="345">
        <v>0.25997453289266287</v>
      </c>
      <c r="Y113" s="380">
        <v>0.25926360285305</v>
      </c>
      <c r="Z113" s="296">
        <f t="shared" si="78"/>
        <v>9.2785695387915604E-2</v>
      </c>
      <c r="AA113" s="298">
        <f t="shared" si="79"/>
        <v>5.9160573286085698E-2</v>
      </c>
      <c r="AB113" s="949">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50">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8">
        <f t="shared" si="86"/>
        <v>0</v>
      </c>
      <c r="AE113" s="1232">
        <f t="shared" si="83"/>
        <v>6.3315226585493253E-2</v>
      </c>
      <c r="AF113" s="1233">
        <f t="shared" si="84"/>
        <v>9.2785695387915604E-2</v>
      </c>
      <c r="AG113" s="1233">
        <f t="shared" si="85"/>
        <v>0.15610092197340886</v>
      </c>
      <c r="AH113" s="1174">
        <f t="shared" si="81"/>
        <v>0.40560443708512328</v>
      </c>
      <c r="AI113" s="1234">
        <f t="shared" si="82"/>
        <v>0.59439556291487672</v>
      </c>
      <c r="AJ113" s="227"/>
      <c r="AK113" s="540"/>
      <c r="AL113" s="540"/>
      <c r="AM113" s="540"/>
    </row>
    <row r="114" spans="1:39" ht="13.5" thickBot="1" x14ac:dyDescent="0.25">
      <c r="A114" s="328">
        <v>2045</v>
      </c>
      <c r="B114" s="346">
        <v>0</v>
      </c>
      <c r="C114" s="347">
        <v>0.14019889607234051</v>
      </c>
      <c r="D114" s="347">
        <v>0.20675400325018467</v>
      </c>
      <c r="E114" s="347">
        <v>0.22364903886651818</v>
      </c>
      <c r="F114" s="347">
        <v>0.26567720303517384</v>
      </c>
      <c r="G114" s="347">
        <v>0.2669288008101483</v>
      </c>
      <c r="H114" s="347">
        <v>0.26341390186371288</v>
      </c>
      <c r="I114" s="347">
        <v>0.26279161005151341</v>
      </c>
      <c r="J114" s="347">
        <v>0.26112705071423631</v>
      </c>
      <c r="K114" s="347">
        <v>0.25998536663945793</v>
      </c>
      <c r="L114" s="381">
        <v>0.25998536663945793</v>
      </c>
      <c r="M114" s="310">
        <f t="shared" si="76"/>
        <v>6.0230753183083595E-2</v>
      </c>
      <c r="N114" s="312">
        <f t="shared" si="77"/>
        <v>3.6959575189978271E-2</v>
      </c>
      <c r="O114" s="346">
        <v>0</v>
      </c>
      <c r="P114" s="347">
        <v>0.1402137990504127</v>
      </c>
      <c r="Q114" s="347">
        <v>0.2083296756425535</v>
      </c>
      <c r="R114" s="347">
        <v>0.22012934542387244</v>
      </c>
      <c r="S114" s="347">
        <v>0.26569845659880625</v>
      </c>
      <c r="T114" s="347">
        <v>0.26621339653312359</v>
      </c>
      <c r="U114" s="347">
        <v>0.26341390186371288</v>
      </c>
      <c r="V114" s="347">
        <v>0.26112705071423631</v>
      </c>
      <c r="W114" s="347">
        <v>0.25998536663945793</v>
      </c>
      <c r="X114" s="347">
        <v>0.25998536663945793</v>
      </c>
      <c r="Y114" s="381">
        <v>0.25880037134786499</v>
      </c>
      <c r="Z114" s="310">
        <f t="shared" si="78"/>
        <v>8.7527571475147864E-2</v>
      </c>
      <c r="AA114" s="312">
        <f t="shared" si="79"/>
        <v>5.4948162735235666E-2</v>
      </c>
      <c r="AB114" s="949">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50">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8">
        <f t="shared" si="86"/>
        <v>0</v>
      </c>
      <c r="AE114" s="1232">
        <f t="shared" si="83"/>
        <v>6.0230753183083595E-2</v>
      </c>
      <c r="AF114" s="1233">
        <f t="shared" si="84"/>
        <v>8.7527571475147864E-2</v>
      </c>
      <c r="AG114" s="1233">
        <f t="shared" si="85"/>
        <v>0.14775832465823147</v>
      </c>
      <c r="AH114" s="1174">
        <f t="shared" si="81"/>
        <v>0.40763018477908952</v>
      </c>
      <c r="AI114" s="1234">
        <f t="shared" si="82"/>
        <v>0.59236981522091037</v>
      </c>
      <c r="AJ114" s="227"/>
      <c r="AK114" s="540"/>
      <c r="AL114" s="540"/>
      <c r="AM114" s="540"/>
    </row>
    <row r="115" spans="1:39" x14ac:dyDescent="0.2">
      <c r="A115" s="329">
        <v>2046</v>
      </c>
      <c r="B115" s="342">
        <v>0</v>
      </c>
      <c r="C115" s="343">
        <v>0.13082687631369108</v>
      </c>
      <c r="D115" s="343">
        <v>0.19730677406737945</v>
      </c>
      <c r="E115" s="343">
        <v>0.21865785827135473</v>
      </c>
      <c r="F115" s="343">
        <v>0.26568693668025939</v>
      </c>
      <c r="G115" s="343">
        <v>0.26693893158063453</v>
      </c>
      <c r="H115" s="343">
        <v>0.26342442963898866</v>
      </c>
      <c r="I115" s="343">
        <v>0.26280229568258856</v>
      </c>
      <c r="J115" s="343">
        <v>0.26113781075696724</v>
      </c>
      <c r="K115" s="343">
        <v>0.25928542320210141</v>
      </c>
      <c r="L115" s="379">
        <v>0.25928542320210141</v>
      </c>
      <c r="M115" s="282">
        <f t="shared" si="76"/>
        <v>5.7750376874748634E-2</v>
      </c>
      <c r="N115" s="284">
        <f t="shared" si="77"/>
        <v>3.5065537251049314E-2</v>
      </c>
      <c r="O115" s="342">
        <v>0</v>
      </c>
      <c r="P115" s="343">
        <v>0.13135326966358166</v>
      </c>
      <c r="Q115" s="343">
        <v>0.20087319644793794</v>
      </c>
      <c r="R115" s="343">
        <v>0.21695865476574641</v>
      </c>
      <c r="S115" s="343">
        <v>0.26570837914865791</v>
      </c>
      <c r="T115" s="343">
        <v>0.26458940562287214</v>
      </c>
      <c r="U115" s="343">
        <v>0.26212191142677271</v>
      </c>
      <c r="V115" s="343">
        <v>0.26113781075696724</v>
      </c>
      <c r="W115" s="343">
        <v>0.25999620554754388</v>
      </c>
      <c r="X115" s="343">
        <v>0.25928542320210141</v>
      </c>
      <c r="Y115" s="379">
        <v>0.25881133308454818</v>
      </c>
      <c r="Z115" s="282">
        <f t="shared" si="78"/>
        <v>8.4278675484618315E-2</v>
      </c>
      <c r="AA115" s="284">
        <f t="shared" si="79"/>
        <v>5.2249719915343849E-2</v>
      </c>
      <c r="AB115" s="949">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50">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8">
        <f t="shared" si="86"/>
        <v>0</v>
      </c>
      <c r="AE115" s="1232">
        <f t="shared" si="83"/>
        <v>5.7750376874748634E-2</v>
      </c>
      <c r="AF115" s="1233">
        <f t="shared" si="84"/>
        <v>8.4278675484618315E-2</v>
      </c>
      <c r="AG115" s="1233">
        <f t="shared" si="85"/>
        <v>0.14202905235936694</v>
      </c>
      <c r="AH115" s="1174">
        <f t="shared" si="81"/>
        <v>0.40660960497452719</v>
      </c>
      <c r="AI115" s="1234">
        <f t="shared" si="82"/>
        <v>0.59339039502547286</v>
      </c>
      <c r="AJ115" s="227"/>
      <c r="AK115" s="540"/>
      <c r="AL115" s="540"/>
      <c r="AM115" s="540"/>
    </row>
    <row r="116" spans="1:39" x14ac:dyDescent="0.2">
      <c r="A116" s="330">
        <v>2047</v>
      </c>
      <c r="B116" s="344">
        <v>0</v>
      </c>
      <c r="C116" s="345">
        <v>0.11415762620944404</v>
      </c>
      <c r="D116" s="345">
        <v>0.19167869082577246</v>
      </c>
      <c r="E116" s="345">
        <v>0.21543600822142708</v>
      </c>
      <c r="F116" s="345">
        <v>0.26366601876167894</v>
      </c>
      <c r="G116" s="345">
        <v>0.26516798057372998</v>
      </c>
      <c r="H116" s="345">
        <v>0.26343495542922235</v>
      </c>
      <c r="I116" s="345">
        <v>0.26281297931966907</v>
      </c>
      <c r="J116" s="345">
        <v>0.26114856880807708</v>
      </c>
      <c r="K116" s="345">
        <v>0.25929633398862101</v>
      </c>
      <c r="L116" s="380">
        <v>0.25929633398862101</v>
      </c>
      <c r="M116" s="296">
        <f t="shared" si="76"/>
        <v>5.4550956286025708E-2</v>
      </c>
      <c r="N116" s="298">
        <f t="shared" si="77"/>
        <v>3.2350861155128932E-2</v>
      </c>
      <c r="O116" s="344">
        <v>0</v>
      </c>
      <c r="P116" s="345">
        <v>0.12408472942290406</v>
      </c>
      <c r="Q116" s="345">
        <v>0.19894801241587812</v>
      </c>
      <c r="R116" s="345">
        <v>0.21105233200124759</v>
      </c>
      <c r="S116" s="345">
        <v>0.26380952065334839</v>
      </c>
      <c r="T116" s="345">
        <v>0.26459986705804328</v>
      </c>
      <c r="U116" s="345">
        <v>0.26213257664281214</v>
      </c>
      <c r="V116" s="345">
        <v>0.26114856880807708</v>
      </c>
      <c r="W116" s="345">
        <v>0.26000704246388689</v>
      </c>
      <c r="X116" s="345">
        <v>0.25929633398862101</v>
      </c>
      <c r="Y116" s="380">
        <v>0.25882229282688513</v>
      </c>
      <c r="Z116" s="296">
        <f t="shared" si="78"/>
        <v>8.1771677500258724E-2</v>
      </c>
      <c r="AA116" s="298">
        <f t="shared" si="79"/>
        <v>5.0154482988995046E-2</v>
      </c>
      <c r="AB116" s="949">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50">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8">
        <f t="shared" si="86"/>
        <v>0</v>
      </c>
      <c r="AE116" s="1232">
        <f t="shared" si="83"/>
        <v>5.4550956286025708E-2</v>
      </c>
      <c r="AF116" s="1233">
        <f t="shared" si="84"/>
        <v>8.1771677500258724E-2</v>
      </c>
      <c r="AG116" s="1233">
        <f t="shared" si="85"/>
        <v>0.13632263378628443</v>
      </c>
      <c r="AH116" s="1174">
        <f t="shared" si="81"/>
        <v>0.40016066863516059</v>
      </c>
      <c r="AI116" s="1234">
        <f t="shared" si="82"/>
        <v>0.59983933136483947</v>
      </c>
      <c r="AJ116" s="227"/>
      <c r="AK116" s="540"/>
      <c r="AL116" s="540"/>
      <c r="AM116" s="540"/>
    </row>
    <row r="117" spans="1:39" x14ac:dyDescent="0.2">
      <c r="A117" s="330">
        <v>2048</v>
      </c>
      <c r="B117" s="344">
        <v>0</v>
      </c>
      <c r="C117" s="345">
        <v>0.11038034608281418</v>
      </c>
      <c r="D117" s="345">
        <v>0.18796350428154146</v>
      </c>
      <c r="E117" s="345">
        <v>0.21526403661928153</v>
      </c>
      <c r="F117" s="345">
        <v>0.26367599251920959</v>
      </c>
      <c r="G117" s="345">
        <v>0.2651783191958158</v>
      </c>
      <c r="H117" s="345">
        <v>0.26214325475877259</v>
      </c>
      <c r="I117" s="345">
        <v>0.26169924584665222</v>
      </c>
      <c r="J117" s="345">
        <v>0.2602344726872895</v>
      </c>
      <c r="K117" s="345">
        <v>0.25930725800252136</v>
      </c>
      <c r="L117" s="380">
        <v>0.25930725800252136</v>
      </c>
      <c r="M117" s="296">
        <f t="shared" si="76"/>
        <v>5.3624977925614943E-2</v>
      </c>
      <c r="N117" s="298">
        <f t="shared" si="77"/>
        <v>3.1620690291546787E-2</v>
      </c>
      <c r="O117" s="344">
        <v>0</v>
      </c>
      <c r="P117" s="345">
        <v>0.11967790670746736</v>
      </c>
      <c r="Q117" s="345">
        <v>0.19532516212876669</v>
      </c>
      <c r="R117" s="345">
        <v>0.20821232967969022</v>
      </c>
      <c r="S117" s="345">
        <v>0.26381966715228</v>
      </c>
      <c r="T117" s="345">
        <v>0.26461034112255982</v>
      </c>
      <c r="U117" s="345">
        <v>0.26214325475877259</v>
      </c>
      <c r="V117" s="345">
        <v>0.26115933988236251</v>
      </c>
      <c r="W117" s="345">
        <v>0.26001789250938961</v>
      </c>
      <c r="X117" s="345">
        <v>0.25930725800252136</v>
      </c>
      <c r="Y117" s="380">
        <v>0.25883326586179922</v>
      </c>
      <c r="Z117" s="296">
        <f t="shared" si="78"/>
        <v>8.010948344245522E-2</v>
      </c>
      <c r="AA117" s="298">
        <f t="shared" si="79"/>
        <v>4.8792630272564051E-2</v>
      </c>
      <c r="AB117" s="949">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50">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8">
        <f t="shared" si="86"/>
        <v>0</v>
      </c>
      <c r="AE117" s="1232">
        <f t="shared" si="83"/>
        <v>5.3624977925614943E-2</v>
      </c>
      <c r="AF117" s="1233">
        <f t="shared" si="84"/>
        <v>8.010948344245522E-2</v>
      </c>
      <c r="AG117" s="1233">
        <f t="shared" si="85"/>
        <v>0.13373446136807016</v>
      </c>
      <c r="AH117" s="1174">
        <f t="shared" si="81"/>
        <v>0.40098099904127033</v>
      </c>
      <c r="AI117" s="1234">
        <f t="shared" si="82"/>
        <v>0.59901900095872973</v>
      </c>
      <c r="AJ117" s="227"/>
      <c r="AK117" s="540"/>
      <c r="AL117" s="540"/>
      <c r="AM117" s="540"/>
    </row>
    <row r="118" spans="1:39" x14ac:dyDescent="0.2">
      <c r="A118" s="330">
        <v>2049</v>
      </c>
      <c r="B118" s="344">
        <v>0</v>
      </c>
      <c r="C118" s="345">
        <v>0.10904090522032188</v>
      </c>
      <c r="D118" s="345">
        <v>0.18782491238744214</v>
      </c>
      <c r="E118" s="345">
        <v>0.21371103383327253</v>
      </c>
      <c r="F118" s="345">
        <v>0.26368597147229417</v>
      </c>
      <c r="G118" s="345">
        <v>0.26518866322756074</v>
      </c>
      <c r="H118" s="345">
        <v>0.2621539384993602</v>
      </c>
      <c r="I118" s="345">
        <v>0.26171006721101148</v>
      </c>
      <c r="J118" s="345">
        <v>0.26024534656198717</v>
      </c>
      <c r="K118" s="345">
        <v>0.25931818780105081</v>
      </c>
      <c r="L118" s="380">
        <v>0.25931818780105081</v>
      </c>
      <c r="M118" s="296">
        <f t="shared" si="76"/>
        <v>5.3340999173798885E-2</v>
      </c>
      <c r="N118" s="298">
        <f t="shared" si="77"/>
        <v>3.1397049586957861E-2</v>
      </c>
      <c r="O118" s="344">
        <v>0</v>
      </c>
      <c r="P118" s="345">
        <v>0.11813042881946062</v>
      </c>
      <c r="Q118" s="345">
        <v>0.19517679554221562</v>
      </c>
      <c r="R118" s="345">
        <v>0.20804106190279642</v>
      </c>
      <c r="S118" s="345">
        <v>0.26382981894963026</v>
      </c>
      <c r="T118" s="345">
        <v>0.26462082068009124</v>
      </c>
      <c r="U118" s="345">
        <v>0.2621539384993602</v>
      </c>
      <c r="V118" s="345">
        <v>0.26117011664122319</v>
      </c>
      <c r="W118" s="345">
        <v>0.26002874829167388</v>
      </c>
      <c r="X118" s="345">
        <v>0.25931818780105081</v>
      </c>
      <c r="Y118" s="380">
        <v>0.25884424471315509</v>
      </c>
      <c r="Z118" s="296">
        <f t="shared" si="78"/>
        <v>7.9669939148033955E-2</v>
      </c>
      <c r="AA118" s="298">
        <f t="shared" si="79"/>
        <v>4.8385675267774653E-2</v>
      </c>
      <c r="AB118" s="949">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50">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8">
        <f t="shared" si="86"/>
        <v>0</v>
      </c>
      <c r="AE118" s="1232">
        <f t="shared" si="83"/>
        <v>5.3340999173798885E-2</v>
      </c>
      <c r="AF118" s="1233">
        <f t="shared" si="84"/>
        <v>7.9669939148033955E-2</v>
      </c>
      <c r="AG118" s="1233">
        <f t="shared" si="85"/>
        <v>0.13301093832183283</v>
      </c>
      <c r="AH118" s="1174">
        <f t="shared" si="81"/>
        <v>0.40102716247843601</v>
      </c>
      <c r="AI118" s="1234">
        <f t="shared" si="82"/>
        <v>0.59897283752156405</v>
      </c>
      <c r="AJ118" s="227"/>
      <c r="AK118" s="540"/>
      <c r="AL118" s="540"/>
      <c r="AM118" s="540"/>
    </row>
    <row r="119" spans="1:39" ht="13.5" thickBot="1" x14ac:dyDescent="0.25">
      <c r="A119" s="328">
        <v>2050</v>
      </c>
      <c r="B119" s="346">
        <v>0</v>
      </c>
      <c r="C119" s="347">
        <v>0.10632029050173894</v>
      </c>
      <c r="D119" s="347">
        <v>0.18590957900178276</v>
      </c>
      <c r="E119" s="347">
        <v>0.2120394558982272</v>
      </c>
      <c r="F119" s="347">
        <v>0.26369595561881626</v>
      </c>
      <c r="G119" s="347">
        <v>0.26519901266680834</v>
      </c>
      <c r="H119" s="347">
        <v>0.26216462786240652</v>
      </c>
      <c r="I119" s="347">
        <v>0.2617208942831436</v>
      </c>
      <c r="J119" s="347">
        <v>0.26025622618161171</v>
      </c>
      <c r="K119" s="347">
        <v>0.25932912338203945</v>
      </c>
      <c r="L119" s="381">
        <v>0.25932912338203945</v>
      </c>
      <c r="M119" s="310">
        <f t="shared" si="76"/>
        <v>5.2685565643236044E-2</v>
      </c>
      <c r="N119" s="312">
        <f t="shared" si="77"/>
        <v>3.0885563437975081E-2</v>
      </c>
      <c r="O119" s="346">
        <v>0</v>
      </c>
      <c r="P119" s="347">
        <v>0.11805692058133711</v>
      </c>
      <c r="Q119" s="347">
        <v>0.19333014130889198</v>
      </c>
      <c r="R119" s="347">
        <v>0.20787267933269407</v>
      </c>
      <c r="S119" s="347">
        <v>0.26383997604326609</v>
      </c>
      <c r="T119" s="347">
        <v>0.26463130572847238</v>
      </c>
      <c r="U119" s="347">
        <v>0.26216462786240652</v>
      </c>
      <c r="V119" s="347">
        <v>0.26118089908248915</v>
      </c>
      <c r="W119" s="347">
        <v>0.26003960980857066</v>
      </c>
      <c r="X119" s="347">
        <v>0.25932912338203945</v>
      </c>
      <c r="Y119" s="381">
        <v>0.25885522937878219</v>
      </c>
      <c r="Z119" s="310">
        <f t="shared" si="78"/>
        <v>7.9485973365354512E-2</v>
      </c>
      <c r="AA119" s="312">
        <f t="shared" si="79"/>
        <v>4.8277183483383633E-2</v>
      </c>
      <c r="AB119" s="951">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2">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9">
        <f t="shared" si="86"/>
        <v>0</v>
      </c>
      <c r="AE119" s="1235">
        <f t="shared" si="83"/>
        <v>5.2685565643236044E-2</v>
      </c>
      <c r="AF119" s="1236">
        <f t="shared" si="84"/>
        <v>7.9485973365354512E-2</v>
      </c>
      <c r="AG119" s="1236">
        <f t="shared" si="85"/>
        <v>0.13217153900859055</v>
      </c>
      <c r="AH119" s="1237">
        <f t="shared" si="81"/>
        <v>0.39861505766238919</v>
      </c>
      <c r="AI119" s="1238">
        <f t="shared" si="82"/>
        <v>0.60138494233761086</v>
      </c>
      <c r="AJ119" s="227"/>
      <c r="AK119" s="540"/>
      <c r="AL119" s="540"/>
      <c r="AM119" s="540"/>
    </row>
    <row r="120" spans="1:39" x14ac:dyDescent="0.2">
      <c r="B120" s="227" t="s">
        <v>241</v>
      </c>
      <c r="U120" s="227" t="s">
        <v>241</v>
      </c>
      <c r="AB120"/>
      <c r="AC120"/>
      <c r="AD120"/>
    </row>
    <row r="121" spans="1:39" ht="13.5" thickBot="1" x14ac:dyDescent="0.25"/>
    <row r="122" spans="1:39" ht="15" x14ac:dyDescent="0.25">
      <c r="A122" s="333"/>
      <c r="B122" s="1559" t="s">
        <v>196</v>
      </c>
      <c r="C122" s="1560"/>
      <c r="D122" s="1560"/>
      <c r="E122" s="1560"/>
      <c r="F122" s="1560"/>
      <c r="G122" s="1560"/>
      <c r="H122" s="1560"/>
      <c r="I122" s="1560"/>
      <c r="J122" s="1560"/>
      <c r="K122" s="1560"/>
      <c r="L122" s="1560"/>
      <c r="M122" s="1560"/>
      <c r="N122" s="1561"/>
      <c r="O122" s="1559" t="s">
        <v>197</v>
      </c>
      <c r="P122" s="1560"/>
      <c r="Q122" s="1560"/>
      <c r="R122" s="1560"/>
      <c r="S122" s="1560"/>
      <c r="T122" s="1560"/>
      <c r="U122" s="1560"/>
      <c r="V122" s="1560"/>
      <c r="W122" s="1560"/>
      <c r="X122" s="1560"/>
      <c r="Y122" s="1560"/>
      <c r="Z122" s="1560"/>
      <c r="AA122" s="1561"/>
      <c r="AI122" s="227"/>
      <c r="AJ122" s="227"/>
      <c r="AK122" s="227"/>
      <c r="AL122" s="227"/>
      <c r="AM122" s="227"/>
    </row>
    <row r="123" spans="1:39" x14ac:dyDescent="0.2">
      <c r="A123" s="324"/>
      <c r="B123" s="1556" t="s">
        <v>121</v>
      </c>
      <c r="C123" s="1557"/>
      <c r="D123" s="1557"/>
      <c r="E123" s="1557"/>
      <c r="F123" s="1557"/>
      <c r="G123" s="1557"/>
      <c r="H123" s="1557"/>
      <c r="I123" s="1557"/>
      <c r="J123" s="1557"/>
      <c r="K123" s="1557"/>
      <c r="L123" s="1558"/>
      <c r="M123" s="382"/>
      <c r="N123" s="325"/>
      <c r="O123" s="1556" t="s">
        <v>121</v>
      </c>
      <c r="P123" s="1557"/>
      <c r="Q123" s="1557"/>
      <c r="R123" s="1557"/>
      <c r="S123" s="1557"/>
      <c r="T123" s="1557"/>
      <c r="U123" s="1557"/>
      <c r="V123" s="1557"/>
      <c r="W123" s="1557"/>
      <c r="X123" s="1557"/>
      <c r="Y123" s="1558"/>
      <c r="Z123" s="382"/>
      <c r="AA123" s="325"/>
      <c r="AC123" s="955" t="s">
        <v>268</v>
      </c>
      <c r="AD123" s="234" t="b">
        <f>INDEX(TECH_OPT_FUEL2_Cls1,MATCH(RIGHT(O122),TECH_OPT_ROWS_Cls1,0))&lt;&gt;"N/A"</f>
        <v>0</v>
      </c>
      <c r="AI123" s="227"/>
      <c r="AJ123" s="227"/>
      <c r="AK123" s="227"/>
      <c r="AL123" s="227"/>
      <c r="AM123" s="227"/>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7"/>
      <c r="AC124" s="955" t="s">
        <v>269</v>
      </c>
      <c r="AD124" s="234">
        <f>MATCH(RIGHT(O122),TECH_OPT_ROWS_Cls1,0)</f>
        <v>3</v>
      </c>
      <c r="AI124" s="227"/>
      <c r="AJ124" s="227"/>
      <c r="AK124" s="227"/>
      <c r="AL124" s="227"/>
      <c r="AM124" s="227"/>
    </row>
    <row r="125" spans="1:39" ht="14.25"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11">
        <v>1.1022999100839563E-4</v>
      </c>
      <c r="Z125" s="1216"/>
      <c r="AA125" s="1218">
        <v>0.76263667822937764</v>
      </c>
      <c r="AI125" s="227"/>
      <c r="AJ125" s="227"/>
      <c r="AK125" s="227"/>
      <c r="AL125" s="227"/>
      <c r="AM125" s="227"/>
    </row>
    <row r="126" spans="1:39" x14ac:dyDescent="0.2">
      <c r="A126" s="331" t="s">
        <v>125</v>
      </c>
      <c r="B126" s="924">
        <f t="array" ref="B126:L126">TRANSPOSE(Cls3CentVMTShr)</f>
        <v>7.4407503791532936E-2</v>
      </c>
      <c r="C126" s="925">
        <v>0.15052192967997111</v>
      </c>
      <c r="D126" s="925">
        <v>8.9028098283245441E-2</v>
      </c>
      <c r="E126" s="925">
        <v>4.5356257743642811E-2</v>
      </c>
      <c r="F126" s="925">
        <v>2.1016507050137231E-2</v>
      </c>
      <c r="G126" s="925">
        <v>4.9007047894213725E-4</v>
      </c>
      <c r="H126" s="925">
        <v>1.4797621296467818E-2</v>
      </c>
      <c r="I126" s="925">
        <v>0</v>
      </c>
      <c r="J126" s="925">
        <v>0</v>
      </c>
      <c r="K126" s="925">
        <v>3.7103078033661591E-3</v>
      </c>
      <c r="L126" s="1212">
        <v>0</v>
      </c>
      <c r="M126" s="1213"/>
      <c r="N126" s="1214"/>
      <c r="O126" s="924">
        <f t="array" ref="O126:Y126">TRANSPOSE(Cls3NCentVMTShr)</f>
        <v>0.11481596497083862</v>
      </c>
      <c r="P126" s="925">
        <v>0.26987209279577573</v>
      </c>
      <c r="Q126" s="925">
        <v>8.3836105982992667E-2</v>
      </c>
      <c r="R126" s="925">
        <v>5.9842896537765707E-2</v>
      </c>
      <c r="S126" s="925">
        <v>1.6413649143963899E-2</v>
      </c>
      <c r="T126" s="925">
        <v>1.0165768727376887E-2</v>
      </c>
      <c r="U126" s="925">
        <v>2.0700108148562976E-2</v>
      </c>
      <c r="V126" s="925">
        <v>2.0956833812228508E-2</v>
      </c>
      <c r="W126" s="925">
        <v>3.1584958359553582E-3</v>
      </c>
      <c r="X126" s="925">
        <v>0</v>
      </c>
      <c r="Y126" s="926">
        <v>9.0978791723388369E-4</v>
      </c>
      <c r="Z126" s="1219">
        <v>0.76961852331138836</v>
      </c>
      <c r="AA126" s="1214"/>
      <c r="AB126" s="1572" t="str">
        <f>"% of miles on f2 for Tech "&amp; RIGHT(O121)&amp;" adopters"</f>
        <v>% of miles on f2 for Tech  adopters</v>
      </c>
      <c r="AC126" s="1573"/>
      <c r="AD126" s="1574"/>
      <c r="AE126" s="1239" t="s">
        <v>299</v>
      </c>
      <c r="AF126" s="1240"/>
      <c r="AG126" s="1240"/>
      <c r="AH126" s="1230" t="s">
        <v>298</v>
      </c>
      <c r="AI126" s="1231"/>
      <c r="AJ126" s="227"/>
      <c r="AK126" s="227"/>
      <c r="AL126" s="227"/>
      <c r="AM126" s="227"/>
    </row>
    <row r="127" spans="1:39" ht="13.5" thickBot="1" x14ac:dyDescent="0.25">
      <c r="A127" s="943" t="s">
        <v>267</v>
      </c>
      <c r="B127" s="934">
        <f t="array" ref="B127:L127">TRANSPOSE(Cls3CentVMT/OPDAYS_Cls3)</f>
        <v>49.202805162026571</v>
      </c>
      <c r="C127" s="935">
        <v>115.99623692884222</v>
      </c>
      <c r="D127" s="935">
        <v>190.94140758026836</v>
      </c>
      <c r="E127" s="935">
        <v>282.72824571583544</v>
      </c>
      <c r="F127" s="935">
        <v>349.10577157713089</v>
      </c>
      <c r="G127" s="935">
        <v>408.92399999999998</v>
      </c>
      <c r="H127" s="935">
        <v>540.31926836851005</v>
      </c>
      <c r="I127" s="935">
        <v>600</v>
      </c>
      <c r="J127" s="935">
        <v>680</v>
      </c>
      <c r="K127" s="935">
        <v>800.00000000000011</v>
      </c>
      <c r="L127" s="936">
        <v>800</v>
      </c>
      <c r="M127" s="932"/>
      <c r="N127" s="933"/>
      <c r="O127" s="934">
        <f t="array" ref="O127:Y127">TRANSPOSE(Cls3NCentVMT/OPDAYS_Cls3)</f>
        <v>45.820527909508108</v>
      </c>
      <c r="P127" s="935">
        <v>114.90604343518244</v>
      </c>
      <c r="Q127" s="935">
        <v>196.29405935940918</v>
      </c>
      <c r="R127" s="935">
        <v>286.46435582159182</v>
      </c>
      <c r="S127" s="935">
        <v>352.24339419308075</v>
      </c>
      <c r="T127" s="935">
        <v>427.07804424634116</v>
      </c>
      <c r="U127" s="935">
        <v>519.59880241076587</v>
      </c>
      <c r="V127" s="935">
        <v>608.4346682070543</v>
      </c>
      <c r="W127" s="935">
        <v>703.2</v>
      </c>
      <c r="X127" s="935">
        <v>760</v>
      </c>
      <c r="Y127" s="1215">
        <v>900</v>
      </c>
      <c r="Z127" s="944"/>
      <c r="AA127" s="933"/>
      <c r="AB127" s="946" t="s">
        <v>187</v>
      </c>
      <c r="AC127" s="947" t="s">
        <v>15</v>
      </c>
      <c r="AD127" s="948" t="s">
        <v>18</v>
      </c>
      <c r="AE127" s="330" t="s">
        <v>187</v>
      </c>
      <c r="AF127" s="1241" t="s">
        <v>15</v>
      </c>
      <c r="AG127" s="1241" t="s">
        <v>18</v>
      </c>
      <c r="AH127" s="1242" t="s">
        <v>187</v>
      </c>
      <c r="AI127" s="1243" t="s">
        <v>15</v>
      </c>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2">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2">
        <f>SUMPRODUCT(O128:Y128,$O$125:$Y$125)</f>
        <v>0</v>
      </c>
      <c r="AB128" s="949">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50">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8">
        <f>AB128*AH128+AC128*AI128</f>
        <v>0</v>
      </c>
      <c r="AE128" s="1232">
        <f t="shared" ref="AE128:AE142" si="87">SUMPRODUCT($B$74:$L$74,B128:L128)</f>
        <v>0</v>
      </c>
      <c r="AF128" s="1233">
        <f t="shared" ref="AF128:AF142" si="88">SUMPRODUCT($O$74:$Y$74,O128:Y128)</f>
        <v>0</v>
      </c>
      <c r="AG128" s="1233">
        <f t="shared" ref="AG128:AG142" si="89">SUM(AE128:AF128)</f>
        <v>0</v>
      </c>
      <c r="AH128" s="1174">
        <f>IF(AG128&gt;0,AE128/AG128,0)</f>
        <v>0</v>
      </c>
      <c r="AI128" s="1234">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0">SUMPRODUCT(B129:L129,$B$126:$L$126)</f>
        <v>0</v>
      </c>
      <c r="N129" s="298">
        <f t="shared" ref="N129:N171" si="91">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92">SUMPRODUCT(O129:Y129,$O$126:$Y$126)</f>
        <v>0</v>
      </c>
      <c r="AA129" s="298">
        <f t="shared" ref="AA129:AA171" si="93">SUMPRODUCT(O129:Y129,$O$125:$Y$125)</f>
        <v>0</v>
      </c>
      <c r="AB129" s="949">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50">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8">
        <f t="shared" ref="AD129:AD153" si="94">AB129*AH129+AC129*AI129</f>
        <v>0</v>
      </c>
      <c r="AE129" s="1232">
        <f t="shared" si="87"/>
        <v>0</v>
      </c>
      <c r="AF129" s="1233">
        <f t="shared" si="88"/>
        <v>0</v>
      </c>
      <c r="AG129" s="1233">
        <f t="shared" si="89"/>
        <v>0</v>
      </c>
      <c r="AH129" s="1174">
        <f t="shared" ref="AH129:AH171" si="95">IF(AG129&gt;0,AE129/AG129,0)</f>
        <v>0</v>
      </c>
      <c r="AI129" s="1234">
        <f t="shared" ref="AI129:AI171" si="96">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0"/>
        <v>0</v>
      </c>
      <c r="N130" s="298">
        <f t="shared" si="91"/>
        <v>0</v>
      </c>
      <c r="O130" s="344">
        <v>0</v>
      </c>
      <c r="P130" s="345">
        <v>0</v>
      </c>
      <c r="Q130" s="345">
        <v>0</v>
      </c>
      <c r="R130" s="345">
        <v>0</v>
      </c>
      <c r="S130" s="345">
        <v>0</v>
      </c>
      <c r="T130" s="345">
        <v>0</v>
      </c>
      <c r="U130" s="345">
        <v>0</v>
      </c>
      <c r="V130" s="345">
        <v>0</v>
      </c>
      <c r="W130" s="345">
        <v>0</v>
      </c>
      <c r="X130" s="345">
        <v>0</v>
      </c>
      <c r="Y130" s="380">
        <v>0</v>
      </c>
      <c r="Z130" s="296">
        <f t="shared" si="92"/>
        <v>0</v>
      </c>
      <c r="AA130" s="298">
        <f t="shared" si="93"/>
        <v>0</v>
      </c>
      <c r="AB130" s="949">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50">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8">
        <f t="shared" si="94"/>
        <v>0</v>
      </c>
      <c r="AE130" s="1232">
        <f t="shared" si="87"/>
        <v>0</v>
      </c>
      <c r="AF130" s="1233">
        <f t="shared" si="88"/>
        <v>0</v>
      </c>
      <c r="AG130" s="1233">
        <f t="shared" si="89"/>
        <v>0</v>
      </c>
      <c r="AH130" s="1174">
        <f t="shared" si="95"/>
        <v>0</v>
      </c>
      <c r="AI130" s="1234">
        <f t="shared" si="96"/>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0"/>
        <v>0</v>
      </c>
      <c r="N131" s="312">
        <f t="shared" si="91"/>
        <v>0</v>
      </c>
      <c r="O131" s="346">
        <v>0</v>
      </c>
      <c r="P131" s="347">
        <v>0</v>
      </c>
      <c r="Q131" s="347">
        <v>0</v>
      </c>
      <c r="R131" s="347">
        <v>0</v>
      </c>
      <c r="S131" s="347">
        <v>0</v>
      </c>
      <c r="T131" s="347">
        <v>0</v>
      </c>
      <c r="U131" s="347">
        <v>0</v>
      </c>
      <c r="V131" s="347">
        <v>0</v>
      </c>
      <c r="W131" s="347">
        <v>0</v>
      </c>
      <c r="X131" s="347">
        <v>0</v>
      </c>
      <c r="Y131" s="381">
        <v>0</v>
      </c>
      <c r="Z131" s="310">
        <f t="shared" si="92"/>
        <v>0</v>
      </c>
      <c r="AA131" s="312">
        <f t="shared" si="93"/>
        <v>0</v>
      </c>
      <c r="AB131" s="949">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50">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8">
        <f t="shared" si="94"/>
        <v>0</v>
      </c>
      <c r="AE131" s="1232">
        <f t="shared" si="87"/>
        <v>0</v>
      </c>
      <c r="AF131" s="1233">
        <f t="shared" si="88"/>
        <v>0</v>
      </c>
      <c r="AG131" s="1233">
        <f t="shared" si="89"/>
        <v>0</v>
      </c>
      <c r="AH131" s="1174">
        <f t="shared" si="95"/>
        <v>0</v>
      </c>
      <c r="AI131" s="1234">
        <f t="shared" si="96"/>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0"/>
        <v>0</v>
      </c>
      <c r="N132" s="284">
        <f t="shared" si="91"/>
        <v>0</v>
      </c>
      <c r="O132" s="342">
        <v>0</v>
      </c>
      <c r="P132" s="343">
        <v>0</v>
      </c>
      <c r="Q132" s="343">
        <v>0</v>
      </c>
      <c r="R132" s="343">
        <v>0</v>
      </c>
      <c r="S132" s="343">
        <v>0</v>
      </c>
      <c r="T132" s="343">
        <v>0</v>
      </c>
      <c r="U132" s="343">
        <v>0</v>
      </c>
      <c r="V132" s="343">
        <v>0</v>
      </c>
      <c r="W132" s="343">
        <v>0</v>
      </c>
      <c r="X132" s="343">
        <v>0</v>
      </c>
      <c r="Y132" s="379">
        <v>0</v>
      </c>
      <c r="Z132" s="282">
        <f t="shared" si="92"/>
        <v>0</v>
      </c>
      <c r="AA132" s="284">
        <f t="shared" si="93"/>
        <v>0</v>
      </c>
      <c r="AB132" s="949">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50">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8">
        <f t="shared" si="94"/>
        <v>0</v>
      </c>
      <c r="AE132" s="1232">
        <f t="shared" si="87"/>
        <v>0</v>
      </c>
      <c r="AF132" s="1233">
        <f t="shared" si="88"/>
        <v>0</v>
      </c>
      <c r="AG132" s="1233">
        <f t="shared" si="89"/>
        <v>0</v>
      </c>
      <c r="AH132" s="1174">
        <f t="shared" si="95"/>
        <v>0</v>
      </c>
      <c r="AI132" s="1234">
        <f t="shared" si="96"/>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0"/>
        <v>0</v>
      </c>
      <c r="N133" s="298">
        <f t="shared" si="91"/>
        <v>0</v>
      </c>
      <c r="O133" s="344">
        <v>0</v>
      </c>
      <c r="P133" s="345">
        <v>0</v>
      </c>
      <c r="Q133" s="345">
        <v>0</v>
      </c>
      <c r="R133" s="345">
        <v>0</v>
      </c>
      <c r="S133" s="345">
        <v>0</v>
      </c>
      <c r="T133" s="345">
        <v>0</v>
      </c>
      <c r="U133" s="345">
        <v>0</v>
      </c>
      <c r="V133" s="345">
        <v>0</v>
      </c>
      <c r="W133" s="345">
        <v>0</v>
      </c>
      <c r="X133" s="345">
        <v>0</v>
      </c>
      <c r="Y133" s="380">
        <v>0</v>
      </c>
      <c r="Z133" s="296">
        <f t="shared" si="92"/>
        <v>0</v>
      </c>
      <c r="AA133" s="298">
        <f t="shared" si="93"/>
        <v>0</v>
      </c>
      <c r="AB133" s="949">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50">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8">
        <f t="shared" si="94"/>
        <v>0</v>
      </c>
      <c r="AE133" s="1232">
        <f t="shared" si="87"/>
        <v>0</v>
      </c>
      <c r="AF133" s="1233">
        <f t="shared" si="88"/>
        <v>0</v>
      </c>
      <c r="AG133" s="1233">
        <f t="shared" si="89"/>
        <v>0</v>
      </c>
      <c r="AH133" s="1174">
        <f t="shared" si="95"/>
        <v>0</v>
      </c>
      <c r="AI133" s="1234">
        <f t="shared" si="96"/>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0"/>
        <v>0</v>
      </c>
      <c r="N134" s="298">
        <f t="shared" si="91"/>
        <v>0</v>
      </c>
      <c r="O134" s="344">
        <v>0</v>
      </c>
      <c r="P134" s="345">
        <v>0</v>
      </c>
      <c r="Q134" s="345">
        <v>0</v>
      </c>
      <c r="R134" s="345">
        <v>0</v>
      </c>
      <c r="S134" s="345">
        <v>0</v>
      </c>
      <c r="T134" s="345">
        <v>0</v>
      </c>
      <c r="U134" s="345">
        <v>0</v>
      </c>
      <c r="V134" s="345">
        <v>0</v>
      </c>
      <c r="W134" s="345">
        <v>0</v>
      </c>
      <c r="X134" s="345">
        <v>0</v>
      </c>
      <c r="Y134" s="380">
        <v>0</v>
      </c>
      <c r="Z134" s="296">
        <f t="shared" si="92"/>
        <v>0</v>
      </c>
      <c r="AA134" s="298">
        <f t="shared" si="93"/>
        <v>0</v>
      </c>
      <c r="AB134" s="949">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50">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8">
        <f t="shared" si="94"/>
        <v>0</v>
      </c>
      <c r="AE134" s="1232">
        <f t="shared" si="87"/>
        <v>0</v>
      </c>
      <c r="AF134" s="1233">
        <f t="shared" si="88"/>
        <v>0</v>
      </c>
      <c r="AG134" s="1233">
        <f t="shared" si="89"/>
        <v>0</v>
      </c>
      <c r="AH134" s="1174">
        <f t="shared" si="95"/>
        <v>0</v>
      </c>
      <c r="AI134" s="1234">
        <f t="shared" si="96"/>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0"/>
        <v>0</v>
      </c>
      <c r="N135" s="298">
        <f t="shared" si="91"/>
        <v>0</v>
      </c>
      <c r="O135" s="344">
        <v>0</v>
      </c>
      <c r="P135" s="345">
        <v>0</v>
      </c>
      <c r="Q135" s="345">
        <v>0</v>
      </c>
      <c r="R135" s="345">
        <v>0</v>
      </c>
      <c r="S135" s="345">
        <v>0</v>
      </c>
      <c r="T135" s="345">
        <v>0</v>
      </c>
      <c r="U135" s="345">
        <v>0</v>
      </c>
      <c r="V135" s="345">
        <v>0</v>
      </c>
      <c r="W135" s="345">
        <v>0</v>
      </c>
      <c r="X135" s="345">
        <v>0</v>
      </c>
      <c r="Y135" s="380">
        <v>0</v>
      </c>
      <c r="Z135" s="296">
        <f t="shared" si="92"/>
        <v>0</v>
      </c>
      <c r="AA135" s="298">
        <f t="shared" si="93"/>
        <v>0</v>
      </c>
      <c r="AB135" s="949">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50">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8">
        <f t="shared" si="94"/>
        <v>0</v>
      </c>
      <c r="AE135" s="1232">
        <f t="shared" si="87"/>
        <v>0</v>
      </c>
      <c r="AF135" s="1233">
        <f t="shared" si="88"/>
        <v>0</v>
      </c>
      <c r="AG135" s="1233">
        <f t="shared" si="89"/>
        <v>0</v>
      </c>
      <c r="AH135" s="1174">
        <f t="shared" si="95"/>
        <v>0</v>
      </c>
      <c r="AI135" s="1234">
        <f t="shared" si="96"/>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0"/>
        <v>0</v>
      </c>
      <c r="N136" s="312">
        <f t="shared" si="91"/>
        <v>0</v>
      </c>
      <c r="O136" s="346">
        <v>0</v>
      </c>
      <c r="P136" s="347">
        <v>0</v>
      </c>
      <c r="Q136" s="347">
        <v>0</v>
      </c>
      <c r="R136" s="347">
        <v>0</v>
      </c>
      <c r="S136" s="347">
        <v>0</v>
      </c>
      <c r="T136" s="347">
        <v>0</v>
      </c>
      <c r="U136" s="347">
        <v>0</v>
      </c>
      <c r="V136" s="347">
        <v>0</v>
      </c>
      <c r="W136" s="347">
        <v>0</v>
      </c>
      <c r="X136" s="347">
        <v>0</v>
      </c>
      <c r="Y136" s="381">
        <v>0</v>
      </c>
      <c r="Z136" s="310">
        <f t="shared" si="92"/>
        <v>0</v>
      </c>
      <c r="AA136" s="312">
        <f t="shared" si="93"/>
        <v>0</v>
      </c>
      <c r="AB136" s="949">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50">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8">
        <f t="shared" si="94"/>
        <v>0</v>
      </c>
      <c r="AE136" s="1232">
        <f t="shared" si="87"/>
        <v>0</v>
      </c>
      <c r="AF136" s="1233">
        <f t="shared" si="88"/>
        <v>0</v>
      </c>
      <c r="AG136" s="1233">
        <f t="shared" si="89"/>
        <v>0</v>
      </c>
      <c r="AH136" s="1174">
        <f t="shared" si="95"/>
        <v>0</v>
      </c>
      <c r="AI136" s="1234">
        <f t="shared" si="96"/>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0"/>
        <v>0</v>
      </c>
      <c r="N137" s="284">
        <f t="shared" si="91"/>
        <v>0</v>
      </c>
      <c r="O137" s="342">
        <v>0</v>
      </c>
      <c r="P137" s="343">
        <v>0</v>
      </c>
      <c r="Q137" s="343">
        <v>0</v>
      </c>
      <c r="R137" s="343">
        <v>0</v>
      </c>
      <c r="S137" s="343">
        <v>0</v>
      </c>
      <c r="T137" s="343">
        <v>0</v>
      </c>
      <c r="U137" s="343">
        <v>0</v>
      </c>
      <c r="V137" s="343">
        <v>0</v>
      </c>
      <c r="W137" s="343">
        <v>0</v>
      </c>
      <c r="X137" s="343">
        <v>0</v>
      </c>
      <c r="Y137" s="379">
        <v>0</v>
      </c>
      <c r="Z137" s="282">
        <f t="shared" si="92"/>
        <v>0</v>
      </c>
      <c r="AA137" s="284">
        <f t="shared" si="93"/>
        <v>0</v>
      </c>
      <c r="AB137" s="949">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50">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8">
        <f t="shared" si="94"/>
        <v>0</v>
      </c>
      <c r="AE137" s="1232">
        <f t="shared" si="87"/>
        <v>0</v>
      </c>
      <c r="AF137" s="1233">
        <f t="shared" si="88"/>
        <v>0</v>
      </c>
      <c r="AG137" s="1233">
        <f t="shared" si="89"/>
        <v>0</v>
      </c>
      <c r="AH137" s="1174">
        <f t="shared" si="95"/>
        <v>0</v>
      </c>
      <c r="AI137" s="1234">
        <f t="shared" si="96"/>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0"/>
        <v>0</v>
      </c>
      <c r="N138" s="298">
        <f t="shared" si="91"/>
        <v>0</v>
      </c>
      <c r="O138" s="344">
        <v>0</v>
      </c>
      <c r="P138" s="345">
        <v>0</v>
      </c>
      <c r="Q138" s="345">
        <v>0</v>
      </c>
      <c r="R138" s="345">
        <v>0</v>
      </c>
      <c r="S138" s="345">
        <v>0</v>
      </c>
      <c r="T138" s="345">
        <v>0</v>
      </c>
      <c r="U138" s="345">
        <v>0</v>
      </c>
      <c r="V138" s="345">
        <v>0</v>
      </c>
      <c r="W138" s="345">
        <v>0</v>
      </c>
      <c r="X138" s="345">
        <v>0</v>
      </c>
      <c r="Y138" s="380">
        <v>0</v>
      </c>
      <c r="Z138" s="296">
        <f t="shared" si="92"/>
        <v>0</v>
      </c>
      <c r="AA138" s="298">
        <f t="shared" si="93"/>
        <v>0</v>
      </c>
      <c r="AB138" s="949">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50">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8">
        <f t="shared" si="94"/>
        <v>0</v>
      </c>
      <c r="AE138" s="1232">
        <f t="shared" si="87"/>
        <v>0</v>
      </c>
      <c r="AF138" s="1233">
        <f t="shared" si="88"/>
        <v>0</v>
      </c>
      <c r="AG138" s="1233">
        <f t="shared" si="89"/>
        <v>0</v>
      </c>
      <c r="AH138" s="1174">
        <f t="shared" si="95"/>
        <v>0</v>
      </c>
      <c r="AI138" s="1234">
        <f t="shared" si="96"/>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0"/>
        <v>0</v>
      </c>
      <c r="N139" s="298">
        <f t="shared" si="91"/>
        <v>0</v>
      </c>
      <c r="O139" s="344">
        <v>0</v>
      </c>
      <c r="P139" s="345">
        <v>0</v>
      </c>
      <c r="Q139" s="345">
        <v>0</v>
      </c>
      <c r="R139" s="345">
        <v>0</v>
      </c>
      <c r="S139" s="345">
        <v>0</v>
      </c>
      <c r="T139" s="345">
        <v>0</v>
      </c>
      <c r="U139" s="345">
        <v>0</v>
      </c>
      <c r="V139" s="345">
        <v>0</v>
      </c>
      <c r="W139" s="345">
        <v>0</v>
      </c>
      <c r="X139" s="345">
        <v>0</v>
      </c>
      <c r="Y139" s="380">
        <v>0</v>
      </c>
      <c r="Z139" s="296">
        <f t="shared" si="92"/>
        <v>0</v>
      </c>
      <c r="AA139" s="298">
        <f t="shared" si="93"/>
        <v>0</v>
      </c>
      <c r="AB139" s="949">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50">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8">
        <f t="shared" si="94"/>
        <v>0</v>
      </c>
      <c r="AE139" s="1232">
        <f t="shared" si="87"/>
        <v>0</v>
      </c>
      <c r="AF139" s="1233">
        <f t="shared" si="88"/>
        <v>0</v>
      </c>
      <c r="AG139" s="1233">
        <f t="shared" si="89"/>
        <v>0</v>
      </c>
      <c r="AH139" s="1174">
        <f t="shared" si="95"/>
        <v>0</v>
      </c>
      <c r="AI139" s="1234">
        <f t="shared" si="96"/>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0"/>
        <v>0</v>
      </c>
      <c r="N140" s="298">
        <f t="shared" si="91"/>
        <v>0</v>
      </c>
      <c r="O140" s="344">
        <v>0</v>
      </c>
      <c r="P140" s="345">
        <v>0</v>
      </c>
      <c r="Q140" s="345">
        <v>0</v>
      </c>
      <c r="R140" s="345">
        <v>0</v>
      </c>
      <c r="S140" s="345">
        <v>0</v>
      </c>
      <c r="T140" s="345">
        <v>0</v>
      </c>
      <c r="U140" s="345">
        <v>0</v>
      </c>
      <c r="V140" s="345">
        <v>0</v>
      </c>
      <c r="W140" s="345">
        <v>0</v>
      </c>
      <c r="X140" s="345">
        <v>0</v>
      </c>
      <c r="Y140" s="380">
        <v>0</v>
      </c>
      <c r="Z140" s="296">
        <f t="shared" si="92"/>
        <v>0</v>
      </c>
      <c r="AA140" s="298">
        <f t="shared" si="93"/>
        <v>0</v>
      </c>
      <c r="AB140" s="949">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50">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8">
        <f t="shared" si="94"/>
        <v>0</v>
      </c>
      <c r="AE140" s="1232">
        <f t="shared" si="87"/>
        <v>0</v>
      </c>
      <c r="AF140" s="1233">
        <f t="shared" si="88"/>
        <v>0</v>
      </c>
      <c r="AG140" s="1233">
        <f t="shared" si="89"/>
        <v>0</v>
      </c>
      <c r="AH140" s="1174">
        <f t="shared" si="95"/>
        <v>0</v>
      </c>
      <c r="AI140" s="1234">
        <f t="shared" si="96"/>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0"/>
        <v>0</v>
      </c>
      <c r="N141" s="312">
        <f t="shared" si="91"/>
        <v>0</v>
      </c>
      <c r="O141" s="346">
        <v>0</v>
      </c>
      <c r="P141" s="347">
        <v>0</v>
      </c>
      <c r="Q141" s="347">
        <v>0</v>
      </c>
      <c r="R141" s="347">
        <v>0</v>
      </c>
      <c r="S141" s="347">
        <v>0</v>
      </c>
      <c r="T141" s="347">
        <v>0</v>
      </c>
      <c r="U141" s="347">
        <v>0</v>
      </c>
      <c r="V141" s="347">
        <v>0</v>
      </c>
      <c r="W141" s="347">
        <v>0</v>
      </c>
      <c r="X141" s="347">
        <v>0</v>
      </c>
      <c r="Y141" s="381">
        <v>0</v>
      </c>
      <c r="Z141" s="310">
        <f t="shared" si="92"/>
        <v>0</v>
      </c>
      <c r="AA141" s="312">
        <f t="shared" si="93"/>
        <v>0</v>
      </c>
      <c r="AB141" s="949">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50">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8">
        <f t="shared" si="94"/>
        <v>0</v>
      </c>
      <c r="AE141" s="1232">
        <f t="shared" si="87"/>
        <v>0</v>
      </c>
      <c r="AF141" s="1233">
        <f t="shared" si="88"/>
        <v>0</v>
      </c>
      <c r="AG141" s="1233">
        <f t="shared" si="89"/>
        <v>0</v>
      </c>
      <c r="AH141" s="1174">
        <f t="shared" si="95"/>
        <v>0</v>
      </c>
      <c r="AI141" s="1234">
        <f t="shared" si="96"/>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0"/>
        <v>0</v>
      </c>
      <c r="N142" s="284">
        <f t="shared" si="91"/>
        <v>0</v>
      </c>
      <c r="O142" s="342">
        <v>0</v>
      </c>
      <c r="P142" s="343">
        <v>0</v>
      </c>
      <c r="Q142" s="343">
        <v>0</v>
      </c>
      <c r="R142" s="343">
        <v>0</v>
      </c>
      <c r="S142" s="343">
        <v>0</v>
      </c>
      <c r="T142" s="343">
        <v>0</v>
      </c>
      <c r="U142" s="343">
        <v>0</v>
      </c>
      <c r="V142" s="343">
        <v>0</v>
      </c>
      <c r="W142" s="343">
        <v>0</v>
      </c>
      <c r="X142" s="343">
        <v>0</v>
      </c>
      <c r="Y142" s="379">
        <v>0</v>
      </c>
      <c r="Z142" s="282">
        <f t="shared" si="92"/>
        <v>0</v>
      </c>
      <c r="AA142" s="284">
        <f t="shared" si="93"/>
        <v>0</v>
      </c>
      <c r="AB142" s="949">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50">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8">
        <f t="shared" si="94"/>
        <v>0</v>
      </c>
      <c r="AE142" s="1232">
        <f t="shared" si="87"/>
        <v>0</v>
      </c>
      <c r="AF142" s="1233">
        <f t="shared" si="88"/>
        <v>0</v>
      </c>
      <c r="AG142" s="1233">
        <f t="shared" si="89"/>
        <v>0</v>
      </c>
      <c r="AH142" s="1174">
        <f t="shared" si="95"/>
        <v>0</v>
      </c>
      <c r="AI142" s="1234">
        <f t="shared" si="96"/>
        <v>0</v>
      </c>
      <c r="AJ142" s="227"/>
      <c r="AK142" s="227"/>
      <c r="AL142" s="227"/>
      <c r="AM142" s="227"/>
    </row>
    <row r="143" spans="1:39" x14ac:dyDescent="0.2">
      <c r="A143" s="330">
        <v>2022</v>
      </c>
      <c r="B143" s="344">
        <v>1.1724727470236661E-2</v>
      </c>
      <c r="C143" s="345">
        <v>1.1724727470236661E-2</v>
      </c>
      <c r="D143" s="345">
        <v>2.2160681127656925E-2</v>
      </c>
      <c r="E143" s="345">
        <v>2.1808360501738136E-2</v>
      </c>
      <c r="F143" s="345">
        <v>2.0277701199444453E-2</v>
      </c>
      <c r="G143" s="345">
        <v>1.9174235473709503E-2</v>
      </c>
      <c r="H143" s="345">
        <v>1.7668040996735686E-2</v>
      </c>
      <c r="I143" s="345">
        <v>1.7182985087708998E-2</v>
      </c>
      <c r="J143" s="345">
        <v>1.6774103394114354E-2</v>
      </c>
      <c r="K143" s="345">
        <v>1.6447624865286566E-2</v>
      </c>
      <c r="L143" s="380">
        <v>1.6447624865286566E-2</v>
      </c>
      <c r="M143" s="296">
        <f t="shared" si="90"/>
        <v>6.357339132413254E-3</v>
      </c>
      <c r="N143" s="298">
        <f t="shared" si="91"/>
        <v>5.2974097852965269E-3</v>
      </c>
      <c r="O143" s="344">
        <v>1.1724727470236661E-2</v>
      </c>
      <c r="P143" s="345">
        <v>1.1724727470236661E-2</v>
      </c>
      <c r="Q143" s="345">
        <v>2.3841474429630582E-2</v>
      </c>
      <c r="R143" s="345">
        <v>2.0988486358275157E-2</v>
      </c>
      <c r="S143" s="345">
        <v>1.9517408339626154E-2</v>
      </c>
      <c r="T143" s="345">
        <v>1.8745976924392185E-2</v>
      </c>
      <c r="U143" s="345">
        <v>1.7565936605728551E-2</v>
      </c>
      <c r="V143" s="345">
        <v>1.6934873771353477E-2</v>
      </c>
      <c r="W143" s="345">
        <v>1.6579722050724895E-2</v>
      </c>
      <c r="X143" s="345">
        <v>1.6447624865286566E-2</v>
      </c>
      <c r="Y143" s="380">
        <v>1.6225641580887417E-2</v>
      </c>
      <c r="Z143" s="296">
        <f t="shared" si="92"/>
        <v>9.0617169901771859E-3</v>
      </c>
      <c r="AA143" s="298">
        <f t="shared" si="93"/>
        <v>8.092527867706388E-3</v>
      </c>
      <c r="AB143" s="949">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50">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8">
        <f t="shared" si="94"/>
        <v>0</v>
      </c>
      <c r="AE143" s="1232">
        <f>SUMPRODUCT($B$74:$L$74,B143:L143)</f>
        <v>6.357339132413254E-3</v>
      </c>
      <c r="AF143" s="1233">
        <f>SUMPRODUCT($O$74:$Y$74,O143:Y143)</f>
        <v>9.0617169901771859E-3</v>
      </c>
      <c r="AG143" s="1233">
        <f>SUM(AE143:AF143)</f>
        <v>1.541905612259044E-2</v>
      </c>
      <c r="AH143" s="1174">
        <f t="shared" si="95"/>
        <v>0.41230404000534926</v>
      </c>
      <c r="AI143" s="1234">
        <f t="shared" si="96"/>
        <v>0.58769595999465074</v>
      </c>
      <c r="AJ143" s="227"/>
      <c r="AK143" s="227"/>
      <c r="AL143" s="227"/>
      <c r="AM143" s="227"/>
    </row>
    <row r="144" spans="1:39" x14ac:dyDescent="0.2">
      <c r="A144" s="330">
        <v>2023</v>
      </c>
      <c r="B144" s="344">
        <v>2.7265266398469313E-2</v>
      </c>
      <c r="C144" s="345">
        <v>2.7266472403531271E-2</v>
      </c>
      <c r="D144" s="345">
        <v>5.1394753408312781E-2</v>
      </c>
      <c r="E144" s="345">
        <v>5.0570899606753657E-2</v>
      </c>
      <c r="F144" s="345">
        <v>4.7021149125035806E-2</v>
      </c>
      <c r="G144" s="345">
        <v>4.5652292377009171E-2</v>
      </c>
      <c r="H144" s="345">
        <v>4.2639186493598082E-2</v>
      </c>
      <c r="I144" s="345">
        <v>4.222141468467213E-2</v>
      </c>
      <c r="J144" s="345">
        <v>4.1336245528760709E-2</v>
      </c>
      <c r="K144" s="345">
        <v>4.0674741106490025E-2</v>
      </c>
      <c r="L144" s="380">
        <v>4.0674741106490025E-2</v>
      </c>
      <c r="M144" s="296">
        <f t="shared" si="90"/>
        <v>1.4794693865567619E-2</v>
      </c>
      <c r="N144" s="298">
        <f t="shared" si="91"/>
        <v>1.2314594033986076E-2</v>
      </c>
      <c r="O144" s="344">
        <v>2.7265266398469313E-2</v>
      </c>
      <c r="P144" s="345">
        <v>2.7256542168514343E-2</v>
      </c>
      <c r="Q144" s="345">
        <v>5.2975388081095372E-2</v>
      </c>
      <c r="R144" s="345">
        <v>5.0203067094448182E-2</v>
      </c>
      <c r="S144" s="345">
        <v>4.7590792317682165E-2</v>
      </c>
      <c r="T144" s="345">
        <v>4.4670749924371783E-2</v>
      </c>
      <c r="U144" s="345">
        <v>4.2869001600679031E-2</v>
      </c>
      <c r="V144" s="345">
        <v>4.1670533702508041E-2</v>
      </c>
      <c r="W144" s="345">
        <v>4.0926778922223309E-2</v>
      </c>
      <c r="X144" s="345">
        <v>4.0674741106490025E-2</v>
      </c>
      <c r="Y144" s="380">
        <v>4.045730192600433E-2</v>
      </c>
      <c r="Z144" s="296">
        <f t="shared" si="92"/>
        <v>2.1093816273270678E-2</v>
      </c>
      <c r="AA144" s="298">
        <f t="shared" si="93"/>
        <v>1.8766271529362145E-2</v>
      </c>
      <c r="AB144" s="949">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50">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8">
        <f t="shared" si="94"/>
        <v>0</v>
      </c>
      <c r="AE144" s="1232">
        <f t="shared" ref="AE144:AE171" si="97">SUMPRODUCT($B$74:$L$74,B144:L144)</f>
        <v>1.4794693865567619E-2</v>
      </c>
      <c r="AF144" s="1233">
        <f t="shared" ref="AF144:AF171" si="98">SUMPRODUCT($O$74:$Y$74,O144:Y144)</f>
        <v>2.1093816273270678E-2</v>
      </c>
      <c r="AG144" s="1233">
        <f t="shared" ref="AG144:AG171" si="99">SUM(AE144:AF144)</f>
        <v>3.58885101388383E-2</v>
      </c>
      <c r="AH144" s="1174">
        <f t="shared" si="95"/>
        <v>0.41224040252250266</v>
      </c>
      <c r="AI144" s="1234">
        <f t="shared" si="96"/>
        <v>0.58775959747749729</v>
      </c>
      <c r="AJ144" s="227"/>
      <c r="AK144" s="227"/>
      <c r="AL144" s="227"/>
      <c r="AM144" s="227"/>
    </row>
    <row r="145" spans="1:39" x14ac:dyDescent="0.2">
      <c r="A145" s="330">
        <v>2024</v>
      </c>
      <c r="B145" s="344">
        <v>4.594827315039024E-2</v>
      </c>
      <c r="C145" s="345">
        <v>4.5818657857458936E-2</v>
      </c>
      <c r="D145" s="345">
        <v>0.10926345441463263</v>
      </c>
      <c r="E145" s="345">
        <v>0.10493736931939775</v>
      </c>
      <c r="F145" s="345">
        <v>9.9661607854574716E-2</v>
      </c>
      <c r="G145" s="345">
        <v>9.8224862953308401E-2</v>
      </c>
      <c r="H145" s="345">
        <v>9.4130053862517382E-2</v>
      </c>
      <c r="I145" s="345">
        <v>9.336028793586458E-2</v>
      </c>
      <c r="J145" s="345">
        <v>9.2302628361325134E-2</v>
      </c>
      <c r="K145" s="345">
        <v>9.1008674492076086E-2</v>
      </c>
      <c r="L145" s="380">
        <v>9.1008674492076086E-2</v>
      </c>
      <c r="M145" s="296">
        <f t="shared" si="90"/>
        <v>2.8675940107437247E-2</v>
      </c>
      <c r="N145" s="298">
        <f t="shared" si="91"/>
        <v>2.2445532457807185E-2</v>
      </c>
      <c r="O145" s="344">
        <v>4.594827315039024E-2</v>
      </c>
      <c r="P145" s="345">
        <v>4.885070307255264E-2</v>
      </c>
      <c r="Q145" s="345">
        <v>0.10736926596736084</v>
      </c>
      <c r="R145" s="345">
        <v>0.10447580075328089</v>
      </c>
      <c r="S145" s="345">
        <v>0.10026546833605261</v>
      </c>
      <c r="T145" s="345">
        <v>9.7051623584729671E-2</v>
      </c>
      <c r="U145" s="345">
        <v>9.4130053862517382E-2</v>
      </c>
      <c r="V145" s="345">
        <v>9.2687979621231736E-2</v>
      </c>
      <c r="W145" s="345">
        <v>9.1730338167748962E-2</v>
      </c>
      <c r="X145" s="345">
        <v>9.1008674492076086E-2</v>
      </c>
      <c r="Y145" s="380">
        <v>9.0621098126803232E-2</v>
      </c>
      <c r="Z145" s="296">
        <f t="shared" si="92"/>
        <v>4.060804381943052E-2</v>
      </c>
      <c r="AA145" s="298">
        <f t="shared" si="93"/>
        <v>3.4019446282190641E-2</v>
      </c>
      <c r="AB145" s="949">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50">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8">
        <f t="shared" si="94"/>
        <v>0</v>
      </c>
      <c r="AE145" s="1232">
        <f t="shared" si="97"/>
        <v>2.8675940107437247E-2</v>
      </c>
      <c r="AF145" s="1233">
        <f t="shared" si="98"/>
        <v>4.060804381943052E-2</v>
      </c>
      <c r="AG145" s="1233">
        <f t="shared" si="99"/>
        <v>6.928398392686777E-2</v>
      </c>
      <c r="AH145" s="1174">
        <f t="shared" si="95"/>
        <v>0.41388988453241859</v>
      </c>
      <c r="AI145" s="1234">
        <f t="shared" si="96"/>
        <v>0.58611011546758141</v>
      </c>
      <c r="AJ145" s="227"/>
      <c r="AK145" s="227"/>
      <c r="AL145" s="227"/>
      <c r="AM145" s="227"/>
    </row>
    <row r="146" spans="1:39" ht="13.5" thickBot="1" x14ac:dyDescent="0.25">
      <c r="A146" s="328">
        <v>2025</v>
      </c>
      <c r="B146" s="346">
        <v>2.495710909531201E-2</v>
      </c>
      <c r="C146" s="347">
        <v>7.4757973098487349E-2</v>
      </c>
      <c r="D146" s="347">
        <v>0.18425396529527585</v>
      </c>
      <c r="E146" s="347">
        <v>0.17741606289078479</v>
      </c>
      <c r="F146" s="347">
        <v>0.17752944836230206</v>
      </c>
      <c r="G146" s="347">
        <v>0.17962147415422328</v>
      </c>
      <c r="H146" s="347">
        <v>0.17413201588770952</v>
      </c>
      <c r="I146" s="347">
        <v>0.17173195514363987</v>
      </c>
      <c r="J146" s="347">
        <v>0.16908274168216397</v>
      </c>
      <c r="K146" s="347">
        <v>0.16795050922554305</v>
      </c>
      <c r="L146" s="381">
        <v>0.16795050922554305</v>
      </c>
      <c r="M146" s="310">
        <f t="shared" si="90"/>
        <v>4.4579383163741146E-2</v>
      </c>
      <c r="N146" s="312">
        <f t="shared" si="91"/>
        <v>2.8959194777210189E-2</v>
      </c>
      <c r="O146" s="346">
        <v>2.495710909531201E-2</v>
      </c>
      <c r="P146" s="347">
        <v>9.3154278100801916E-2</v>
      </c>
      <c r="Q146" s="347">
        <v>0.17660823065189116</v>
      </c>
      <c r="R146" s="347">
        <v>0.17780712687812975</v>
      </c>
      <c r="S146" s="347">
        <v>0.17893407800295838</v>
      </c>
      <c r="T146" s="347">
        <v>0.17419530922575735</v>
      </c>
      <c r="U146" s="347">
        <v>0.17299095152492522</v>
      </c>
      <c r="V146" s="347">
        <v>0.17066265688568732</v>
      </c>
      <c r="W146" s="347">
        <v>0.16908274168216397</v>
      </c>
      <c r="X146" s="347">
        <v>0.16795050922554305</v>
      </c>
      <c r="Y146" s="381">
        <v>0.1673320974434912</v>
      </c>
      <c r="Z146" s="310">
        <f t="shared" si="92"/>
        <v>6.6003408990222098E-2</v>
      </c>
      <c r="AA146" s="312">
        <f t="shared" si="93"/>
        <v>4.5806975744289907E-2</v>
      </c>
      <c r="AB146" s="949">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50">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8">
        <f t="shared" si="94"/>
        <v>0</v>
      </c>
      <c r="AE146" s="1232">
        <f t="shared" si="97"/>
        <v>4.4579383163741146E-2</v>
      </c>
      <c r="AF146" s="1233">
        <f t="shared" si="98"/>
        <v>6.6003408990222098E-2</v>
      </c>
      <c r="AG146" s="1233">
        <f t="shared" si="99"/>
        <v>0.11058279215396324</v>
      </c>
      <c r="AH146" s="1174">
        <f t="shared" si="95"/>
        <v>0.40313128557717864</v>
      </c>
      <c r="AI146" s="1234">
        <f t="shared" si="96"/>
        <v>0.59686871442282141</v>
      </c>
      <c r="AJ146" s="227"/>
      <c r="AK146" s="227"/>
      <c r="AL146" s="227"/>
      <c r="AM146" s="227"/>
    </row>
    <row r="147" spans="1:39" x14ac:dyDescent="0.2">
      <c r="A147" s="329">
        <v>2026</v>
      </c>
      <c r="B147" s="342">
        <v>2.5242419634509069E-2</v>
      </c>
      <c r="C147" s="343">
        <v>0.14634542649107685</v>
      </c>
      <c r="D147" s="343">
        <v>0.26240322736334065</v>
      </c>
      <c r="E147" s="343">
        <v>0.25607425251443516</v>
      </c>
      <c r="F147" s="343">
        <v>0.25320468432422638</v>
      </c>
      <c r="G147" s="343">
        <v>0.25708379185402669</v>
      </c>
      <c r="H147" s="343">
        <v>0.25090365907868795</v>
      </c>
      <c r="I147" s="343">
        <v>0.24934060384364212</v>
      </c>
      <c r="J147" s="343">
        <v>0.24703154440542144</v>
      </c>
      <c r="K147" s="343">
        <v>0.2452654224753314</v>
      </c>
      <c r="L147" s="379">
        <v>0.2452654224753314</v>
      </c>
      <c r="M147" s="282">
        <f t="shared" si="90"/>
        <v>6.8952506294117782E-2</v>
      </c>
      <c r="N147" s="284">
        <f t="shared" si="91"/>
        <v>4.5260481333288818E-2</v>
      </c>
      <c r="O147" s="342">
        <v>2.5242419634509069E-2</v>
      </c>
      <c r="P147" s="343">
        <v>0.17752657118742432</v>
      </c>
      <c r="Q147" s="343">
        <v>0.25636327826130922</v>
      </c>
      <c r="R147" s="343">
        <v>0.25986624652901441</v>
      </c>
      <c r="S147" s="343">
        <v>0.25564580536010417</v>
      </c>
      <c r="T147" s="343">
        <v>0.25506464088782632</v>
      </c>
      <c r="U147" s="343">
        <v>0.25090365907868795</v>
      </c>
      <c r="V147" s="343">
        <v>0.24703154440542144</v>
      </c>
      <c r="W147" s="343">
        <v>0.245319963525895</v>
      </c>
      <c r="X147" s="343">
        <v>0.24516554459343812</v>
      </c>
      <c r="Y147" s="379">
        <v>0.24281784603063561</v>
      </c>
      <c r="Z147" s="282">
        <f t="shared" si="92"/>
        <v>0.10600684336296555</v>
      </c>
      <c r="AA147" s="284">
        <f t="shared" si="93"/>
        <v>7.4347335371325471E-2</v>
      </c>
      <c r="AB147" s="949">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50">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8">
        <f t="shared" si="94"/>
        <v>0</v>
      </c>
      <c r="AE147" s="1232">
        <f t="shared" si="97"/>
        <v>6.8952506294117782E-2</v>
      </c>
      <c r="AF147" s="1233">
        <f t="shared" si="98"/>
        <v>0.10600684336296555</v>
      </c>
      <c r="AG147" s="1233">
        <f t="shared" si="99"/>
        <v>0.17495934965708332</v>
      </c>
      <c r="AH147" s="1174">
        <f t="shared" si="95"/>
        <v>0.39410586761589628</v>
      </c>
      <c r="AI147" s="1234">
        <f t="shared" si="96"/>
        <v>0.60589413238410383</v>
      </c>
      <c r="AJ147" s="227"/>
      <c r="AK147" s="227"/>
      <c r="AL147" s="227"/>
      <c r="AM147" s="227"/>
    </row>
    <row r="148" spans="1:39" x14ac:dyDescent="0.2">
      <c r="A148" s="330">
        <v>2027</v>
      </c>
      <c r="B148" s="344">
        <v>1.7077083656995701E-2</v>
      </c>
      <c r="C148" s="345">
        <v>0.2083237858674542</v>
      </c>
      <c r="D148" s="345">
        <v>0.30263180056991296</v>
      </c>
      <c r="E148" s="345">
        <v>0.31287655431186123</v>
      </c>
      <c r="F148" s="345">
        <v>0.30778602679955008</v>
      </c>
      <c r="G148" s="345">
        <v>0.3037353477130732</v>
      </c>
      <c r="H148" s="345">
        <v>0.2985598796815731</v>
      </c>
      <c r="I148" s="345">
        <v>0.29737262625590932</v>
      </c>
      <c r="J148" s="345">
        <v>0.29501290232965738</v>
      </c>
      <c r="K148" s="345">
        <v>0.29175491784991209</v>
      </c>
      <c r="L148" s="380">
        <v>0.29175491784991209</v>
      </c>
      <c r="M148" s="296">
        <f t="shared" si="90"/>
        <v>8.5879520249755675E-2</v>
      </c>
      <c r="N148" s="298">
        <f t="shared" si="91"/>
        <v>5.6253177878349755E-2</v>
      </c>
      <c r="O148" s="344">
        <v>1.7077083656995701E-2</v>
      </c>
      <c r="P148" s="345">
        <v>0.21803946758051729</v>
      </c>
      <c r="Q148" s="345">
        <v>0.30055925500144093</v>
      </c>
      <c r="R148" s="345">
        <v>0.30474479171750596</v>
      </c>
      <c r="S148" s="345">
        <v>0.3095160632670248</v>
      </c>
      <c r="T148" s="345">
        <v>0.30220893192201603</v>
      </c>
      <c r="U148" s="345">
        <v>0.30017557861148703</v>
      </c>
      <c r="V148" s="345">
        <v>0.29629505921684246</v>
      </c>
      <c r="W148" s="345">
        <v>0.29377740384912276</v>
      </c>
      <c r="X148" s="345">
        <v>0.29103915785003021</v>
      </c>
      <c r="Y148" s="380">
        <v>0.28539426324531442</v>
      </c>
      <c r="Z148" s="296">
        <f t="shared" si="92"/>
        <v>0.12600110825610375</v>
      </c>
      <c r="AA148" s="298">
        <f t="shared" si="93"/>
        <v>8.6395977857109979E-2</v>
      </c>
      <c r="AB148" s="949">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50">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8">
        <f t="shared" si="94"/>
        <v>0</v>
      </c>
      <c r="AE148" s="1232">
        <f t="shared" si="97"/>
        <v>8.5879520249755675E-2</v>
      </c>
      <c r="AF148" s="1233">
        <f t="shared" si="98"/>
        <v>0.12600110825610375</v>
      </c>
      <c r="AG148" s="1233">
        <f t="shared" si="99"/>
        <v>0.21188062850585943</v>
      </c>
      <c r="AH148" s="1174">
        <f t="shared" si="95"/>
        <v>0.40532030160265797</v>
      </c>
      <c r="AI148" s="1234">
        <f t="shared" si="96"/>
        <v>0.59467969839734203</v>
      </c>
      <c r="AJ148" s="227"/>
      <c r="AK148" s="227"/>
      <c r="AL148" s="227"/>
      <c r="AM148" s="227"/>
    </row>
    <row r="149" spans="1:39" x14ac:dyDescent="0.2">
      <c r="A149" s="330">
        <v>2028</v>
      </c>
      <c r="B149" s="344">
        <v>1.0807366166846532E-2</v>
      </c>
      <c r="C149" s="345">
        <v>0.24486561936884735</v>
      </c>
      <c r="D149" s="345">
        <v>0.32485100962364671</v>
      </c>
      <c r="E149" s="345">
        <v>0.32934920482504798</v>
      </c>
      <c r="F149" s="345">
        <v>0.33449736007499548</v>
      </c>
      <c r="G149" s="345">
        <v>0.32932077061541448</v>
      </c>
      <c r="H149" s="345">
        <v>0.32284196725442849</v>
      </c>
      <c r="I149" s="345">
        <v>0.31949238721686135</v>
      </c>
      <c r="J149" s="345">
        <v>0.31551282413996395</v>
      </c>
      <c r="K149" s="345">
        <v>0.30746071618920373</v>
      </c>
      <c r="L149" s="380">
        <v>0.30746071618920373</v>
      </c>
      <c r="M149" s="296">
        <f t="shared" si="90"/>
        <v>9.4630133291203136E-2</v>
      </c>
      <c r="N149" s="298">
        <f t="shared" si="91"/>
        <v>6.2066965332658187E-2</v>
      </c>
      <c r="O149" s="344">
        <v>1.0807366166846532E-2</v>
      </c>
      <c r="P149" s="345">
        <v>0.25054175382403654</v>
      </c>
      <c r="Q149" s="345">
        <v>0.32812106312335021</v>
      </c>
      <c r="R149" s="345">
        <v>0.32945529471194746</v>
      </c>
      <c r="S149" s="345">
        <v>0.32824815178102634</v>
      </c>
      <c r="T149" s="345">
        <v>0.32884320256713645</v>
      </c>
      <c r="U149" s="345">
        <v>0.32248675454477732</v>
      </c>
      <c r="V149" s="345">
        <v>0.31593287211835192</v>
      </c>
      <c r="W149" s="345">
        <v>0.30933137837417851</v>
      </c>
      <c r="X149" s="345">
        <v>0.30532647433892368</v>
      </c>
      <c r="Y149" s="380">
        <v>0.29553923059452308</v>
      </c>
      <c r="Z149" s="296">
        <f t="shared" si="92"/>
        <v>0.13935209417528888</v>
      </c>
      <c r="AA149" s="298">
        <f t="shared" si="93"/>
        <v>9.5197056996555882E-2</v>
      </c>
      <c r="AB149" s="949">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50">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8">
        <f t="shared" si="94"/>
        <v>0</v>
      </c>
      <c r="AE149" s="1232">
        <f t="shared" si="97"/>
        <v>9.4630133291203136E-2</v>
      </c>
      <c r="AF149" s="1233">
        <f t="shared" si="98"/>
        <v>0.13935209417528888</v>
      </c>
      <c r="AG149" s="1233">
        <f t="shared" si="99"/>
        <v>0.233982227466492</v>
      </c>
      <c r="AH149" s="1174">
        <f t="shared" si="95"/>
        <v>0.404432996111873</v>
      </c>
      <c r="AI149" s="1234">
        <f t="shared" si="96"/>
        <v>0.59556700388812711</v>
      </c>
      <c r="AJ149" s="227"/>
      <c r="AK149" s="227"/>
      <c r="AL149" s="227"/>
      <c r="AM149" s="227"/>
    </row>
    <row r="150" spans="1:39" x14ac:dyDescent="0.2">
      <c r="A150" s="330">
        <v>2029</v>
      </c>
      <c r="B150" s="344">
        <v>4.492807556593848E-3</v>
      </c>
      <c r="C150" s="345">
        <v>0.24515677989009238</v>
      </c>
      <c r="D150" s="345">
        <v>0.33804540996271965</v>
      </c>
      <c r="E150" s="345">
        <v>0.33939617791971827</v>
      </c>
      <c r="F150" s="345">
        <v>0.33814810953555396</v>
      </c>
      <c r="G150" s="345">
        <v>0.33415092394074147</v>
      </c>
      <c r="H150" s="345">
        <v>0.32672938681191716</v>
      </c>
      <c r="I150" s="345">
        <v>0.32050970222261999</v>
      </c>
      <c r="J150" s="345">
        <v>0.31165524615985363</v>
      </c>
      <c r="K150" s="345">
        <v>0.30009631595370956</v>
      </c>
      <c r="L150" s="380">
        <v>0.30009631595370956</v>
      </c>
      <c r="M150" s="296">
        <f t="shared" si="90"/>
        <v>9.5943767750475042E-2</v>
      </c>
      <c r="N150" s="298">
        <f t="shared" si="91"/>
        <v>6.1945949380906612E-2</v>
      </c>
      <c r="O150" s="344">
        <v>4.492807556593848E-3</v>
      </c>
      <c r="P150" s="345">
        <v>0.25589273757228409</v>
      </c>
      <c r="Q150" s="345">
        <v>0.33503113891463265</v>
      </c>
      <c r="R150" s="345">
        <v>0.34266436277667806</v>
      </c>
      <c r="S150" s="345">
        <v>0.33242725577906101</v>
      </c>
      <c r="T150" s="345">
        <v>0.33341271099072334</v>
      </c>
      <c r="U150" s="345">
        <v>0.32494490921484837</v>
      </c>
      <c r="V150" s="345">
        <v>0.31402906318170665</v>
      </c>
      <c r="W150" s="345">
        <v>0.30392260414349276</v>
      </c>
      <c r="X150" s="345">
        <v>0.29826201891996051</v>
      </c>
      <c r="Y150" s="380">
        <v>0.28867211277529153</v>
      </c>
      <c r="Z150" s="296">
        <f t="shared" si="92"/>
        <v>0.14154364791859936</v>
      </c>
      <c r="AA150" s="298">
        <f t="shared" si="93"/>
        <v>9.5498008129536543E-2</v>
      </c>
      <c r="AB150" s="949">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50">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8">
        <f t="shared" si="94"/>
        <v>0</v>
      </c>
      <c r="AE150" s="1232">
        <f t="shared" si="97"/>
        <v>9.5943767750475042E-2</v>
      </c>
      <c r="AF150" s="1233">
        <f t="shared" si="98"/>
        <v>0.14154364791859936</v>
      </c>
      <c r="AG150" s="1233">
        <f t="shared" si="99"/>
        <v>0.23748741566907439</v>
      </c>
      <c r="AH150" s="1174">
        <f t="shared" si="95"/>
        <v>0.40399516530243179</v>
      </c>
      <c r="AI150" s="1234">
        <f t="shared" si="96"/>
        <v>0.59600483469756826</v>
      </c>
      <c r="AJ150" s="227"/>
      <c r="AK150" s="227"/>
      <c r="AL150" s="227"/>
      <c r="AM150" s="227"/>
    </row>
    <row r="151" spans="1:39" ht="13.5" thickBot="1" x14ac:dyDescent="0.25">
      <c r="A151" s="328">
        <v>2030</v>
      </c>
      <c r="B151" s="346">
        <v>2.0472087776749314E-3</v>
      </c>
      <c r="C151" s="347">
        <v>0.25870890662776425</v>
      </c>
      <c r="D151" s="347">
        <v>0.33048623269142119</v>
      </c>
      <c r="E151" s="347">
        <v>0.33539750554834047</v>
      </c>
      <c r="F151" s="347">
        <v>0.33592298141420979</v>
      </c>
      <c r="G151" s="347">
        <v>0.33378441948564797</v>
      </c>
      <c r="H151" s="347">
        <v>0.3185511429336611</v>
      </c>
      <c r="I151" s="347">
        <v>0.30953771347446479</v>
      </c>
      <c r="J151" s="347">
        <v>0.29900097131949271</v>
      </c>
      <c r="K151" s="347">
        <v>0.28824612291750851</v>
      </c>
      <c r="L151" s="381">
        <v>0.28824612291750851</v>
      </c>
      <c r="M151" s="310">
        <f t="shared" si="90"/>
        <v>9.6735414672785999E-2</v>
      </c>
      <c r="N151" s="312">
        <f t="shared" si="91"/>
        <v>6.2960944881861616E-2</v>
      </c>
      <c r="O151" s="346">
        <v>1.4556572931789644E-3</v>
      </c>
      <c r="P151" s="347">
        <v>0.2622834585329305</v>
      </c>
      <c r="Q151" s="347">
        <v>0.32824897581209173</v>
      </c>
      <c r="R151" s="347">
        <v>0.33924366481512863</v>
      </c>
      <c r="S151" s="347">
        <v>0.34197900393958514</v>
      </c>
      <c r="T151" s="347">
        <v>0.32975112929063111</v>
      </c>
      <c r="U151" s="347">
        <v>0.31564910887522518</v>
      </c>
      <c r="V151" s="347">
        <v>0.30101353021996602</v>
      </c>
      <c r="W151" s="347">
        <v>0.29247718527316641</v>
      </c>
      <c r="X151" s="347">
        <v>0.28824612291750851</v>
      </c>
      <c r="Y151" s="381">
        <v>0.28000239105321684</v>
      </c>
      <c r="Z151" s="310">
        <f t="shared" si="92"/>
        <v>0.14175664710236202</v>
      </c>
      <c r="AA151" s="312">
        <f t="shared" si="93"/>
        <v>9.5854249267875904E-2</v>
      </c>
      <c r="AB151" s="949">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50">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8">
        <f t="shared" si="94"/>
        <v>0</v>
      </c>
      <c r="AE151" s="1232">
        <f t="shared" si="97"/>
        <v>9.6735414672785999E-2</v>
      </c>
      <c r="AF151" s="1233">
        <f t="shared" si="98"/>
        <v>0.14175664710236202</v>
      </c>
      <c r="AG151" s="1233">
        <f t="shared" si="99"/>
        <v>0.23849206177514803</v>
      </c>
      <c r="AH151" s="1174">
        <f t="shared" si="95"/>
        <v>0.40561272334501774</v>
      </c>
      <c r="AI151" s="1234">
        <f t="shared" si="96"/>
        <v>0.59438727665498226</v>
      </c>
      <c r="AJ151" s="227"/>
      <c r="AK151" s="227"/>
      <c r="AL151" s="227"/>
      <c r="AM151" s="227"/>
    </row>
    <row r="152" spans="1:39" x14ac:dyDescent="0.2">
      <c r="A152" s="329">
        <v>2031</v>
      </c>
      <c r="B152" s="342">
        <v>2.4306695578868195E-3</v>
      </c>
      <c r="C152" s="343">
        <v>0.24945001093175553</v>
      </c>
      <c r="D152" s="343">
        <v>0.32673594515947157</v>
      </c>
      <c r="E152" s="343">
        <v>0.33697752324663077</v>
      </c>
      <c r="F152" s="343">
        <v>0.33680669522490125</v>
      </c>
      <c r="G152" s="343">
        <v>0.33177119284542594</v>
      </c>
      <c r="H152" s="343">
        <v>0.31144219656772149</v>
      </c>
      <c r="I152" s="343">
        <v>0.30249524871093125</v>
      </c>
      <c r="J152" s="343">
        <v>0.29300404577914152</v>
      </c>
      <c r="K152" s="343">
        <v>0.28194838971595182</v>
      </c>
      <c r="L152" s="379">
        <v>0.28194838971595182</v>
      </c>
      <c r="M152" s="282">
        <f t="shared" si="90"/>
        <v>9.4997086838160619E-2</v>
      </c>
      <c r="N152" s="284">
        <f t="shared" si="91"/>
        <v>6.1532128191780916E-2</v>
      </c>
      <c r="O152" s="342">
        <v>1.7353776637332047E-3</v>
      </c>
      <c r="P152" s="343">
        <v>0.25927220075769764</v>
      </c>
      <c r="Q152" s="343">
        <v>0.32977696632184644</v>
      </c>
      <c r="R152" s="343">
        <v>0.34063767321650146</v>
      </c>
      <c r="S152" s="343">
        <v>0.3379756052651367</v>
      </c>
      <c r="T152" s="343">
        <v>0.32420665926936404</v>
      </c>
      <c r="U152" s="343">
        <v>0.30764418528669885</v>
      </c>
      <c r="V152" s="343">
        <v>0.29517563011362563</v>
      </c>
      <c r="W152" s="343">
        <v>0.28620095443303628</v>
      </c>
      <c r="X152" s="343">
        <v>0.28194838971595182</v>
      </c>
      <c r="Y152" s="379">
        <v>0.27412749568038225</v>
      </c>
      <c r="Z152" s="282">
        <f t="shared" si="92"/>
        <v>0.14075234207841092</v>
      </c>
      <c r="AA152" s="284">
        <f t="shared" si="93"/>
        <v>9.5167243963448903E-2</v>
      </c>
      <c r="AB152" s="949">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50">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8">
        <f t="shared" si="94"/>
        <v>0</v>
      </c>
      <c r="AE152" s="1232">
        <f t="shared" si="97"/>
        <v>9.4997086838160619E-2</v>
      </c>
      <c r="AF152" s="1233">
        <f t="shared" si="98"/>
        <v>0.14075234207841092</v>
      </c>
      <c r="AG152" s="1233">
        <f t="shared" si="99"/>
        <v>0.23574942891657152</v>
      </c>
      <c r="AH152" s="1174">
        <f t="shared" si="95"/>
        <v>0.4029578662172657</v>
      </c>
      <c r="AI152" s="1234">
        <f t="shared" si="96"/>
        <v>0.59704213378273441</v>
      </c>
      <c r="AJ152" s="227"/>
      <c r="AK152" s="227"/>
      <c r="AL152" s="227"/>
      <c r="AM152" s="227"/>
    </row>
    <row r="153" spans="1:39" x14ac:dyDescent="0.2">
      <c r="A153" s="330">
        <v>2032</v>
      </c>
      <c r="B153" s="344">
        <v>2.8723555405617014E-3</v>
      </c>
      <c r="C153" s="345">
        <v>0.27483557285449955</v>
      </c>
      <c r="D153" s="345">
        <v>0.32738387118198037</v>
      </c>
      <c r="E153" s="345">
        <v>0.33755624837296222</v>
      </c>
      <c r="F153" s="345">
        <v>0.33494818653523439</v>
      </c>
      <c r="G153" s="345">
        <v>0.33062817125874916</v>
      </c>
      <c r="H153" s="345">
        <v>0.30222301445891259</v>
      </c>
      <c r="I153" s="345">
        <v>0.29342208524766639</v>
      </c>
      <c r="J153" s="345">
        <v>0.28580517104903336</v>
      </c>
      <c r="K153" s="345">
        <v>0.27703221940028616</v>
      </c>
      <c r="L153" s="380">
        <v>0.27703221940028616</v>
      </c>
      <c r="M153" s="296">
        <f t="shared" si="90"/>
        <v>9.8740685791108021E-2</v>
      </c>
      <c r="N153" s="298">
        <f t="shared" si="91"/>
        <v>6.5197731766134887E-2</v>
      </c>
      <c r="O153" s="344">
        <v>2.059125082887062E-3</v>
      </c>
      <c r="P153" s="345">
        <v>0.28487716907127614</v>
      </c>
      <c r="Q153" s="345">
        <v>0.32544674997176321</v>
      </c>
      <c r="R153" s="345">
        <v>0.34034743730676842</v>
      </c>
      <c r="S153" s="345">
        <v>0.33375056862208302</v>
      </c>
      <c r="T153" s="345">
        <v>0.31681705363464335</v>
      </c>
      <c r="U153" s="345">
        <v>0.29788600379987362</v>
      </c>
      <c r="V153" s="345">
        <v>0.28803089852465452</v>
      </c>
      <c r="W153" s="345">
        <v>0.27907744200744372</v>
      </c>
      <c r="X153" s="345">
        <v>0.27506353736213246</v>
      </c>
      <c r="Y153" s="380">
        <v>0.26974788644956582</v>
      </c>
      <c r="Z153" s="296">
        <f t="shared" si="92"/>
        <v>0.14679650304563407</v>
      </c>
      <c r="AA153" s="298">
        <f t="shared" si="93"/>
        <v>0.10149112740842388</v>
      </c>
      <c r="AB153" s="949">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50">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8">
        <f t="shared" si="94"/>
        <v>0</v>
      </c>
      <c r="AE153" s="1232">
        <f t="shared" si="97"/>
        <v>9.8740685791108021E-2</v>
      </c>
      <c r="AF153" s="1233">
        <f t="shared" si="98"/>
        <v>0.14679650304563407</v>
      </c>
      <c r="AG153" s="1233">
        <f t="shared" si="99"/>
        <v>0.24553718883674208</v>
      </c>
      <c r="AH153" s="1174">
        <f t="shared" si="95"/>
        <v>0.40214146891109354</v>
      </c>
      <c r="AI153" s="1234">
        <f t="shared" si="96"/>
        <v>0.59785853108890652</v>
      </c>
      <c r="AJ153" s="227"/>
      <c r="AK153" s="227"/>
      <c r="AL153" s="227"/>
      <c r="AM153" s="227"/>
    </row>
    <row r="154" spans="1:39" x14ac:dyDescent="0.2">
      <c r="A154" s="330">
        <v>2033</v>
      </c>
      <c r="B154" s="344">
        <v>2.8740106666069604E-3</v>
      </c>
      <c r="C154" s="345">
        <v>0.27085784623735537</v>
      </c>
      <c r="D154" s="345">
        <v>0.32232554043254363</v>
      </c>
      <c r="E154" s="345">
        <v>0.33722280877721061</v>
      </c>
      <c r="F154" s="345">
        <v>0.33071260561918614</v>
      </c>
      <c r="G154" s="345">
        <v>0.3202106645520526</v>
      </c>
      <c r="H154" s="345">
        <v>0.29267672884993501</v>
      </c>
      <c r="I154" s="345">
        <v>0.28577826942251594</v>
      </c>
      <c r="J154" s="345">
        <v>0.27829916508354724</v>
      </c>
      <c r="K154" s="345">
        <v>0.27203719782729391</v>
      </c>
      <c r="L154" s="380">
        <v>0.27203719782729391</v>
      </c>
      <c r="M154" s="296">
        <f t="shared" si="90"/>
        <v>9.7422698903962227E-2</v>
      </c>
      <c r="N154" s="298">
        <f t="shared" si="91"/>
        <v>6.4311940949835486E-2</v>
      </c>
      <c r="O154" s="344">
        <v>2.060311604369868E-3</v>
      </c>
      <c r="P154" s="345">
        <v>0.27818607982442023</v>
      </c>
      <c r="Q154" s="345">
        <v>0.32577870725166924</v>
      </c>
      <c r="R154" s="345">
        <v>0.33776330867627125</v>
      </c>
      <c r="S154" s="345">
        <v>0.32451594031445907</v>
      </c>
      <c r="T154" s="345">
        <v>0.30658182041950532</v>
      </c>
      <c r="U154" s="345">
        <v>0.29037137848758432</v>
      </c>
      <c r="V154" s="345">
        <v>0.28045615315401723</v>
      </c>
      <c r="W154" s="345">
        <v>0.27395378711823831</v>
      </c>
      <c r="X154" s="345">
        <v>0.27022602055234518</v>
      </c>
      <c r="Y154" s="380">
        <v>0.26697290710526461</v>
      </c>
      <c r="Z154" s="296">
        <f t="shared" si="92"/>
        <v>0.14427546239791036</v>
      </c>
      <c r="AA154" s="298">
        <f t="shared" si="93"/>
        <v>9.9597028971516635E-2</v>
      </c>
      <c r="AB154" s="949">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50">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8">
        <f>AB154*AH154+AC154*AI154</f>
        <v>0</v>
      </c>
      <c r="AE154" s="1232">
        <f t="shared" si="97"/>
        <v>9.7422698903962227E-2</v>
      </c>
      <c r="AF154" s="1233">
        <f t="shared" si="98"/>
        <v>0.14427546239791036</v>
      </c>
      <c r="AG154" s="1233">
        <f t="shared" si="99"/>
        <v>0.2416981613018726</v>
      </c>
      <c r="AH154" s="1174">
        <f t="shared" si="95"/>
        <v>0.40307587934971778</v>
      </c>
      <c r="AI154" s="1234">
        <f t="shared" si="96"/>
        <v>0.59692412065028222</v>
      </c>
      <c r="AJ154" s="227"/>
      <c r="AK154" s="227"/>
      <c r="AL154" s="227"/>
      <c r="AM154" s="227"/>
    </row>
    <row r="155" spans="1:39" x14ac:dyDescent="0.2">
      <c r="A155" s="330">
        <v>2034</v>
      </c>
      <c r="B155" s="344">
        <v>3.3847067354249856E-3</v>
      </c>
      <c r="C155" s="345">
        <v>0.27098445314326225</v>
      </c>
      <c r="D155" s="345">
        <v>0.32253286291239003</v>
      </c>
      <c r="E155" s="345">
        <v>0.33531796167084876</v>
      </c>
      <c r="F155" s="345">
        <v>0.32378321187314085</v>
      </c>
      <c r="G155" s="345">
        <v>0.31211825283113753</v>
      </c>
      <c r="H155" s="345">
        <v>0.28483529988212253</v>
      </c>
      <c r="I155" s="345">
        <v>0.27804935674227027</v>
      </c>
      <c r="J155" s="345">
        <v>0.27305396973922441</v>
      </c>
      <c r="K155" s="345">
        <v>0.267297570741304</v>
      </c>
      <c r="L155" s="380">
        <v>0.267297570741304</v>
      </c>
      <c r="M155" s="296">
        <f t="shared" si="90"/>
        <v>9.7128598952964898E-2</v>
      </c>
      <c r="N155" s="298">
        <f t="shared" si="91"/>
        <v>6.4318929841430214E-2</v>
      </c>
      <c r="O155" s="344">
        <v>2.0607484453530542E-3</v>
      </c>
      <c r="P155" s="345">
        <v>0.27831610644733767</v>
      </c>
      <c r="Q155" s="345">
        <v>0.32596547302901813</v>
      </c>
      <c r="R155" s="345">
        <v>0.33255047667142951</v>
      </c>
      <c r="S155" s="345">
        <v>0.31559493977086267</v>
      </c>
      <c r="T155" s="345">
        <v>0.29910365804271288</v>
      </c>
      <c r="U155" s="345">
        <v>0.28252753009945863</v>
      </c>
      <c r="V155" s="345">
        <v>0.27510341007432643</v>
      </c>
      <c r="W155" s="345">
        <v>0.26901977214107364</v>
      </c>
      <c r="X155" s="345">
        <v>0.267297570741304</v>
      </c>
      <c r="Y155" s="380">
        <v>0.26299300482196447</v>
      </c>
      <c r="Z155" s="296">
        <f t="shared" si="92"/>
        <v>0.14349811242821589</v>
      </c>
      <c r="AA155" s="298">
        <f t="shared" si="93"/>
        <v>9.9398627082750726E-2</v>
      </c>
      <c r="AB155" s="949">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50">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8">
        <f t="shared" ref="AD155:AD171" si="100">AB155*AH155+AC155*AI155</f>
        <v>0</v>
      </c>
      <c r="AE155" s="1232">
        <f t="shared" si="97"/>
        <v>9.7128598952964898E-2</v>
      </c>
      <c r="AF155" s="1233">
        <f t="shared" si="98"/>
        <v>0.14349811242821589</v>
      </c>
      <c r="AG155" s="1233">
        <f t="shared" si="99"/>
        <v>0.2406267113811808</v>
      </c>
      <c r="AH155" s="1174">
        <f t="shared" si="95"/>
        <v>0.40364844948199397</v>
      </c>
      <c r="AI155" s="1234">
        <f t="shared" si="96"/>
        <v>0.59635155051800603</v>
      </c>
      <c r="AJ155" s="227"/>
      <c r="AK155" s="227"/>
      <c r="AL155" s="227"/>
      <c r="AM155" s="227"/>
    </row>
    <row r="156" spans="1:39" ht="13.5" thickBot="1" x14ac:dyDescent="0.25">
      <c r="A156" s="328">
        <v>2035</v>
      </c>
      <c r="B156" s="346">
        <v>3.3849707639851626E-3</v>
      </c>
      <c r="C156" s="347">
        <v>0.26435966834413277</v>
      </c>
      <c r="D156" s="347">
        <v>0.3227004438190415</v>
      </c>
      <c r="E156" s="347">
        <v>0.34032120417588591</v>
      </c>
      <c r="F156" s="347">
        <v>0.31305029978889726</v>
      </c>
      <c r="G156" s="347">
        <v>0.30004328597923857</v>
      </c>
      <c r="H156" s="347">
        <v>0.27701103903920715</v>
      </c>
      <c r="I156" s="347">
        <v>0.27273424661939788</v>
      </c>
      <c r="J156" s="347">
        <v>0.26808783242087902</v>
      </c>
      <c r="K156" s="347">
        <v>0.26303342057679868</v>
      </c>
      <c r="L156" s="381">
        <v>0.26303342057679868</v>
      </c>
      <c r="M156" s="310">
        <f t="shared" si="90"/>
        <v>9.6010203307248007E-2</v>
      </c>
      <c r="N156" s="312">
        <f t="shared" si="91"/>
        <v>6.338004865460814E-2</v>
      </c>
      <c r="O156" s="346">
        <v>2.4365839646033347E-3</v>
      </c>
      <c r="P156" s="347">
        <v>0.27400900790538429</v>
      </c>
      <c r="Q156" s="347">
        <v>0.34329077640921252</v>
      </c>
      <c r="R156" s="347">
        <v>0.32440814472526963</v>
      </c>
      <c r="S156" s="347">
        <v>0.3041119331890722</v>
      </c>
      <c r="T156" s="347">
        <v>0.28861208868338334</v>
      </c>
      <c r="U156" s="347">
        <v>0.27483071999345049</v>
      </c>
      <c r="V156" s="347">
        <v>0.26808783242087902</v>
      </c>
      <c r="W156" s="347">
        <v>0.26449518326397942</v>
      </c>
      <c r="X156" s="347">
        <v>0.26303342057679868</v>
      </c>
      <c r="Y156" s="381">
        <v>0.26061815196329952</v>
      </c>
      <c r="Z156" s="310">
        <f t="shared" si="92"/>
        <v>0.14272619037779094</v>
      </c>
      <c r="AA156" s="312">
        <f t="shared" si="93"/>
        <v>9.8871808183260135E-2</v>
      </c>
      <c r="AB156" s="949">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50">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8">
        <f t="shared" si="100"/>
        <v>0</v>
      </c>
      <c r="AE156" s="1232">
        <f t="shared" si="97"/>
        <v>9.6010203307248007E-2</v>
      </c>
      <c r="AF156" s="1233">
        <f t="shared" si="98"/>
        <v>0.14272619037779094</v>
      </c>
      <c r="AG156" s="1233">
        <f t="shared" si="99"/>
        <v>0.23873639368503896</v>
      </c>
      <c r="AH156" s="1174">
        <f t="shared" si="95"/>
        <v>0.40215989621554182</v>
      </c>
      <c r="AI156" s="1234">
        <f t="shared" si="96"/>
        <v>0.59784010378445807</v>
      </c>
      <c r="AJ156" s="227"/>
      <c r="AK156" s="227"/>
      <c r="AL156" s="227"/>
      <c r="AM156" s="227"/>
    </row>
    <row r="157" spans="1:39" x14ac:dyDescent="0.2">
      <c r="A157" s="329">
        <v>2036</v>
      </c>
      <c r="B157" s="342">
        <v>3.977524129120895E-3</v>
      </c>
      <c r="C157" s="343">
        <v>0.26842129981090518</v>
      </c>
      <c r="D157" s="343">
        <v>0.34178479733127182</v>
      </c>
      <c r="E157" s="343">
        <v>0.33386340919216423</v>
      </c>
      <c r="F157" s="343">
        <v>0.31540854048691325</v>
      </c>
      <c r="G157" s="343">
        <v>0.29775985098369445</v>
      </c>
      <c r="H157" s="343">
        <v>0.27498507537570593</v>
      </c>
      <c r="I157" s="343">
        <v>0.27069317020985334</v>
      </c>
      <c r="J157" s="343">
        <v>0.26648268048984852</v>
      </c>
      <c r="K157" s="343">
        <v>0.26317847878875789</v>
      </c>
      <c r="L157" s="379">
        <v>0.26317847878875789</v>
      </c>
      <c r="M157" s="282">
        <f t="shared" si="90"/>
        <v>9.809080232219701E-2</v>
      </c>
      <c r="N157" s="284">
        <f t="shared" si="91"/>
        <v>6.4919024403981992E-2</v>
      </c>
      <c r="O157" s="342">
        <v>2.8749267736110336E-3</v>
      </c>
      <c r="P157" s="343">
        <v>0.27850003358961917</v>
      </c>
      <c r="Q157" s="343">
        <v>0.33789350407859747</v>
      </c>
      <c r="R157" s="343">
        <v>0.32086624982711137</v>
      </c>
      <c r="S157" s="343">
        <v>0.30187828208571499</v>
      </c>
      <c r="T157" s="343">
        <v>0.28634067137369906</v>
      </c>
      <c r="U157" s="343">
        <v>0.27498507537570593</v>
      </c>
      <c r="V157" s="343">
        <v>0.26823702159253476</v>
      </c>
      <c r="W157" s="343">
        <v>0.26464154202770157</v>
      </c>
      <c r="X157" s="343">
        <v>0.26317847878875789</v>
      </c>
      <c r="Y157" s="379">
        <v>0.26076107325387848</v>
      </c>
      <c r="Z157" s="282">
        <f t="shared" si="92"/>
        <v>0.14327123902435049</v>
      </c>
      <c r="AA157" s="284">
        <f t="shared" si="93"/>
        <v>9.9793780965246298E-2</v>
      </c>
      <c r="AB157" s="949">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50">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8">
        <f t="shared" si="100"/>
        <v>0</v>
      </c>
      <c r="AE157" s="1232">
        <f t="shared" si="97"/>
        <v>9.809080232219701E-2</v>
      </c>
      <c r="AF157" s="1233">
        <f t="shared" si="98"/>
        <v>0.14327123902435049</v>
      </c>
      <c r="AG157" s="1233">
        <f t="shared" si="99"/>
        <v>0.24136204134654748</v>
      </c>
      <c r="AH157" s="1174">
        <f t="shared" si="95"/>
        <v>0.40640525649747172</v>
      </c>
      <c r="AI157" s="1234">
        <f t="shared" si="96"/>
        <v>0.59359474350252828</v>
      </c>
      <c r="AJ157" s="227"/>
      <c r="AK157" s="227"/>
      <c r="AL157" s="227"/>
      <c r="AM157" s="227"/>
    </row>
    <row r="158" spans="1:39" x14ac:dyDescent="0.2">
      <c r="A158" s="330">
        <v>2037</v>
      </c>
      <c r="B158" s="344">
        <v>3.9775661215278842E-3</v>
      </c>
      <c r="C158" s="345">
        <v>0.2684241336482624</v>
      </c>
      <c r="D158" s="345">
        <v>0.34177514307537554</v>
      </c>
      <c r="E158" s="345">
        <v>0.33386916658281846</v>
      </c>
      <c r="F158" s="345">
        <v>0.31541711637533859</v>
      </c>
      <c r="G158" s="345">
        <v>0.29777009937487564</v>
      </c>
      <c r="H158" s="345">
        <v>0.27589206817828937</v>
      </c>
      <c r="I158" s="345">
        <v>0.27070577392970002</v>
      </c>
      <c r="J158" s="345">
        <v>0.26649560778711362</v>
      </c>
      <c r="K158" s="345">
        <v>0.26319168957479039</v>
      </c>
      <c r="L158" s="380">
        <v>0.26319168957479039</v>
      </c>
      <c r="M158" s="296">
        <f t="shared" si="90"/>
        <v>9.8104289244813542E-2</v>
      </c>
      <c r="N158" s="298">
        <f t="shared" si="91"/>
        <v>6.4921815117669063E-2</v>
      </c>
      <c r="O158" s="344">
        <v>2.8749571254307149E-3</v>
      </c>
      <c r="P158" s="345">
        <v>0.27850297383243794</v>
      </c>
      <c r="Q158" s="345">
        <v>0.34276094209124341</v>
      </c>
      <c r="R158" s="345">
        <v>0.31883404322213865</v>
      </c>
      <c r="S158" s="345">
        <v>0.30188795564143983</v>
      </c>
      <c r="T158" s="345">
        <v>0.28635203232021106</v>
      </c>
      <c r="U158" s="345">
        <v>0.2728991147126319</v>
      </c>
      <c r="V158" s="345">
        <v>0.26824977145127421</v>
      </c>
      <c r="W158" s="345">
        <v>0.2646546100056133</v>
      </c>
      <c r="X158" s="345">
        <v>0.26319168957479039</v>
      </c>
      <c r="Y158" s="380">
        <v>0.26077451476194435</v>
      </c>
      <c r="Z158" s="296">
        <f t="shared" si="92"/>
        <v>0.14351590527872718</v>
      </c>
      <c r="AA158" s="298">
        <f t="shared" si="93"/>
        <v>9.9966009204765241E-2</v>
      </c>
      <c r="AB158" s="949">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50">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8">
        <f t="shared" si="100"/>
        <v>0</v>
      </c>
      <c r="AE158" s="1232">
        <f t="shared" si="97"/>
        <v>9.8104289244813542E-2</v>
      </c>
      <c r="AF158" s="1233">
        <f t="shared" si="98"/>
        <v>0.14351590527872718</v>
      </c>
      <c r="AG158" s="1233">
        <f t="shared" si="99"/>
        <v>0.24162019452354072</v>
      </c>
      <c r="AH158" s="1174">
        <f t="shared" si="95"/>
        <v>0.40602686144785544</v>
      </c>
      <c r="AI158" s="1234">
        <f t="shared" si="96"/>
        <v>0.59397313855214462</v>
      </c>
      <c r="AJ158" s="227"/>
      <c r="AK158" s="227"/>
      <c r="AL158" s="227"/>
      <c r="AM158" s="227"/>
    </row>
    <row r="159" spans="1:39" x14ac:dyDescent="0.2">
      <c r="A159" s="330">
        <v>2038</v>
      </c>
      <c r="B159" s="344">
        <v>3.9775815698941935E-3</v>
      </c>
      <c r="C159" s="345">
        <v>0.2644465027247031</v>
      </c>
      <c r="D159" s="345">
        <v>0.34166796148967521</v>
      </c>
      <c r="E159" s="345">
        <v>0.32956863412749082</v>
      </c>
      <c r="F159" s="345">
        <v>0.31078218412492797</v>
      </c>
      <c r="G159" s="345">
        <v>0.29530303063539914</v>
      </c>
      <c r="H159" s="345">
        <v>0.27500761667655704</v>
      </c>
      <c r="I159" s="345">
        <v>0.27071657634945329</v>
      </c>
      <c r="J159" s="345">
        <v>0.26650676211784335</v>
      </c>
      <c r="K159" s="345">
        <v>0.26190511166853947</v>
      </c>
      <c r="L159" s="380">
        <v>0.26190511166853947</v>
      </c>
      <c r="M159" s="296">
        <f t="shared" si="90"/>
        <v>9.7184490978595092E-2</v>
      </c>
      <c r="N159" s="298">
        <f t="shared" si="91"/>
        <v>6.4244260583690219E-2</v>
      </c>
      <c r="O159" s="344">
        <v>2.8749682914024268E-3</v>
      </c>
      <c r="P159" s="345">
        <v>0.27154271103255512</v>
      </c>
      <c r="Q159" s="345">
        <v>0.33652681907069215</v>
      </c>
      <c r="R159" s="345">
        <v>0.3137448116059256</v>
      </c>
      <c r="S159" s="345">
        <v>0.29944524862489508</v>
      </c>
      <c r="T159" s="345">
        <v>0.28297480154345261</v>
      </c>
      <c r="U159" s="345">
        <v>0.27290970974707957</v>
      </c>
      <c r="V159" s="345">
        <v>0.26650676211784335</v>
      </c>
      <c r="W159" s="345">
        <v>0.26320314965034647</v>
      </c>
      <c r="X159" s="345">
        <v>0.26190511166853947</v>
      </c>
      <c r="Y159" s="380">
        <v>0.2598620988307378</v>
      </c>
      <c r="Z159" s="296">
        <f t="shared" si="92"/>
        <v>0.14069417785521895</v>
      </c>
      <c r="AA159" s="298">
        <f t="shared" si="93"/>
        <v>9.7748701350313341E-2</v>
      </c>
      <c r="AB159" s="949">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50">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8">
        <f t="shared" si="100"/>
        <v>0</v>
      </c>
      <c r="AE159" s="1232">
        <f t="shared" si="97"/>
        <v>9.7184490978595092E-2</v>
      </c>
      <c r="AF159" s="1233">
        <f t="shared" si="98"/>
        <v>0.14069417785521895</v>
      </c>
      <c r="AG159" s="1233">
        <f t="shared" si="99"/>
        <v>0.23787866883381403</v>
      </c>
      <c r="AH159" s="1174">
        <f t="shared" si="95"/>
        <v>0.40854647226267177</v>
      </c>
      <c r="AI159" s="1234">
        <f t="shared" si="96"/>
        <v>0.59145352773732829</v>
      </c>
      <c r="AJ159" s="227"/>
      <c r="AK159" s="227"/>
      <c r="AL159" s="227"/>
      <c r="AM159" s="227"/>
    </row>
    <row r="160" spans="1:39" x14ac:dyDescent="0.2">
      <c r="A160" s="330">
        <v>2039</v>
      </c>
      <c r="B160" s="344">
        <v>4.6640921647287184E-3</v>
      </c>
      <c r="C160" s="345">
        <v>0.28986425680143962</v>
      </c>
      <c r="D160" s="345">
        <v>0.34114265608897659</v>
      </c>
      <c r="E160" s="345">
        <v>0.3257425582770756</v>
      </c>
      <c r="F160" s="345">
        <v>0.30836994380759314</v>
      </c>
      <c r="G160" s="345">
        <v>0.2903491600398006</v>
      </c>
      <c r="H160" s="345">
        <v>0.2729196332795561</v>
      </c>
      <c r="I160" s="345">
        <v>0.26884088823046542</v>
      </c>
      <c r="J160" s="345">
        <v>0.26490102819417538</v>
      </c>
      <c r="K160" s="345">
        <v>0.26191606068860251</v>
      </c>
      <c r="L160" s="380">
        <v>0.26191606068860251</v>
      </c>
      <c r="M160" s="296">
        <f t="shared" si="90"/>
        <v>0.10075721731206538</v>
      </c>
      <c r="N160" s="298">
        <f t="shared" si="91"/>
        <v>6.7837742368468193E-2</v>
      </c>
      <c r="O160" s="344">
        <v>3.3851216265942444E-3</v>
      </c>
      <c r="P160" s="345">
        <v>0.29688266628502646</v>
      </c>
      <c r="Q160" s="345">
        <v>0.33423871418185119</v>
      </c>
      <c r="R160" s="345">
        <v>0.30420288337651497</v>
      </c>
      <c r="S160" s="345">
        <v>0.29446933715745505</v>
      </c>
      <c r="T160" s="345">
        <v>0.28064036302276008</v>
      </c>
      <c r="U160" s="345">
        <v>0.27091955759028691</v>
      </c>
      <c r="V160" s="345">
        <v>0.26651726063612841</v>
      </c>
      <c r="W160" s="345">
        <v>0.26321396201130282</v>
      </c>
      <c r="X160" s="345">
        <v>0.26191606068860251</v>
      </c>
      <c r="Y160" s="380">
        <v>0.25987325912788467</v>
      </c>
      <c r="Z160" s="296">
        <f t="shared" si="92"/>
        <v>0.14668211965827152</v>
      </c>
      <c r="AA160" s="298">
        <f t="shared" si="93"/>
        <v>0.10401390787158186</v>
      </c>
      <c r="AB160" s="949">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50">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8">
        <f t="shared" si="100"/>
        <v>0</v>
      </c>
      <c r="AE160" s="1232">
        <f t="shared" si="97"/>
        <v>0.10075721731206538</v>
      </c>
      <c r="AF160" s="1233">
        <f t="shared" si="98"/>
        <v>0.14668211965827152</v>
      </c>
      <c r="AG160" s="1233">
        <f t="shared" si="99"/>
        <v>0.2474393369703369</v>
      </c>
      <c r="AH160" s="1174">
        <f t="shared" si="95"/>
        <v>0.40719967385033928</v>
      </c>
      <c r="AI160" s="1234">
        <f t="shared" si="96"/>
        <v>0.59280032614966072</v>
      </c>
      <c r="AJ160" s="227"/>
      <c r="AK160" s="227"/>
      <c r="AL160" s="227"/>
      <c r="AM160" s="227"/>
    </row>
    <row r="161" spans="1:39" ht="13.5" thickBot="1" x14ac:dyDescent="0.25">
      <c r="A161" s="328">
        <v>2040</v>
      </c>
      <c r="B161" s="346">
        <v>4.664094616297936E-3</v>
      </c>
      <c r="C161" s="347">
        <v>0.28270883104260147</v>
      </c>
      <c r="D161" s="347">
        <v>0.33958892660264217</v>
      </c>
      <c r="E161" s="347">
        <v>0.31724227157041457</v>
      </c>
      <c r="F161" s="347">
        <v>0.30339011182478248</v>
      </c>
      <c r="G161" s="347">
        <v>0.28789691148143282</v>
      </c>
      <c r="H161" s="347">
        <v>0.27092947690831554</v>
      </c>
      <c r="I161" s="347">
        <v>0.26708998652167681</v>
      </c>
      <c r="J161" s="347">
        <v>0.26491147528364978</v>
      </c>
      <c r="K161" s="347">
        <v>0.26192678600249075</v>
      </c>
      <c r="L161" s="381">
        <v>0.26192678600249075</v>
      </c>
      <c r="M161" s="310">
        <f t="shared" si="90"/>
        <v>9.902103199071402E-2</v>
      </c>
      <c r="N161" s="312">
        <f t="shared" si="91"/>
        <v>6.6558604209753999E-2</v>
      </c>
      <c r="O161" s="346">
        <v>3.3851234059029903E-3</v>
      </c>
      <c r="P161" s="347">
        <v>0.29245619438651976</v>
      </c>
      <c r="Q161" s="347">
        <v>0.32977062208687447</v>
      </c>
      <c r="R161" s="347">
        <v>0.29373122860950951</v>
      </c>
      <c r="S161" s="347">
        <v>0.29196812071591277</v>
      </c>
      <c r="T161" s="347">
        <v>0.27836400272833034</v>
      </c>
      <c r="U161" s="347">
        <v>0.27092947690831554</v>
      </c>
      <c r="V161" s="347">
        <v>0.26491147528364978</v>
      </c>
      <c r="W161" s="347">
        <v>0.26192678600249075</v>
      </c>
      <c r="X161" s="347">
        <v>0.26192678600249075</v>
      </c>
      <c r="Y161" s="381">
        <v>0.2598841978487938</v>
      </c>
      <c r="Z161" s="310">
        <f t="shared" si="92"/>
        <v>0.14438459955703567</v>
      </c>
      <c r="AA161" s="312">
        <f t="shared" si="93"/>
        <v>0.102408406459378</v>
      </c>
      <c r="AB161" s="949">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50">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8">
        <f t="shared" si="100"/>
        <v>0</v>
      </c>
      <c r="AE161" s="1232">
        <f t="shared" si="97"/>
        <v>9.902103199071402E-2</v>
      </c>
      <c r="AF161" s="1233">
        <f t="shared" si="98"/>
        <v>0.14438459955703567</v>
      </c>
      <c r="AG161" s="1233">
        <f t="shared" si="99"/>
        <v>0.24340563154774969</v>
      </c>
      <c r="AH161" s="1174">
        <f t="shared" si="95"/>
        <v>0.40681487671861338</v>
      </c>
      <c r="AI161" s="1234">
        <f t="shared" si="96"/>
        <v>0.59318512328138662</v>
      </c>
      <c r="AJ161" s="227"/>
      <c r="AK161" s="227"/>
      <c r="AL161" s="227"/>
      <c r="AM161" s="227"/>
    </row>
    <row r="162" spans="1:39" x14ac:dyDescent="0.2">
      <c r="A162" s="329">
        <v>2041</v>
      </c>
      <c r="B162" s="342">
        <v>4.6640955181804986E-3</v>
      </c>
      <c r="C162" s="343">
        <v>0.28270888570919506</v>
      </c>
      <c r="D162" s="343">
        <v>0.33491613123837</v>
      </c>
      <c r="E162" s="343">
        <v>0.30171644278921439</v>
      </c>
      <c r="F162" s="343">
        <v>0.298284877468731</v>
      </c>
      <c r="G162" s="343">
        <v>0.28547648621908089</v>
      </c>
      <c r="H162" s="343">
        <v>0.2690508981062904</v>
      </c>
      <c r="I162" s="343">
        <v>0.26710021627984348</v>
      </c>
      <c r="J162" s="343">
        <v>0.26345706992789819</v>
      </c>
      <c r="K162" s="343">
        <v>0.2608188917447718</v>
      </c>
      <c r="L162" s="379">
        <v>0.2608188917447718</v>
      </c>
      <c r="M162" s="282">
        <f t="shared" si="90"/>
        <v>9.7760447210308535E-2</v>
      </c>
      <c r="N162" s="284">
        <f t="shared" si="91"/>
        <v>6.6009436965462062E-2</v>
      </c>
      <c r="O162" s="342">
        <v>3.3851240604745674E-3</v>
      </c>
      <c r="P162" s="343">
        <v>0.29233162974737614</v>
      </c>
      <c r="Q162" s="343">
        <v>0.31908236372592486</v>
      </c>
      <c r="R162" s="343">
        <v>0.28028683589878373</v>
      </c>
      <c r="S162" s="343">
        <v>0.286987717909924</v>
      </c>
      <c r="T162" s="343">
        <v>0.27615969585309807</v>
      </c>
      <c r="U162" s="343">
        <v>0.2690508981062904</v>
      </c>
      <c r="V162" s="343">
        <v>0.26492183979638362</v>
      </c>
      <c r="W162" s="343">
        <v>0.26193742991109115</v>
      </c>
      <c r="X162" s="343">
        <v>0.2608188917447718</v>
      </c>
      <c r="Y162" s="379">
        <v>0.25989505598168994</v>
      </c>
      <c r="Z162" s="282">
        <f t="shared" si="92"/>
        <v>0.14250758861180526</v>
      </c>
      <c r="AA162" s="284">
        <f t="shared" si="93"/>
        <v>0.1015333303590953</v>
      </c>
      <c r="AB162" s="949">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50">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8">
        <f t="shared" si="100"/>
        <v>0</v>
      </c>
      <c r="AE162" s="1232">
        <f t="shared" si="97"/>
        <v>9.7760447210308535E-2</v>
      </c>
      <c r="AF162" s="1233">
        <f t="shared" si="98"/>
        <v>0.14250758861180526</v>
      </c>
      <c r="AG162" s="1233">
        <f t="shared" si="99"/>
        <v>0.24026803582211381</v>
      </c>
      <c r="AH162" s="1174">
        <f t="shared" si="95"/>
        <v>0.40688078576830339</v>
      </c>
      <c r="AI162" s="1234">
        <f t="shared" si="96"/>
        <v>0.59311921423169656</v>
      </c>
      <c r="AJ162" s="227"/>
      <c r="AK162" s="227"/>
      <c r="AL162" s="227"/>
      <c r="AM162" s="227"/>
    </row>
    <row r="163" spans="1:39" x14ac:dyDescent="0.2">
      <c r="A163" s="330">
        <v>2042</v>
      </c>
      <c r="B163" s="344">
        <v>5.457753548948111E-3</v>
      </c>
      <c r="C163" s="345">
        <v>0.28238630470691628</v>
      </c>
      <c r="D163" s="345">
        <v>0.31906757210908537</v>
      </c>
      <c r="E163" s="345">
        <v>0.28107865578170782</v>
      </c>
      <c r="F163" s="345">
        <v>0.29060452568725786</v>
      </c>
      <c r="G163" s="345">
        <v>0.28077724165313545</v>
      </c>
      <c r="H163" s="345">
        <v>0.26729749813947185</v>
      </c>
      <c r="I163" s="345">
        <v>0.26548791279959372</v>
      </c>
      <c r="J163" s="345">
        <v>0.26346756632030333</v>
      </c>
      <c r="K163" s="345">
        <v>0.26082962736641513</v>
      </c>
      <c r="L163" s="380">
        <v>0.26082962736641513</v>
      </c>
      <c r="M163" s="296">
        <f t="shared" si="90"/>
        <v>9.523430249709286E-2</v>
      </c>
      <c r="N163" s="298">
        <f t="shared" si="91"/>
        <v>6.4871599096755439E-2</v>
      </c>
      <c r="O163" s="344">
        <v>3.9775903958690186E-3</v>
      </c>
      <c r="P163" s="345">
        <v>0.29076364804218746</v>
      </c>
      <c r="Q163" s="345">
        <v>0.29859007052228653</v>
      </c>
      <c r="R163" s="345">
        <v>0.2615323003719574</v>
      </c>
      <c r="S163" s="345">
        <v>0.28213735933394624</v>
      </c>
      <c r="T163" s="345">
        <v>0.27404133846738493</v>
      </c>
      <c r="U163" s="345">
        <v>0.26729749813947185</v>
      </c>
      <c r="V163" s="345">
        <v>0.26346756632030333</v>
      </c>
      <c r="W163" s="345">
        <v>0.26082962736641513</v>
      </c>
      <c r="X163" s="345">
        <v>0.26082962736641513</v>
      </c>
      <c r="Y163" s="380">
        <v>0.25919493917993153</v>
      </c>
      <c r="Z163" s="296">
        <f t="shared" si="92"/>
        <v>0.13914008360838956</v>
      </c>
      <c r="AA163" s="298">
        <f t="shared" si="93"/>
        <v>9.9868217319585839E-2</v>
      </c>
      <c r="AB163" s="949">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50">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8">
        <f t="shared" si="100"/>
        <v>0</v>
      </c>
      <c r="AE163" s="1232">
        <f t="shared" si="97"/>
        <v>9.523430249709286E-2</v>
      </c>
      <c r="AF163" s="1233">
        <f t="shared" si="98"/>
        <v>0.13914008360838956</v>
      </c>
      <c r="AG163" s="1233">
        <f t="shared" si="99"/>
        <v>0.23437438610548242</v>
      </c>
      <c r="AH163" s="1174">
        <f t="shared" si="95"/>
        <v>0.40633408829167772</v>
      </c>
      <c r="AI163" s="1234">
        <f t="shared" si="96"/>
        <v>0.59366591170832228</v>
      </c>
      <c r="AJ163" s="227"/>
      <c r="AK163" s="227"/>
      <c r="AL163" s="227"/>
      <c r="AM163" s="227"/>
    </row>
    <row r="164" spans="1:39" x14ac:dyDescent="0.2">
      <c r="A164" s="330">
        <v>2043</v>
      </c>
      <c r="B164" s="344">
        <v>5.4577536917742317E-3</v>
      </c>
      <c r="C164" s="345">
        <v>0.27918592687630722</v>
      </c>
      <c r="D164" s="345">
        <v>0.29527063888383115</v>
      </c>
      <c r="E164" s="345">
        <v>0.26120677673872139</v>
      </c>
      <c r="F164" s="345">
        <v>0.2856331027767916</v>
      </c>
      <c r="G164" s="345">
        <v>0.27853549501199343</v>
      </c>
      <c r="H164" s="345">
        <v>0.2673077030990233</v>
      </c>
      <c r="I164" s="345">
        <v>0.26402769457737513</v>
      </c>
      <c r="J164" s="345">
        <v>0.26217851800590319</v>
      </c>
      <c r="K164" s="345">
        <v>0.25991670690596697</v>
      </c>
      <c r="L164" s="380">
        <v>0.25991670690596697</v>
      </c>
      <c r="M164" s="296">
        <f t="shared" si="90"/>
        <v>9.1623848917931391E-2</v>
      </c>
      <c r="N164" s="298">
        <f t="shared" si="91"/>
        <v>6.2827859508513689E-2</v>
      </c>
      <c r="O164" s="344">
        <v>3.9775904999601614E-3</v>
      </c>
      <c r="P164" s="345">
        <v>0.28338297697510118</v>
      </c>
      <c r="Q164" s="345">
        <v>0.27449101627488842</v>
      </c>
      <c r="R164" s="345">
        <v>0.24589284748520504</v>
      </c>
      <c r="S164" s="345">
        <v>0.27980048729077822</v>
      </c>
      <c r="T164" s="345">
        <v>0.27202275003784177</v>
      </c>
      <c r="U164" s="345">
        <v>0.26568281725233517</v>
      </c>
      <c r="V164" s="345">
        <v>0.26217851800590319</v>
      </c>
      <c r="W164" s="345">
        <v>0.26084034963557734</v>
      </c>
      <c r="X164" s="345">
        <v>0.25991670690596697</v>
      </c>
      <c r="Y164" s="380">
        <v>0.25920583163188876</v>
      </c>
      <c r="Z164" s="296">
        <f t="shared" si="92"/>
        <v>0.13407269368107746</v>
      </c>
      <c r="AA164" s="298">
        <f t="shared" si="93"/>
        <v>9.6470428162923283E-2</v>
      </c>
      <c r="AB164" s="949">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50">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8">
        <f t="shared" si="100"/>
        <v>0</v>
      </c>
      <c r="AE164" s="1232">
        <f t="shared" si="97"/>
        <v>9.1623848917931391E-2</v>
      </c>
      <c r="AF164" s="1233">
        <f t="shared" si="98"/>
        <v>0.13407269368107746</v>
      </c>
      <c r="AG164" s="1233">
        <f t="shared" si="99"/>
        <v>0.22569654259900884</v>
      </c>
      <c r="AH164" s="1174">
        <f t="shared" si="95"/>
        <v>0.40596035660465524</v>
      </c>
      <c r="AI164" s="1234">
        <f t="shared" si="96"/>
        <v>0.59403964339534487</v>
      </c>
      <c r="AJ164" s="227"/>
      <c r="AK164" s="227"/>
      <c r="AL164" s="227"/>
      <c r="AM164" s="227"/>
    </row>
    <row r="165" spans="1:39" x14ac:dyDescent="0.2">
      <c r="A165" s="330">
        <v>2044</v>
      </c>
      <c r="B165" s="344">
        <v>4.6640960169233216E-3</v>
      </c>
      <c r="C165" s="345">
        <v>0.26785192795074175</v>
      </c>
      <c r="D165" s="345">
        <v>0.2705681219079713</v>
      </c>
      <c r="E165" s="345">
        <v>0.24717320739937981</v>
      </c>
      <c r="F165" s="345">
        <v>0.28323866162176853</v>
      </c>
      <c r="G165" s="345">
        <v>0.27431905292624859</v>
      </c>
      <c r="H165" s="345">
        <v>0.2656932090741766</v>
      </c>
      <c r="I165" s="345">
        <v>0.26403822963579998</v>
      </c>
      <c r="J165" s="345">
        <v>0.26106909100823616</v>
      </c>
      <c r="K165" s="345">
        <v>0.25992753453148287</v>
      </c>
      <c r="L165" s="380">
        <v>0.25992753453148287</v>
      </c>
      <c r="M165" s="296">
        <f t="shared" si="90"/>
        <v>8.6946811504475349E-2</v>
      </c>
      <c r="N165" s="298">
        <f t="shared" si="91"/>
        <v>5.9570694193973449E-2</v>
      </c>
      <c r="O165" s="344">
        <v>3.3851244224539323E-3</v>
      </c>
      <c r="P165" s="345">
        <v>0.2683066761378165</v>
      </c>
      <c r="Q165" s="345">
        <v>0.25721317444791791</v>
      </c>
      <c r="R165" s="345">
        <v>0.23836205106207689</v>
      </c>
      <c r="S165" s="345">
        <v>0.27535538726435022</v>
      </c>
      <c r="T165" s="345">
        <v>0.27011769577080796</v>
      </c>
      <c r="U165" s="345">
        <v>0.26422047902823037</v>
      </c>
      <c r="V165" s="345">
        <v>0.26218914843696961</v>
      </c>
      <c r="W165" s="345">
        <v>0.2608510805817455</v>
      </c>
      <c r="X165" s="345">
        <v>0.25992753453148287</v>
      </c>
      <c r="Y165" s="380">
        <v>0.25921673301425413</v>
      </c>
      <c r="Z165" s="296">
        <f t="shared" si="92"/>
        <v>0.12791449398738766</v>
      </c>
      <c r="AA165" s="298">
        <f t="shared" si="93"/>
        <v>9.143738321136341E-2</v>
      </c>
      <c r="AB165" s="949">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50">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8">
        <f t="shared" si="100"/>
        <v>0</v>
      </c>
      <c r="AE165" s="1232">
        <f t="shared" si="97"/>
        <v>8.6946811504475349E-2</v>
      </c>
      <c r="AF165" s="1233">
        <f t="shared" si="98"/>
        <v>0.12791449398738766</v>
      </c>
      <c r="AG165" s="1233">
        <f t="shared" si="99"/>
        <v>0.214861305491863</v>
      </c>
      <c r="AH165" s="1174">
        <f t="shared" si="95"/>
        <v>0.40466481996577142</v>
      </c>
      <c r="AI165" s="1234">
        <f t="shared" si="96"/>
        <v>0.59533518003422869</v>
      </c>
      <c r="AJ165" s="227"/>
      <c r="AK165" s="227"/>
      <c r="AL165" s="227"/>
      <c r="AM165" s="227"/>
    </row>
    <row r="166" spans="1:39" ht="13.5" thickBot="1" x14ac:dyDescent="0.25">
      <c r="A166" s="328">
        <v>2045</v>
      </c>
      <c r="B166" s="346">
        <v>4.6640960334418842E-3</v>
      </c>
      <c r="C166" s="347">
        <v>0.25021659692834214</v>
      </c>
      <c r="D166" s="347">
        <v>0.25448860086393421</v>
      </c>
      <c r="E166" s="347">
        <v>0.23960459047350099</v>
      </c>
      <c r="F166" s="347">
        <v>0.27868538183422542</v>
      </c>
      <c r="G166" s="347">
        <v>0.27238217953990534</v>
      </c>
      <c r="H166" s="347">
        <v>0.26423103449372903</v>
      </c>
      <c r="I166" s="347">
        <v>0.26274410241733537</v>
      </c>
      <c r="J166" s="347">
        <v>0.26107984400015249</v>
      </c>
      <c r="K166" s="347">
        <v>0.25993836631974626</v>
      </c>
      <c r="L166" s="381">
        <v>0.25993836631974626</v>
      </c>
      <c r="M166" s="310">
        <f t="shared" si="90"/>
        <v>8.2399254372092168E-2</v>
      </c>
      <c r="N166" s="312">
        <f t="shared" si="91"/>
        <v>5.6090854640830343E-2</v>
      </c>
      <c r="O166" s="346">
        <v>3.3851244344428339E-3</v>
      </c>
      <c r="P166" s="347">
        <v>0.2452178694659872</v>
      </c>
      <c r="Q166" s="347">
        <v>0.24170090860376423</v>
      </c>
      <c r="R166" s="347">
        <v>0.2296955217987646</v>
      </c>
      <c r="S166" s="347">
        <v>0.27328506508421202</v>
      </c>
      <c r="T166" s="347">
        <v>0.26833985543096722</v>
      </c>
      <c r="U166" s="347">
        <v>0.26423103449372903</v>
      </c>
      <c r="V166" s="347">
        <v>0.26107984400015249</v>
      </c>
      <c r="W166" s="347">
        <v>0.25993836631974626</v>
      </c>
      <c r="X166" s="347">
        <v>0.25993836631974626</v>
      </c>
      <c r="Y166" s="381">
        <v>0.25875358525235481</v>
      </c>
      <c r="Z166" s="310">
        <f t="shared" si="92"/>
        <v>0.11978596339919326</v>
      </c>
      <c r="AA166" s="312">
        <f t="shared" si="93"/>
        <v>8.4584624502799119E-2</v>
      </c>
      <c r="AB166" s="949">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50">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8">
        <f t="shared" si="100"/>
        <v>0</v>
      </c>
      <c r="AE166" s="1232">
        <f t="shared" si="97"/>
        <v>8.2399254372092168E-2</v>
      </c>
      <c r="AF166" s="1233">
        <f t="shared" si="98"/>
        <v>0.11978596339919326</v>
      </c>
      <c r="AG166" s="1233">
        <f t="shared" si="99"/>
        <v>0.20218521777128542</v>
      </c>
      <c r="AH166" s="1174">
        <f t="shared" si="95"/>
        <v>0.40754341628131929</v>
      </c>
      <c r="AI166" s="1234">
        <f t="shared" si="96"/>
        <v>0.59245658371868071</v>
      </c>
      <c r="AJ166" s="227"/>
      <c r="AK166" s="227"/>
      <c r="AL166" s="227"/>
      <c r="AM166" s="227"/>
    </row>
    <row r="167" spans="1:39" x14ac:dyDescent="0.2">
      <c r="A167" s="329">
        <v>2046</v>
      </c>
      <c r="B167" s="342">
        <v>4.6640960395187229E-3</v>
      </c>
      <c r="C167" s="343">
        <v>0.23349011080006021</v>
      </c>
      <c r="D167" s="343">
        <v>0.24286023043831401</v>
      </c>
      <c r="E167" s="343">
        <v>0.23425732947678743</v>
      </c>
      <c r="F167" s="343">
        <v>0.27869559206139699</v>
      </c>
      <c r="G167" s="343">
        <v>0.27239251728291813</v>
      </c>
      <c r="H167" s="343">
        <v>0.26424159492707117</v>
      </c>
      <c r="I167" s="343">
        <v>0.26275478611665537</v>
      </c>
      <c r="J167" s="343">
        <v>0.26109060209767609</v>
      </c>
      <c r="K167" s="343">
        <v>0.25923854941860897</v>
      </c>
      <c r="L167" s="379">
        <v>0.25923854941860897</v>
      </c>
      <c r="M167" s="282">
        <f t="shared" si="90"/>
        <v>7.8601547333352631E-2</v>
      </c>
      <c r="N167" s="284">
        <f t="shared" si="91"/>
        <v>5.3039035072950047E-2</v>
      </c>
      <c r="O167" s="342">
        <v>3.3851244388533042E-3</v>
      </c>
      <c r="P167" s="343">
        <v>0.22972181876845016</v>
      </c>
      <c r="Q167" s="343">
        <v>0.23305001529840591</v>
      </c>
      <c r="R167" s="343">
        <v>0.22638704221473477</v>
      </c>
      <c r="S167" s="343">
        <v>0.27329527095712797</v>
      </c>
      <c r="T167" s="343">
        <v>0.26670289240899603</v>
      </c>
      <c r="U167" s="343">
        <v>0.2629350361910831</v>
      </c>
      <c r="V167" s="343">
        <v>0.26109060209767609</v>
      </c>
      <c r="W167" s="343">
        <v>0.25994920326836757</v>
      </c>
      <c r="X167" s="343">
        <v>0.25923854941860897</v>
      </c>
      <c r="Y167" s="379">
        <v>0.25876454500736834</v>
      </c>
      <c r="Z167" s="282">
        <f t="shared" si="92"/>
        <v>0.11463773443671313</v>
      </c>
      <c r="AA167" s="284">
        <f t="shared" si="93"/>
        <v>8.0127979948467543E-2</v>
      </c>
      <c r="AB167" s="949">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50">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8">
        <f t="shared" si="100"/>
        <v>0</v>
      </c>
      <c r="AE167" s="1232">
        <f t="shared" si="97"/>
        <v>7.8601547333352631E-2</v>
      </c>
      <c r="AF167" s="1233">
        <f t="shared" si="98"/>
        <v>0.11463773443671313</v>
      </c>
      <c r="AG167" s="1233">
        <f t="shared" si="99"/>
        <v>0.19323928177006577</v>
      </c>
      <c r="AH167" s="1174">
        <f t="shared" si="95"/>
        <v>0.40675760442372233</v>
      </c>
      <c r="AI167" s="1234">
        <f t="shared" si="96"/>
        <v>0.59324239557627756</v>
      </c>
      <c r="AJ167" s="227"/>
      <c r="AK167" s="227"/>
      <c r="AL167" s="227"/>
      <c r="AM167" s="227"/>
    </row>
    <row r="168" spans="1:39" x14ac:dyDescent="0.2">
      <c r="A168" s="330">
        <v>2047</v>
      </c>
      <c r="B168" s="344">
        <v>4.6640960395187229E-3</v>
      </c>
      <c r="C168" s="345">
        <v>0.20787840006841615</v>
      </c>
      <c r="D168" s="345">
        <v>0.23593275620716614</v>
      </c>
      <c r="E168" s="345">
        <v>0.23080562646168665</v>
      </c>
      <c r="F168" s="345">
        <v>0.27657572526303775</v>
      </c>
      <c r="G168" s="345">
        <v>0.27058538559216389</v>
      </c>
      <c r="H168" s="345">
        <v>0.26425215336921348</v>
      </c>
      <c r="I168" s="345">
        <v>0.26276546782234117</v>
      </c>
      <c r="J168" s="345">
        <v>0.26110135820393859</v>
      </c>
      <c r="K168" s="345">
        <v>0.25924945823266971</v>
      </c>
      <c r="L168" s="380">
        <v>0.25924945823266971</v>
      </c>
      <c r="M168" s="296">
        <f t="shared" si="90"/>
        <v>7.3927885920787612E-2</v>
      </c>
      <c r="N168" s="298">
        <f t="shared" si="91"/>
        <v>4.8988256591202907E-2</v>
      </c>
      <c r="O168" s="344">
        <v>3.3851244388533042E-3</v>
      </c>
      <c r="P168" s="345">
        <v>0.20418833361246036</v>
      </c>
      <c r="Q168" s="345">
        <v>0.23081644618088518</v>
      </c>
      <c r="R168" s="345">
        <v>0.22610921036784681</v>
      </c>
      <c r="S168" s="345">
        <v>0.27134219349435629</v>
      </c>
      <c r="T168" s="345">
        <v>0.26671343740800052</v>
      </c>
      <c r="U168" s="345">
        <v>0.26294573449154207</v>
      </c>
      <c r="V168" s="345">
        <v>0.26110135820393859</v>
      </c>
      <c r="W168" s="345">
        <v>0.25996003822560598</v>
      </c>
      <c r="X168" s="345">
        <v>0.25924945823266971</v>
      </c>
      <c r="Y168" s="380">
        <v>0.25877550276839612</v>
      </c>
      <c r="Z168" s="296">
        <f t="shared" si="92"/>
        <v>0.1075116204926813</v>
      </c>
      <c r="AA168" s="298">
        <f t="shared" si="93"/>
        <v>7.3468585193392846E-2</v>
      </c>
      <c r="AB168" s="949">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50">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8">
        <f t="shared" si="100"/>
        <v>0</v>
      </c>
      <c r="AE168" s="1232">
        <f t="shared" si="97"/>
        <v>7.3927885920787612E-2</v>
      </c>
      <c r="AF168" s="1233">
        <f t="shared" si="98"/>
        <v>0.1075116204926813</v>
      </c>
      <c r="AG168" s="1233">
        <f t="shared" si="99"/>
        <v>0.1814395064134689</v>
      </c>
      <c r="AH168" s="1174">
        <f t="shared" si="95"/>
        <v>0.40745197880068573</v>
      </c>
      <c r="AI168" s="1234">
        <f t="shared" si="96"/>
        <v>0.59254802119931438</v>
      </c>
      <c r="AJ168" s="227"/>
      <c r="AK168" s="227"/>
      <c r="AL168" s="227"/>
      <c r="AM168" s="227"/>
    </row>
    <row r="169" spans="1:39" x14ac:dyDescent="0.2">
      <c r="A169" s="330">
        <v>2048</v>
      </c>
      <c r="B169" s="344">
        <v>4.6640960395187229E-3</v>
      </c>
      <c r="C169" s="345">
        <v>0.20100006022020128</v>
      </c>
      <c r="D169" s="345">
        <v>0.23135982116974499</v>
      </c>
      <c r="E169" s="345">
        <v>0.23062138607543692</v>
      </c>
      <c r="F169" s="345">
        <v>0.27658618735912271</v>
      </c>
      <c r="G169" s="345">
        <v>0.27059593543320248</v>
      </c>
      <c r="H169" s="345">
        <v>0.26295644573193866</v>
      </c>
      <c r="I169" s="345">
        <v>0.261651935690769</v>
      </c>
      <c r="J169" s="345">
        <v>0.26018742733402833</v>
      </c>
      <c r="K169" s="345">
        <v>0.25926038027171983</v>
      </c>
      <c r="L169" s="380">
        <v>0.25926038027171983</v>
      </c>
      <c r="M169" s="296">
        <f t="shared" si="90"/>
        <v>7.2458160949520872E-2</v>
      </c>
      <c r="N169" s="298">
        <f t="shared" si="91"/>
        <v>4.7775450554141556E-2</v>
      </c>
      <c r="O169" s="344">
        <v>3.3851244388533042E-3</v>
      </c>
      <c r="P169" s="345">
        <v>0.19693666138030522</v>
      </c>
      <c r="Q169" s="345">
        <v>0.22661327059666042</v>
      </c>
      <c r="R169" s="345">
        <v>0.22306659683080995</v>
      </c>
      <c r="S169" s="345">
        <v>0.27135262971087171</v>
      </c>
      <c r="T169" s="345">
        <v>0.26672399513723111</v>
      </c>
      <c r="U169" s="345">
        <v>0.26295644573193866</v>
      </c>
      <c r="V169" s="345">
        <v>0.2611121273310224</v>
      </c>
      <c r="W169" s="345">
        <v>0.25997088630963056</v>
      </c>
      <c r="X169" s="345">
        <v>0.25926038027171983</v>
      </c>
      <c r="Y169" s="380">
        <v>0.25878647381959796</v>
      </c>
      <c r="Z169" s="296">
        <f t="shared" si="92"/>
        <v>0.10502091012970423</v>
      </c>
      <c r="AA169" s="298">
        <f t="shared" si="93"/>
        <v>7.1346513152167751E-2</v>
      </c>
      <c r="AB169" s="949">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50">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8">
        <f t="shared" si="100"/>
        <v>0</v>
      </c>
      <c r="AE169" s="1232">
        <f t="shared" si="97"/>
        <v>7.2458160949520872E-2</v>
      </c>
      <c r="AF169" s="1233">
        <f t="shared" si="98"/>
        <v>0.10502091012970423</v>
      </c>
      <c r="AG169" s="1233">
        <f t="shared" si="99"/>
        <v>0.17747907107922511</v>
      </c>
      <c r="AH169" s="1174">
        <f t="shared" si="95"/>
        <v>0.40826312933076025</v>
      </c>
      <c r="AI169" s="1234">
        <f t="shared" si="96"/>
        <v>0.59173687066923963</v>
      </c>
      <c r="AJ169" s="227"/>
      <c r="AK169" s="227"/>
      <c r="AL169" s="227"/>
      <c r="AM169" s="227"/>
    </row>
    <row r="170" spans="1:39" x14ac:dyDescent="0.2">
      <c r="A170" s="330">
        <v>2049</v>
      </c>
      <c r="B170" s="344">
        <v>4.6640960395187229E-3</v>
      </c>
      <c r="C170" s="345">
        <v>0.19856096935324241</v>
      </c>
      <c r="D170" s="345">
        <v>0.23118923169304331</v>
      </c>
      <c r="E170" s="345">
        <v>0.22895758909051903</v>
      </c>
      <c r="F170" s="345">
        <v>0.27659665490514818</v>
      </c>
      <c r="G170" s="345">
        <v>0.27060649079442001</v>
      </c>
      <c r="H170" s="345">
        <v>0.2629671626144105</v>
      </c>
      <c r="I170" s="345">
        <v>0.26166275509883508</v>
      </c>
      <c r="J170" s="345">
        <v>0.26019829924294008</v>
      </c>
      <c r="K170" s="345">
        <v>0.25927130809435339</v>
      </c>
      <c r="L170" s="380">
        <v>0.25927130809435339</v>
      </c>
      <c r="M170" s="296">
        <f t="shared" si="90"/>
        <v>7.2000797718062157E-2</v>
      </c>
      <c r="N170" s="298">
        <f t="shared" si="91"/>
        <v>4.7392647155927586E-2</v>
      </c>
      <c r="O170" s="344">
        <v>2.8749747875978326E-3</v>
      </c>
      <c r="P170" s="345">
        <v>0.19439020032322124</v>
      </c>
      <c r="Q170" s="345">
        <v>0.22644113794841805</v>
      </c>
      <c r="R170" s="345">
        <v>0.22288311048205603</v>
      </c>
      <c r="S170" s="345">
        <v>0.27136307137709403</v>
      </c>
      <c r="T170" s="345">
        <v>0.26673455840335358</v>
      </c>
      <c r="U170" s="345">
        <v>0.2629671626144105</v>
      </c>
      <c r="V170" s="345">
        <v>0.26112290214165379</v>
      </c>
      <c r="W170" s="345">
        <v>0.25998174012939967</v>
      </c>
      <c r="X170" s="345">
        <v>0.25927130809435339</v>
      </c>
      <c r="Y170" s="380">
        <v>0.25879745068619014</v>
      </c>
      <c r="Z170" s="296">
        <f t="shared" si="92"/>
        <v>0.10425047742946522</v>
      </c>
      <c r="AA170" s="298">
        <f t="shared" si="93"/>
        <v>7.0542937410326509E-2</v>
      </c>
      <c r="AB170" s="949">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50">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8">
        <f t="shared" si="100"/>
        <v>0</v>
      </c>
      <c r="AE170" s="1232">
        <f t="shared" si="97"/>
        <v>7.2000797718062157E-2</v>
      </c>
      <c r="AF170" s="1233">
        <f t="shared" si="98"/>
        <v>0.10425047742946522</v>
      </c>
      <c r="AG170" s="1233">
        <f t="shared" si="99"/>
        <v>0.17625127514752736</v>
      </c>
      <c r="AH170" s="1174">
        <f t="shared" si="95"/>
        <v>0.40851220882115846</v>
      </c>
      <c r="AI170" s="1234">
        <f t="shared" si="96"/>
        <v>0.59148779117884165</v>
      </c>
      <c r="AJ170" s="227"/>
      <c r="AK170" s="227"/>
      <c r="AL170" s="227"/>
      <c r="AM170" s="227"/>
    </row>
    <row r="171" spans="1:39" ht="13.5" thickBot="1" x14ac:dyDescent="0.25">
      <c r="A171" s="328">
        <v>2050</v>
      </c>
      <c r="B171" s="346">
        <v>4.6640960395187229E-3</v>
      </c>
      <c r="C171" s="347">
        <v>0.19360679280209389</v>
      </c>
      <c r="D171" s="347">
        <v>0.22883169323747773</v>
      </c>
      <c r="E171" s="347">
        <v>0.22716675757789126</v>
      </c>
      <c r="F171" s="347">
        <v>0.27660712789889397</v>
      </c>
      <c r="G171" s="347">
        <v>0.27061705167361594</v>
      </c>
      <c r="H171" s="347">
        <v>0.26297788513678244</v>
      </c>
      <c r="I171" s="347">
        <v>0.26167358021364223</v>
      </c>
      <c r="J171" s="347">
        <v>0.26020917689574008</v>
      </c>
      <c r="K171" s="347">
        <v>0.25928224169840075</v>
      </c>
      <c r="L171" s="381">
        <v>0.25928224169840075</v>
      </c>
      <c r="M171" s="310">
        <f t="shared" si="90"/>
        <v>7.096439743880105E-2</v>
      </c>
      <c r="N171" s="312">
        <f t="shared" si="91"/>
        <v>4.6540545155800084E-2</v>
      </c>
      <c r="O171" s="346">
        <v>2.8749747875978326E-3</v>
      </c>
      <c r="P171" s="347">
        <v>0.19426923842308225</v>
      </c>
      <c r="Q171" s="347">
        <v>0.22429867790428526</v>
      </c>
      <c r="R171" s="347">
        <v>0.22270271517628265</v>
      </c>
      <c r="S171" s="347">
        <v>0.27137351849082919</v>
      </c>
      <c r="T171" s="347">
        <v>0.26674512720418564</v>
      </c>
      <c r="U171" s="347">
        <v>0.26297788513678244</v>
      </c>
      <c r="V171" s="347">
        <v>0.26113368263366321</v>
      </c>
      <c r="W171" s="347">
        <v>0.25999259968274446</v>
      </c>
      <c r="X171" s="347">
        <v>0.25928224169840075</v>
      </c>
      <c r="Y171" s="381">
        <v>0.25880843336600245</v>
      </c>
      <c r="Z171" s="310">
        <f t="shared" si="92"/>
        <v>0.10402819339274258</v>
      </c>
      <c r="AA171" s="312">
        <f t="shared" si="93"/>
        <v>7.0408244406358761E-2</v>
      </c>
      <c r="AB171" s="951">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2">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9">
        <f t="shared" si="100"/>
        <v>0</v>
      </c>
      <c r="AE171" s="1235">
        <f t="shared" si="97"/>
        <v>7.096439743880105E-2</v>
      </c>
      <c r="AF171" s="1236">
        <f t="shared" si="98"/>
        <v>0.10402819339274258</v>
      </c>
      <c r="AG171" s="1236">
        <f t="shared" si="99"/>
        <v>0.17499259083154362</v>
      </c>
      <c r="AH171" s="1237">
        <f t="shared" si="95"/>
        <v>0.40552801179516701</v>
      </c>
      <c r="AI171" s="1238">
        <f t="shared" si="96"/>
        <v>0.59447198820483305</v>
      </c>
      <c r="AJ171" s="227"/>
      <c r="AK171" s="227"/>
      <c r="AL171" s="227"/>
      <c r="AM171" s="227"/>
    </row>
    <row r="172" spans="1:39" x14ac:dyDescent="0.2">
      <c r="B172" s="227" t="s">
        <v>241</v>
      </c>
      <c r="O172" s="227" t="s">
        <v>241</v>
      </c>
      <c r="W172" s="323"/>
      <c r="X172" s="323"/>
      <c r="Y172" s="323"/>
      <c r="AJ172" s="227"/>
      <c r="AK172" s="227"/>
      <c r="AL172" s="227"/>
      <c r="AM172" s="227"/>
    </row>
    <row r="173" spans="1:39" ht="13.5" thickBot="1" x14ac:dyDescent="0.25">
      <c r="W173" s="323"/>
      <c r="X173" s="323"/>
      <c r="Y173" s="323"/>
      <c r="AI173" s="227"/>
      <c r="AJ173" s="227"/>
      <c r="AK173" s="227"/>
      <c r="AL173" s="227"/>
      <c r="AM173" s="227"/>
    </row>
    <row r="174" spans="1:39" ht="15" x14ac:dyDescent="0.25">
      <c r="A174" s="333"/>
      <c r="B174" s="613" t="s">
        <v>198</v>
      </c>
      <c r="C174" s="614"/>
      <c r="D174" s="614"/>
      <c r="E174" s="614"/>
      <c r="F174" s="614"/>
      <c r="G174" s="614"/>
      <c r="H174" s="614"/>
      <c r="I174" s="614"/>
      <c r="J174" s="614"/>
      <c r="K174" s="614"/>
      <c r="L174" s="614"/>
      <c r="M174" s="614"/>
      <c r="N174" s="615"/>
      <c r="O174" s="613" t="s">
        <v>199</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5" t="s">
        <v>268</v>
      </c>
      <c r="AD175" s="234" t="b">
        <f>INDEX(TECH_OPT_FUEL2_Cls3,MATCH(RIGHT(O174),TECH_OPT_ROWS_Cls3,0))&lt;&gt;"N/A"</f>
        <v>0</v>
      </c>
      <c r="AI175" s="227"/>
      <c r="AJ175" s="227"/>
      <c r="AK175" s="227"/>
      <c r="AL175" s="227"/>
      <c r="AM175" s="227"/>
    </row>
    <row r="176" spans="1:39"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7"/>
      <c r="AC176" s="955" t="s">
        <v>269</v>
      </c>
      <c r="AD176" s="234">
        <f>MATCH(RIGHT(O174),TECH_OPT_ROWS_Cls3,0)</f>
        <v>4</v>
      </c>
      <c r="AI176" s="227"/>
      <c r="AJ176" s="227"/>
      <c r="AK176" s="227"/>
      <c r="AL176" s="227"/>
      <c r="AM176" s="227"/>
    </row>
    <row r="177" spans="1:39" ht="14.25"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11">
        <v>1.1022999100839563E-4</v>
      </c>
      <c r="Z177" s="1216"/>
      <c r="AA177" s="1217"/>
      <c r="AI177" s="227"/>
      <c r="AJ177" s="227"/>
      <c r="AK177" s="227"/>
      <c r="AL177" s="227"/>
      <c r="AM177" s="227"/>
    </row>
    <row r="178" spans="1:39" x14ac:dyDescent="0.2">
      <c r="A178" s="331" t="s">
        <v>125</v>
      </c>
      <c r="B178" s="924">
        <f t="array" ref="B178:L178">TRANSPOSE(Cls3CentVMTShr)</f>
        <v>7.4407503791532936E-2</v>
      </c>
      <c r="C178" s="925">
        <v>0.15052192967997111</v>
      </c>
      <c r="D178" s="925">
        <v>8.9028098283245441E-2</v>
      </c>
      <c r="E178" s="925">
        <v>4.5356257743642811E-2</v>
      </c>
      <c r="F178" s="925">
        <v>2.1016507050137231E-2</v>
      </c>
      <c r="G178" s="925">
        <v>4.9007047894213725E-4</v>
      </c>
      <c r="H178" s="925">
        <v>1.4797621296467818E-2</v>
      </c>
      <c r="I178" s="925">
        <v>0</v>
      </c>
      <c r="J178" s="925">
        <v>0</v>
      </c>
      <c r="K178" s="925">
        <v>3.7103078033661591E-3</v>
      </c>
      <c r="L178" s="1212">
        <v>0</v>
      </c>
      <c r="M178" s="1213"/>
      <c r="N178" s="1214"/>
      <c r="O178" s="924">
        <f t="array" ref="O178:Y178">TRANSPOSE(Cls3NCentVMTShr)</f>
        <v>0.11481596497083862</v>
      </c>
      <c r="P178" s="925">
        <v>0.26987209279577573</v>
      </c>
      <c r="Q178" s="925">
        <v>8.3836105982992667E-2</v>
      </c>
      <c r="R178" s="925">
        <v>5.9842896537765707E-2</v>
      </c>
      <c r="S178" s="925">
        <v>1.6413649143963899E-2</v>
      </c>
      <c r="T178" s="925">
        <v>1.0165768727376887E-2</v>
      </c>
      <c r="U178" s="925">
        <v>2.0700108148562976E-2</v>
      </c>
      <c r="V178" s="925">
        <v>2.0956833812228508E-2</v>
      </c>
      <c r="W178" s="925">
        <v>3.1584958359553582E-3</v>
      </c>
      <c r="X178" s="925">
        <v>0</v>
      </c>
      <c r="Y178" s="926">
        <v>9.0978791723388369E-4</v>
      </c>
      <c r="Z178" s="1213"/>
      <c r="AA178" s="1214"/>
      <c r="AB178" s="1572" t="str">
        <f>"% of miles on f2 for Tech "&amp; RIGHT(O173)&amp;" adopters"</f>
        <v>% of miles on f2 for Tech  adopters</v>
      </c>
      <c r="AC178" s="1573"/>
      <c r="AD178" s="1574"/>
      <c r="AE178" s="1239" t="s">
        <v>299</v>
      </c>
      <c r="AF178" s="1240"/>
      <c r="AG178" s="1240"/>
      <c r="AH178" s="1230" t="s">
        <v>298</v>
      </c>
      <c r="AI178" s="1231"/>
      <c r="AJ178" s="227"/>
      <c r="AK178" s="227"/>
      <c r="AL178" s="227"/>
      <c r="AM178" s="227"/>
    </row>
    <row r="179" spans="1:39" ht="13.5" thickBot="1" x14ac:dyDescent="0.25">
      <c r="A179" s="943" t="s">
        <v>267</v>
      </c>
      <c r="B179" s="934">
        <f t="array" ref="B179:L179">TRANSPOSE(Cls3CentVMT/OPDAYS_Cls3)</f>
        <v>49.202805162026571</v>
      </c>
      <c r="C179" s="935">
        <v>115.99623692884222</v>
      </c>
      <c r="D179" s="935">
        <v>190.94140758026836</v>
      </c>
      <c r="E179" s="935">
        <v>282.72824571583544</v>
      </c>
      <c r="F179" s="935">
        <v>349.10577157713089</v>
      </c>
      <c r="G179" s="935">
        <v>408.92399999999998</v>
      </c>
      <c r="H179" s="935">
        <v>540.31926836851005</v>
      </c>
      <c r="I179" s="935">
        <v>600</v>
      </c>
      <c r="J179" s="935">
        <v>680</v>
      </c>
      <c r="K179" s="935">
        <v>800.00000000000011</v>
      </c>
      <c r="L179" s="936">
        <v>800</v>
      </c>
      <c r="M179" s="932"/>
      <c r="N179" s="933"/>
      <c r="O179" s="934">
        <f t="array" ref="O179:Y179">TRANSPOSE(Cls3NCentVMT/OPDAYS_Cls3)</f>
        <v>45.820527909508108</v>
      </c>
      <c r="P179" s="935">
        <v>114.90604343518244</v>
      </c>
      <c r="Q179" s="935">
        <v>196.29405935940918</v>
      </c>
      <c r="R179" s="935">
        <v>286.46435582159182</v>
      </c>
      <c r="S179" s="935">
        <v>352.24339419308075</v>
      </c>
      <c r="T179" s="935">
        <v>427.07804424634116</v>
      </c>
      <c r="U179" s="935">
        <v>519.59880241076587</v>
      </c>
      <c r="V179" s="935">
        <v>608.4346682070543</v>
      </c>
      <c r="W179" s="935">
        <v>703.2</v>
      </c>
      <c r="X179" s="935">
        <v>760</v>
      </c>
      <c r="Y179" s="1215">
        <v>900</v>
      </c>
      <c r="Z179" s="944"/>
      <c r="AA179" s="933"/>
      <c r="AB179" s="946" t="s">
        <v>187</v>
      </c>
      <c r="AC179" s="947" t="s">
        <v>15</v>
      </c>
      <c r="AD179" s="948" t="s">
        <v>18</v>
      </c>
      <c r="AE179" s="330" t="s">
        <v>187</v>
      </c>
      <c r="AF179" s="1241" t="s">
        <v>15</v>
      </c>
      <c r="AG179" s="1241" t="s">
        <v>18</v>
      </c>
      <c r="AH179" s="1242" t="s">
        <v>187</v>
      </c>
      <c r="AI179" s="1243" t="s">
        <v>15</v>
      </c>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9">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50">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8">
        <f>AB180*AH180+AC180*AI180</f>
        <v>0</v>
      </c>
      <c r="AE180" s="1232">
        <f t="shared" ref="AE180:AE194" si="101">SUMPRODUCT($B$74:$L$74,B180:L180)</f>
        <v>0</v>
      </c>
      <c r="AF180" s="1233">
        <f t="shared" ref="AF180:AF194" si="102">SUMPRODUCT($O$74:$Y$74,O180:Y180)</f>
        <v>0</v>
      </c>
      <c r="AG180" s="1233">
        <f t="shared" ref="AG180:AG194" si="103">SUM(AE180:AF180)</f>
        <v>0</v>
      </c>
      <c r="AH180" s="1174">
        <f>IF(AG180&gt;0,AE180/AG180,0)</f>
        <v>0</v>
      </c>
      <c r="AI180" s="1234">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4">SUMPRODUCT(B181:L181,$B$178:$L$178)</f>
        <v>0</v>
      </c>
      <c r="N181" s="298">
        <f t="shared" ref="N181:N223" si="105">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106">SUMPRODUCT(O181:Y181,$O$178:$Y$178)</f>
        <v>0</v>
      </c>
      <c r="AA181" s="298">
        <f t="shared" ref="AA181:AA223" si="107">SUMPRODUCT(O181:Y181,$O$177:$Y$177)</f>
        <v>0</v>
      </c>
      <c r="AB181" s="949">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50">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8">
        <f t="shared" ref="AD181:AD205" si="108">AB181*AH181+AC181*AI181</f>
        <v>0</v>
      </c>
      <c r="AE181" s="1232">
        <f t="shared" si="101"/>
        <v>0</v>
      </c>
      <c r="AF181" s="1233">
        <f t="shared" si="102"/>
        <v>0</v>
      </c>
      <c r="AG181" s="1233">
        <f t="shared" si="103"/>
        <v>0</v>
      </c>
      <c r="AH181" s="1174">
        <f t="shared" ref="AH181:AH223" si="109">IF(AG181&gt;0,AE181/AG181,0)</f>
        <v>0</v>
      </c>
      <c r="AI181" s="1234">
        <f t="shared" ref="AI181:AI223" si="110">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4"/>
        <v>0</v>
      </c>
      <c r="N182" s="298">
        <f t="shared" si="105"/>
        <v>0</v>
      </c>
      <c r="O182" s="344">
        <v>0</v>
      </c>
      <c r="P182" s="345">
        <v>0</v>
      </c>
      <c r="Q182" s="345">
        <v>0</v>
      </c>
      <c r="R182" s="345">
        <v>0</v>
      </c>
      <c r="S182" s="345">
        <v>0</v>
      </c>
      <c r="T182" s="345">
        <v>0</v>
      </c>
      <c r="U182" s="345">
        <v>0</v>
      </c>
      <c r="V182" s="345">
        <v>0</v>
      </c>
      <c r="W182" s="345">
        <v>0</v>
      </c>
      <c r="X182" s="345">
        <v>0</v>
      </c>
      <c r="Y182" s="380">
        <v>0</v>
      </c>
      <c r="Z182" s="296">
        <f t="shared" si="106"/>
        <v>0</v>
      </c>
      <c r="AA182" s="298">
        <f t="shared" si="107"/>
        <v>0</v>
      </c>
      <c r="AB182" s="949">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50">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8">
        <f t="shared" si="108"/>
        <v>0</v>
      </c>
      <c r="AE182" s="1232">
        <f t="shared" si="101"/>
        <v>0</v>
      </c>
      <c r="AF182" s="1233">
        <f t="shared" si="102"/>
        <v>0</v>
      </c>
      <c r="AG182" s="1233">
        <f t="shared" si="103"/>
        <v>0</v>
      </c>
      <c r="AH182" s="1174">
        <f t="shared" si="109"/>
        <v>0</v>
      </c>
      <c r="AI182" s="1234">
        <f t="shared" si="110"/>
        <v>0</v>
      </c>
      <c r="AJ182" s="227"/>
      <c r="AK182" s="227"/>
      <c r="AL182" s="227"/>
      <c r="AM182" s="227"/>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4"/>
        <v>0</v>
      </c>
      <c r="N183" s="312">
        <f t="shared" si="105"/>
        <v>0</v>
      </c>
      <c r="O183" s="346">
        <v>0</v>
      </c>
      <c r="P183" s="347">
        <v>0</v>
      </c>
      <c r="Q183" s="347">
        <v>0</v>
      </c>
      <c r="R183" s="347">
        <v>0</v>
      </c>
      <c r="S183" s="347">
        <v>0</v>
      </c>
      <c r="T183" s="347">
        <v>0</v>
      </c>
      <c r="U183" s="347">
        <v>0</v>
      </c>
      <c r="V183" s="347">
        <v>0</v>
      </c>
      <c r="W183" s="347">
        <v>0</v>
      </c>
      <c r="X183" s="347">
        <v>0</v>
      </c>
      <c r="Y183" s="381">
        <v>0</v>
      </c>
      <c r="Z183" s="310">
        <f t="shared" si="106"/>
        <v>0</v>
      </c>
      <c r="AA183" s="312">
        <f t="shared" si="107"/>
        <v>0</v>
      </c>
      <c r="AB183" s="949">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50">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8">
        <f t="shared" si="108"/>
        <v>0</v>
      </c>
      <c r="AE183" s="1232">
        <f t="shared" si="101"/>
        <v>0</v>
      </c>
      <c r="AF183" s="1233">
        <f t="shared" si="102"/>
        <v>0</v>
      </c>
      <c r="AG183" s="1233">
        <f t="shared" si="103"/>
        <v>0</v>
      </c>
      <c r="AH183" s="1174">
        <f t="shared" si="109"/>
        <v>0</v>
      </c>
      <c r="AI183" s="1234">
        <f t="shared" si="110"/>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4"/>
        <v>0</v>
      </c>
      <c r="N184" s="284">
        <f t="shared" si="105"/>
        <v>0</v>
      </c>
      <c r="O184" s="342">
        <v>0</v>
      </c>
      <c r="P184" s="343">
        <v>0</v>
      </c>
      <c r="Q184" s="343">
        <v>0</v>
      </c>
      <c r="R184" s="343">
        <v>0</v>
      </c>
      <c r="S184" s="343">
        <v>0</v>
      </c>
      <c r="T184" s="343">
        <v>0</v>
      </c>
      <c r="U184" s="343">
        <v>0</v>
      </c>
      <c r="V184" s="343">
        <v>0</v>
      </c>
      <c r="W184" s="343">
        <v>0</v>
      </c>
      <c r="X184" s="343">
        <v>0</v>
      </c>
      <c r="Y184" s="379">
        <v>0</v>
      </c>
      <c r="Z184" s="282">
        <f t="shared" si="106"/>
        <v>0</v>
      </c>
      <c r="AA184" s="284">
        <f t="shared" si="107"/>
        <v>0</v>
      </c>
      <c r="AB184" s="949">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50">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8">
        <f t="shared" si="108"/>
        <v>0</v>
      </c>
      <c r="AE184" s="1232">
        <f t="shared" si="101"/>
        <v>0</v>
      </c>
      <c r="AF184" s="1233">
        <f t="shared" si="102"/>
        <v>0</v>
      </c>
      <c r="AG184" s="1233">
        <f t="shared" si="103"/>
        <v>0</v>
      </c>
      <c r="AH184" s="1174">
        <f t="shared" si="109"/>
        <v>0</v>
      </c>
      <c r="AI184" s="1234">
        <f t="shared" si="110"/>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4"/>
        <v>0</v>
      </c>
      <c r="N185" s="298">
        <f t="shared" si="105"/>
        <v>0</v>
      </c>
      <c r="O185" s="344">
        <v>0</v>
      </c>
      <c r="P185" s="345">
        <v>0</v>
      </c>
      <c r="Q185" s="345">
        <v>0</v>
      </c>
      <c r="R185" s="345">
        <v>0</v>
      </c>
      <c r="S185" s="345">
        <v>0</v>
      </c>
      <c r="T185" s="345">
        <v>0</v>
      </c>
      <c r="U185" s="345">
        <v>0</v>
      </c>
      <c r="V185" s="345">
        <v>0</v>
      </c>
      <c r="W185" s="345">
        <v>0</v>
      </c>
      <c r="X185" s="345">
        <v>0</v>
      </c>
      <c r="Y185" s="380">
        <v>0</v>
      </c>
      <c r="Z185" s="296">
        <f t="shared" si="106"/>
        <v>0</v>
      </c>
      <c r="AA185" s="298">
        <f t="shared" si="107"/>
        <v>0</v>
      </c>
      <c r="AB185" s="949">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50">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8">
        <f t="shared" si="108"/>
        <v>0</v>
      </c>
      <c r="AE185" s="1232">
        <f t="shared" si="101"/>
        <v>0</v>
      </c>
      <c r="AF185" s="1233">
        <f t="shared" si="102"/>
        <v>0</v>
      </c>
      <c r="AG185" s="1233">
        <f t="shared" si="103"/>
        <v>0</v>
      </c>
      <c r="AH185" s="1174">
        <f t="shared" si="109"/>
        <v>0</v>
      </c>
      <c r="AI185" s="1234">
        <f t="shared" si="110"/>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4"/>
        <v>0</v>
      </c>
      <c r="N186" s="298">
        <f t="shared" si="105"/>
        <v>0</v>
      </c>
      <c r="O186" s="344">
        <v>0</v>
      </c>
      <c r="P186" s="345">
        <v>0</v>
      </c>
      <c r="Q186" s="345">
        <v>0</v>
      </c>
      <c r="R186" s="345">
        <v>0</v>
      </c>
      <c r="S186" s="345">
        <v>0</v>
      </c>
      <c r="T186" s="345">
        <v>0</v>
      </c>
      <c r="U186" s="345">
        <v>0</v>
      </c>
      <c r="V186" s="345">
        <v>0</v>
      </c>
      <c r="W186" s="345">
        <v>0</v>
      </c>
      <c r="X186" s="345">
        <v>0</v>
      </c>
      <c r="Y186" s="380">
        <v>0</v>
      </c>
      <c r="Z186" s="296">
        <f t="shared" si="106"/>
        <v>0</v>
      </c>
      <c r="AA186" s="298">
        <f t="shared" si="107"/>
        <v>0</v>
      </c>
      <c r="AB186" s="949">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50">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8">
        <f t="shared" si="108"/>
        <v>0</v>
      </c>
      <c r="AE186" s="1232">
        <f t="shared" si="101"/>
        <v>0</v>
      </c>
      <c r="AF186" s="1233">
        <f t="shared" si="102"/>
        <v>0</v>
      </c>
      <c r="AG186" s="1233">
        <f t="shared" si="103"/>
        <v>0</v>
      </c>
      <c r="AH186" s="1174">
        <f t="shared" si="109"/>
        <v>0</v>
      </c>
      <c r="AI186" s="1234">
        <f t="shared" si="110"/>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4"/>
        <v>0</v>
      </c>
      <c r="N187" s="298">
        <f t="shared" si="105"/>
        <v>0</v>
      </c>
      <c r="O187" s="344">
        <v>0</v>
      </c>
      <c r="P187" s="345">
        <v>0</v>
      </c>
      <c r="Q187" s="345">
        <v>0</v>
      </c>
      <c r="R187" s="345">
        <v>0</v>
      </c>
      <c r="S187" s="345">
        <v>0</v>
      </c>
      <c r="T187" s="345">
        <v>0</v>
      </c>
      <c r="U187" s="345">
        <v>0</v>
      </c>
      <c r="V187" s="345">
        <v>0</v>
      </c>
      <c r="W187" s="345">
        <v>0</v>
      </c>
      <c r="X187" s="345">
        <v>0</v>
      </c>
      <c r="Y187" s="380">
        <v>0</v>
      </c>
      <c r="Z187" s="296">
        <f t="shared" si="106"/>
        <v>0</v>
      </c>
      <c r="AA187" s="298">
        <f t="shared" si="107"/>
        <v>0</v>
      </c>
      <c r="AB187" s="949">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50">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8">
        <f t="shared" si="108"/>
        <v>0</v>
      </c>
      <c r="AE187" s="1232">
        <f t="shared" si="101"/>
        <v>0</v>
      </c>
      <c r="AF187" s="1233">
        <f t="shared" si="102"/>
        <v>0</v>
      </c>
      <c r="AG187" s="1233">
        <f t="shared" si="103"/>
        <v>0</v>
      </c>
      <c r="AH187" s="1174">
        <f t="shared" si="109"/>
        <v>0</v>
      </c>
      <c r="AI187" s="1234">
        <f t="shared" si="110"/>
        <v>0</v>
      </c>
      <c r="AJ187" s="227"/>
      <c r="AK187" s="227"/>
      <c r="AL187" s="227"/>
      <c r="AM187" s="227"/>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4"/>
        <v>0</v>
      </c>
      <c r="N188" s="312">
        <f t="shared" si="105"/>
        <v>0</v>
      </c>
      <c r="O188" s="346">
        <v>0</v>
      </c>
      <c r="P188" s="347">
        <v>0</v>
      </c>
      <c r="Q188" s="347">
        <v>0</v>
      </c>
      <c r="R188" s="347">
        <v>0</v>
      </c>
      <c r="S188" s="347">
        <v>0</v>
      </c>
      <c r="T188" s="347">
        <v>0</v>
      </c>
      <c r="U188" s="347">
        <v>0</v>
      </c>
      <c r="V188" s="347">
        <v>0</v>
      </c>
      <c r="W188" s="347">
        <v>0</v>
      </c>
      <c r="X188" s="347">
        <v>0</v>
      </c>
      <c r="Y188" s="381">
        <v>0</v>
      </c>
      <c r="Z188" s="310">
        <f t="shared" si="106"/>
        <v>0</v>
      </c>
      <c r="AA188" s="312">
        <f t="shared" si="107"/>
        <v>0</v>
      </c>
      <c r="AB188" s="949">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50">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8">
        <f t="shared" si="108"/>
        <v>0</v>
      </c>
      <c r="AE188" s="1232">
        <f t="shared" si="101"/>
        <v>0</v>
      </c>
      <c r="AF188" s="1233">
        <f t="shared" si="102"/>
        <v>0</v>
      </c>
      <c r="AG188" s="1233">
        <f t="shared" si="103"/>
        <v>0</v>
      </c>
      <c r="AH188" s="1174">
        <f t="shared" si="109"/>
        <v>0</v>
      </c>
      <c r="AI188" s="1234">
        <f t="shared" si="110"/>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4"/>
        <v>0</v>
      </c>
      <c r="N189" s="284">
        <f t="shared" si="105"/>
        <v>0</v>
      </c>
      <c r="O189" s="342">
        <v>0</v>
      </c>
      <c r="P189" s="343">
        <v>0</v>
      </c>
      <c r="Q189" s="343">
        <v>0</v>
      </c>
      <c r="R189" s="343">
        <v>0</v>
      </c>
      <c r="S189" s="343">
        <v>0</v>
      </c>
      <c r="T189" s="343">
        <v>0</v>
      </c>
      <c r="U189" s="343">
        <v>0</v>
      </c>
      <c r="V189" s="343">
        <v>0</v>
      </c>
      <c r="W189" s="343">
        <v>0</v>
      </c>
      <c r="X189" s="343">
        <v>0</v>
      </c>
      <c r="Y189" s="379">
        <v>0</v>
      </c>
      <c r="Z189" s="282">
        <f t="shared" si="106"/>
        <v>0</v>
      </c>
      <c r="AA189" s="284">
        <f t="shared" si="107"/>
        <v>0</v>
      </c>
      <c r="AB189" s="949">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50">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8">
        <f t="shared" si="108"/>
        <v>0</v>
      </c>
      <c r="AE189" s="1232">
        <f t="shared" si="101"/>
        <v>0</v>
      </c>
      <c r="AF189" s="1233">
        <f t="shared" si="102"/>
        <v>0</v>
      </c>
      <c r="AG189" s="1233">
        <f t="shared" si="103"/>
        <v>0</v>
      </c>
      <c r="AH189" s="1174">
        <f t="shared" si="109"/>
        <v>0</v>
      </c>
      <c r="AI189" s="1234">
        <f t="shared" si="110"/>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4"/>
        <v>0</v>
      </c>
      <c r="N190" s="298">
        <f t="shared" si="105"/>
        <v>0</v>
      </c>
      <c r="O190" s="344">
        <v>0</v>
      </c>
      <c r="P190" s="345">
        <v>0</v>
      </c>
      <c r="Q190" s="345">
        <v>0</v>
      </c>
      <c r="R190" s="345">
        <v>0</v>
      </c>
      <c r="S190" s="345">
        <v>0</v>
      </c>
      <c r="T190" s="345">
        <v>0</v>
      </c>
      <c r="U190" s="345">
        <v>0</v>
      </c>
      <c r="V190" s="345">
        <v>0</v>
      </c>
      <c r="W190" s="345">
        <v>0</v>
      </c>
      <c r="X190" s="345">
        <v>0</v>
      </c>
      <c r="Y190" s="380">
        <v>0</v>
      </c>
      <c r="Z190" s="296">
        <f t="shared" si="106"/>
        <v>0</v>
      </c>
      <c r="AA190" s="298">
        <f t="shared" si="107"/>
        <v>0</v>
      </c>
      <c r="AB190" s="949">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50">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8">
        <f t="shared" si="108"/>
        <v>0</v>
      </c>
      <c r="AE190" s="1232">
        <f t="shared" si="101"/>
        <v>0</v>
      </c>
      <c r="AF190" s="1233">
        <f t="shared" si="102"/>
        <v>0</v>
      </c>
      <c r="AG190" s="1233">
        <f t="shared" si="103"/>
        <v>0</v>
      </c>
      <c r="AH190" s="1174">
        <f t="shared" si="109"/>
        <v>0</v>
      </c>
      <c r="AI190" s="1234">
        <f t="shared" si="110"/>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4"/>
        <v>0</v>
      </c>
      <c r="N191" s="298">
        <f t="shared" si="105"/>
        <v>0</v>
      </c>
      <c r="O191" s="344">
        <v>0</v>
      </c>
      <c r="P191" s="345">
        <v>0</v>
      </c>
      <c r="Q191" s="345">
        <v>0</v>
      </c>
      <c r="R191" s="345">
        <v>0</v>
      </c>
      <c r="S191" s="345">
        <v>0</v>
      </c>
      <c r="T191" s="345">
        <v>0</v>
      </c>
      <c r="U191" s="345">
        <v>0</v>
      </c>
      <c r="V191" s="345">
        <v>0</v>
      </c>
      <c r="W191" s="345">
        <v>0</v>
      </c>
      <c r="X191" s="345">
        <v>0</v>
      </c>
      <c r="Y191" s="380">
        <v>0</v>
      </c>
      <c r="Z191" s="296">
        <f t="shared" si="106"/>
        <v>0</v>
      </c>
      <c r="AA191" s="298">
        <f t="shared" si="107"/>
        <v>0</v>
      </c>
      <c r="AB191" s="949">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50">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8">
        <f t="shared" si="108"/>
        <v>0</v>
      </c>
      <c r="AE191" s="1232">
        <f t="shared" si="101"/>
        <v>0</v>
      </c>
      <c r="AF191" s="1233">
        <f t="shared" si="102"/>
        <v>0</v>
      </c>
      <c r="AG191" s="1233">
        <f t="shared" si="103"/>
        <v>0</v>
      </c>
      <c r="AH191" s="1174">
        <f t="shared" si="109"/>
        <v>0</v>
      </c>
      <c r="AI191" s="1234">
        <f t="shared" si="110"/>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4"/>
        <v>0</v>
      </c>
      <c r="N192" s="298">
        <f t="shared" si="105"/>
        <v>0</v>
      </c>
      <c r="O192" s="344">
        <v>0</v>
      </c>
      <c r="P192" s="345">
        <v>0</v>
      </c>
      <c r="Q192" s="345">
        <v>0</v>
      </c>
      <c r="R192" s="345">
        <v>0</v>
      </c>
      <c r="S192" s="345">
        <v>0</v>
      </c>
      <c r="T192" s="345">
        <v>0</v>
      </c>
      <c r="U192" s="345">
        <v>0</v>
      </c>
      <c r="V192" s="345">
        <v>0</v>
      </c>
      <c r="W192" s="345">
        <v>0</v>
      </c>
      <c r="X192" s="345">
        <v>0</v>
      </c>
      <c r="Y192" s="380">
        <v>0</v>
      </c>
      <c r="Z192" s="296">
        <f t="shared" si="106"/>
        <v>0</v>
      </c>
      <c r="AA192" s="298">
        <f t="shared" si="107"/>
        <v>0</v>
      </c>
      <c r="AB192" s="949">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50">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8">
        <f t="shared" si="108"/>
        <v>0</v>
      </c>
      <c r="AE192" s="1232">
        <f t="shared" si="101"/>
        <v>0</v>
      </c>
      <c r="AF192" s="1233">
        <f t="shared" si="102"/>
        <v>0</v>
      </c>
      <c r="AG192" s="1233">
        <f t="shared" si="103"/>
        <v>0</v>
      </c>
      <c r="AH192" s="1174">
        <f t="shared" si="109"/>
        <v>0</v>
      </c>
      <c r="AI192" s="1234">
        <f t="shared" si="110"/>
        <v>0</v>
      </c>
      <c r="AJ192" s="227"/>
      <c r="AK192" s="227"/>
      <c r="AL192" s="227"/>
      <c r="AM192" s="227"/>
    </row>
    <row r="193" spans="1:39"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4"/>
        <v>0</v>
      </c>
      <c r="N193" s="312">
        <f t="shared" si="105"/>
        <v>0</v>
      </c>
      <c r="O193" s="346">
        <v>0</v>
      </c>
      <c r="P193" s="347">
        <v>0</v>
      </c>
      <c r="Q193" s="347">
        <v>0</v>
      </c>
      <c r="R193" s="347">
        <v>0</v>
      </c>
      <c r="S193" s="347">
        <v>0</v>
      </c>
      <c r="T193" s="347">
        <v>0</v>
      </c>
      <c r="U193" s="347">
        <v>0</v>
      </c>
      <c r="V193" s="347">
        <v>0</v>
      </c>
      <c r="W193" s="347">
        <v>0</v>
      </c>
      <c r="X193" s="347">
        <v>0</v>
      </c>
      <c r="Y193" s="381">
        <v>0</v>
      </c>
      <c r="Z193" s="310">
        <f t="shared" si="106"/>
        <v>0</v>
      </c>
      <c r="AA193" s="312">
        <f t="shared" si="107"/>
        <v>0</v>
      </c>
      <c r="AB193" s="949">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50">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8">
        <f t="shared" si="108"/>
        <v>0</v>
      </c>
      <c r="AE193" s="1232">
        <f t="shared" si="101"/>
        <v>0</v>
      </c>
      <c r="AF193" s="1233">
        <f t="shared" si="102"/>
        <v>0</v>
      </c>
      <c r="AG193" s="1233">
        <f t="shared" si="103"/>
        <v>0</v>
      </c>
      <c r="AH193" s="1174">
        <f t="shared" si="109"/>
        <v>0</v>
      </c>
      <c r="AI193" s="1234">
        <f t="shared" si="110"/>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104"/>
        <v>0</v>
      </c>
      <c r="N194" s="284">
        <f t="shared" si="105"/>
        <v>0</v>
      </c>
      <c r="O194" s="342">
        <v>0</v>
      </c>
      <c r="P194" s="343">
        <v>0</v>
      </c>
      <c r="Q194" s="343">
        <v>0</v>
      </c>
      <c r="R194" s="343">
        <v>0</v>
      </c>
      <c r="S194" s="343">
        <v>0</v>
      </c>
      <c r="T194" s="343">
        <v>0</v>
      </c>
      <c r="U194" s="343">
        <v>0</v>
      </c>
      <c r="V194" s="343">
        <v>0</v>
      </c>
      <c r="W194" s="343">
        <v>0</v>
      </c>
      <c r="X194" s="343">
        <v>0</v>
      </c>
      <c r="Y194" s="379">
        <v>0</v>
      </c>
      <c r="Z194" s="282">
        <f t="shared" si="106"/>
        <v>0</v>
      </c>
      <c r="AA194" s="284">
        <f t="shared" si="107"/>
        <v>0</v>
      </c>
      <c r="AB194" s="949">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50">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8">
        <f t="shared" si="108"/>
        <v>0</v>
      </c>
      <c r="AE194" s="1232">
        <f t="shared" si="101"/>
        <v>0</v>
      </c>
      <c r="AF194" s="1233">
        <f t="shared" si="102"/>
        <v>0</v>
      </c>
      <c r="AG194" s="1233">
        <f t="shared" si="103"/>
        <v>0</v>
      </c>
      <c r="AH194" s="1174">
        <f t="shared" si="109"/>
        <v>0</v>
      </c>
      <c r="AI194" s="1234">
        <f t="shared" si="110"/>
        <v>0</v>
      </c>
      <c r="AJ194" s="227"/>
      <c r="AK194" s="227"/>
      <c r="AL194" s="227"/>
      <c r="AM194" s="227"/>
    </row>
    <row r="195" spans="1:39" x14ac:dyDescent="0.2">
      <c r="A195" s="330">
        <v>2022</v>
      </c>
      <c r="B195" s="344">
        <v>0</v>
      </c>
      <c r="C195" s="345">
        <v>0</v>
      </c>
      <c r="D195" s="345">
        <v>7.3051756111908856E-4</v>
      </c>
      <c r="E195" s="345">
        <v>5.4295550077311169E-3</v>
      </c>
      <c r="F195" s="345">
        <v>8.4501471176710568E-3</v>
      </c>
      <c r="G195" s="345">
        <v>1.022848492722909E-2</v>
      </c>
      <c r="H195" s="345">
        <v>1.2687157803448222E-2</v>
      </c>
      <c r="I195" s="345">
        <v>1.3371079744251104E-2</v>
      </c>
      <c r="J195" s="345">
        <v>1.3977223941981807E-2</v>
      </c>
      <c r="K195" s="345">
        <v>1.4493775728707725E-2</v>
      </c>
      <c r="L195" s="380">
        <v>1.4493775728707725E-2</v>
      </c>
      <c r="M195" s="296">
        <f t="shared" si="104"/>
        <v>7.3542226626367268E-4</v>
      </c>
      <c r="N195" s="298">
        <f t="shared" si="105"/>
        <v>2.3414873065273856E-4</v>
      </c>
      <c r="O195" s="344">
        <v>0</v>
      </c>
      <c r="P195" s="345">
        <v>0</v>
      </c>
      <c r="Q195" s="345">
        <v>1.3787185115239861E-3</v>
      </c>
      <c r="R195" s="345">
        <v>6.1917580877435827E-3</v>
      </c>
      <c r="S195" s="345">
        <v>9.3069655644467952E-3</v>
      </c>
      <c r="T195" s="345">
        <v>1.1114796659835438E-2</v>
      </c>
      <c r="U195" s="345">
        <v>1.2613838156897034E-2</v>
      </c>
      <c r="V195" s="345">
        <v>1.365737981435261E-2</v>
      </c>
      <c r="W195" s="345">
        <v>1.4229907541410422E-2</v>
      </c>
      <c r="X195" s="345">
        <v>1.4493775728707725E-2</v>
      </c>
      <c r="Y195" s="380">
        <v>1.4922216210263864E-2</v>
      </c>
      <c r="Z195" s="296">
        <f t="shared" si="106"/>
        <v>1.3577152583681786E-3</v>
      </c>
      <c r="AA195" s="298">
        <f t="shared" si="107"/>
        <v>3.9610152423411727E-4</v>
      </c>
      <c r="AB195" s="949">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50">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8">
        <f t="shared" si="108"/>
        <v>0</v>
      </c>
      <c r="AE195" s="1232">
        <f>SUMPRODUCT($B$74:$L$74,B195:L195)</f>
        <v>7.3542226626367268E-4</v>
      </c>
      <c r="AF195" s="1233">
        <f>SUMPRODUCT($O$74:$Y$74,O195:Y195)</f>
        <v>1.3577152583681786E-3</v>
      </c>
      <c r="AG195" s="1233">
        <f>SUM(AE195:AF195)</f>
        <v>2.0931375246318511E-3</v>
      </c>
      <c r="AH195" s="1174">
        <f t="shared" si="109"/>
        <v>0.35134923415651892</v>
      </c>
      <c r="AI195" s="1234">
        <f t="shared" si="110"/>
        <v>0.64865076584348114</v>
      </c>
      <c r="AJ195" s="227"/>
      <c r="AK195" s="227"/>
      <c r="AL195" s="227"/>
      <c r="AM195" s="227"/>
    </row>
    <row r="196" spans="1:39" x14ac:dyDescent="0.2">
      <c r="A196" s="330">
        <v>2023</v>
      </c>
      <c r="B196" s="344">
        <v>0</v>
      </c>
      <c r="C196" s="345">
        <v>0</v>
      </c>
      <c r="D196" s="345">
        <v>4.7903087807992135E-3</v>
      </c>
      <c r="E196" s="345">
        <v>1.9447485537082403E-2</v>
      </c>
      <c r="F196" s="345">
        <v>2.5956068793615474E-2</v>
      </c>
      <c r="G196" s="345">
        <v>3.0427030781822476E-2</v>
      </c>
      <c r="H196" s="345">
        <v>3.4702840638694013E-2</v>
      </c>
      <c r="I196" s="345">
        <v>3.5388440780075574E-2</v>
      </c>
      <c r="J196" s="345">
        <v>3.6640079922235134E-2</v>
      </c>
      <c r="K196" s="345">
        <v>3.7627319978568108E-2</v>
      </c>
      <c r="L196" s="380">
        <v>3.7627319978568108E-2</v>
      </c>
      <c r="M196" s="296">
        <f t="shared" si="104"/>
        <v>2.522082972391967E-3</v>
      </c>
      <c r="N196" s="298">
        <f t="shared" si="105"/>
        <v>8.8078332399351453E-4</v>
      </c>
      <c r="O196" s="344">
        <v>0</v>
      </c>
      <c r="P196" s="345">
        <v>2.0872121207863465E-5</v>
      </c>
      <c r="Q196" s="345">
        <v>7.3714296023587745E-3</v>
      </c>
      <c r="R196" s="345">
        <v>2.1808875736646697E-2</v>
      </c>
      <c r="S196" s="345">
        <v>2.7402480074126725E-2</v>
      </c>
      <c r="T196" s="345">
        <v>3.1215889247660802E-2</v>
      </c>
      <c r="U196" s="345">
        <v>3.4775696101231733E-2</v>
      </c>
      <c r="V196" s="345">
        <v>3.5975010951778782E-2</v>
      </c>
      <c r="W196" s="345">
        <v>3.7123851188968542E-2</v>
      </c>
      <c r="X196" s="345">
        <v>3.7627319978568108E-2</v>
      </c>
      <c r="Y196" s="380">
        <v>3.8032319367012381E-2</v>
      </c>
      <c r="Z196" s="296">
        <f t="shared" si="106"/>
        <v>4.3214791252224752E-3</v>
      </c>
      <c r="AA196" s="298">
        <f t="shared" si="107"/>
        <v>1.3742690228151523E-3</v>
      </c>
      <c r="AB196" s="949">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50">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8">
        <f t="shared" si="108"/>
        <v>0</v>
      </c>
      <c r="AE196" s="1232">
        <f t="shared" ref="AE196:AE223" si="111">SUMPRODUCT($B$74:$L$74,B196:L196)</f>
        <v>2.522082972391967E-3</v>
      </c>
      <c r="AF196" s="1233">
        <f t="shared" ref="AF196:AF223" si="112">SUMPRODUCT($O$74:$Y$74,O196:Y196)</f>
        <v>4.3214791252224752E-3</v>
      </c>
      <c r="AG196" s="1233">
        <f t="shared" ref="AG196:AG223" si="113">SUM(AE196:AF196)</f>
        <v>6.8435620976144418E-3</v>
      </c>
      <c r="AH196" s="1174">
        <f t="shared" si="109"/>
        <v>0.36853365782581637</v>
      </c>
      <c r="AI196" s="1234">
        <f t="shared" si="110"/>
        <v>0.63146634217418363</v>
      </c>
      <c r="AJ196" s="227"/>
      <c r="AK196" s="227"/>
      <c r="AL196" s="227"/>
      <c r="AM196" s="227"/>
    </row>
    <row r="197" spans="1:39" x14ac:dyDescent="0.2">
      <c r="A197" s="330">
        <v>2024</v>
      </c>
      <c r="B197" s="344">
        <v>0</v>
      </c>
      <c r="C197" s="345">
        <v>3.0430960378761697E-4</v>
      </c>
      <c r="D197" s="345">
        <v>2.2674953054569187E-2</v>
      </c>
      <c r="E197" s="345">
        <v>5.512966196677252E-2</v>
      </c>
      <c r="F197" s="345">
        <v>6.6670928013884356E-2</v>
      </c>
      <c r="G197" s="345">
        <v>7.3074857600285245E-2</v>
      </c>
      <c r="H197" s="345">
        <v>8.2009085360883346E-2</v>
      </c>
      <c r="I197" s="345">
        <v>8.3238779350409506E-2</v>
      </c>
      <c r="J197" s="345">
        <v>8.4216591812777131E-2</v>
      </c>
      <c r="K197" s="345">
        <v>8.6055140914455361E-2</v>
      </c>
      <c r="L197" s="380">
        <v>8.6055140914455361E-2</v>
      </c>
      <c r="M197" s="296">
        <f t="shared" si="104"/>
        <v>7.5348206833777834E-3</v>
      </c>
      <c r="N197" s="298">
        <f t="shared" si="105"/>
        <v>2.8959586105517924E-3</v>
      </c>
      <c r="O197" s="344">
        <v>0</v>
      </c>
      <c r="P197" s="345">
        <v>4.7313603294005545E-4</v>
      </c>
      <c r="Q197" s="345">
        <v>2.8389331896396638E-2</v>
      </c>
      <c r="R197" s="345">
        <v>5.6964443181190733E-2</v>
      </c>
      <c r="S197" s="345">
        <v>6.9149953538416672E-2</v>
      </c>
      <c r="T197" s="345">
        <v>7.7288217871691392E-2</v>
      </c>
      <c r="U197" s="345">
        <v>8.2009085360883346E-2</v>
      </c>
      <c r="V197" s="345">
        <v>8.4568184940039481E-2</v>
      </c>
      <c r="W197" s="345">
        <v>8.5355128425110838E-2</v>
      </c>
      <c r="X197" s="345">
        <v>8.6055140914455361E-2</v>
      </c>
      <c r="Y197" s="380">
        <v>8.6746374317067623E-2</v>
      </c>
      <c r="Z197" s="296">
        <f t="shared" si="106"/>
        <v>1.1655744707249321E-2</v>
      </c>
      <c r="AA197" s="298">
        <f t="shared" si="107"/>
        <v>4.0181747133351551E-3</v>
      </c>
      <c r="AB197" s="949">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50">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8">
        <f t="shared" si="108"/>
        <v>0</v>
      </c>
      <c r="AE197" s="1232">
        <f t="shared" si="111"/>
        <v>7.5348206833777834E-3</v>
      </c>
      <c r="AF197" s="1233">
        <f t="shared" si="112"/>
        <v>1.1655744707249321E-2</v>
      </c>
      <c r="AG197" s="1233">
        <f t="shared" si="113"/>
        <v>1.9190565390627103E-2</v>
      </c>
      <c r="AH197" s="1174">
        <f t="shared" si="109"/>
        <v>0.39263151084948639</v>
      </c>
      <c r="AI197" s="1234">
        <f t="shared" si="110"/>
        <v>0.60736848915051367</v>
      </c>
      <c r="AJ197" s="227"/>
      <c r="AK197" s="227"/>
      <c r="AL197" s="227"/>
      <c r="AM197" s="227"/>
    </row>
    <row r="198" spans="1:39" ht="13.5" thickBot="1" x14ac:dyDescent="0.25">
      <c r="A198" s="328">
        <v>2025</v>
      </c>
      <c r="B198" s="346">
        <v>0</v>
      </c>
      <c r="C198" s="347">
        <v>2.9977674260346639E-3</v>
      </c>
      <c r="D198" s="347">
        <v>6.4265576935482835E-2</v>
      </c>
      <c r="E198" s="347">
        <v>0.1159189686128119</v>
      </c>
      <c r="F198" s="347">
        <v>0.13767549244811988</v>
      </c>
      <c r="G198" s="347">
        <v>0.14565519419081846</v>
      </c>
      <c r="H198" s="347">
        <v>0.15667332223100286</v>
      </c>
      <c r="I198" s="347">
        <v>0.15812029381654011</v>
      </c>
      <c r="J198" s="347">
        <v>0.16081352215621803</v>
      </c>
      <c r="K198" s="347">
        <v>0.16170840294695274</v>
      </c>
      <c r="L198" s="381">
        <v>0.16170840294695274</v>
      </c>
      <c r="M198" s="310">
        <f t="shared" si="104"/>
        <v>1.7313542162522417E-2</v>
      </c>
      <c r="N198" s="312">
        <f t="shared" si="105"/>
        <v>7.1919020312351083E-3</v>
      </c>
      <c r="O198" s="346">
        <v>0</v>
      </c>
      <c r="P198" s="347">
        <v>4.8638014689553139E-3</v>
      </c>
      <c r="Q198" s="347">
        <v>7.5503589113493974E-2</v>
      </c>
      <c r="R198" s="347">
        <v>0.125707332991466</v>
      </c>
      <c r="S198" s="347">
        <v>0.14184919255790943</v>
      </c>
      <c r="T198" s="347">
        <v>0.15125784839046164</v>
      </c>
      <c r="U198" s="347">
        <v>0.15564666240807803</v>
      </c>
      <c r="V198" s="347">
        <v>0.15972922324303487</v>
      </c>
      <c r="W198" s="347">
        <v>0.16081352215621803</v>
      </c>
      <c r="X198" s="347">
        <v>0.16170840294695274</v>
      </c>
      <c r="Y198" s="381">
        <v>0.16242927727620671</v>
      </c>
      <c r="Z198" s="310">
        <f t="shared" si="106"/>
        <v>2.6256163850807653E-2</v>
      </c>
      <c r="AA198" s="312">
        <f t="shared" si="107"/>
        <v>1.0111667605657262E-2</v>
      </c>
      <c r="AB198" s="949">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50">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8">
        <f t="shared" si="108"/>
        <v>0</v>
      </c>
      <c r="AE198" s="1232">
        <f t="shared" si="111"/>
        <v>1.7313542162522417E-2</v>
      </c>
      <c r="AF198" s="1233">
        <f t="shared" si="112"/>
        <v>2.6256163850807653E-2</v>
      </c>
      <c r="AG198" s="1233">
        <f t="shared" si="113"/>
        <v>4.3569706013330073E-2</v>
      </c>
      <c r="AH198" s="1174">
        <f t="shared" si="109"/>
        <v>0.39737569395637806</v>
      </c>
      <c r="AI198" s="1234">
        <f t="shared" si="110"/>
        <v>0.60262430604362183</v>
      </c>
      <c r="AJ198" s="227"/>
      <c r="AK198" s="227"/>
      <c r="AL198" s="227"/>
      <c r="AM198" s="227"/>
    </row>
    <row r="199" spans="1:39" x14ac:dyDescent="0.2">
      <c r="A199" s="329">
        <v>2026</v>
      </c>
      <c r="B199" s="342">
        <v>0</v>
      </c>
      <c r="C199" s="343">
        <v>1.0109223783870672E-2</v>
      </c>
      <c r="D199" s="343">
        <v>0.10358827857989898</v>
      </c>
      <c r="E199" s="343">
        <v>0.18130971736580606</v>
      </c>
      <c r="F199" s="343">
        <v>0.20501342207171039</v>
      </c>
      <c r="G199" s="343">
        <v>0.21637331262938833</v>
      </c>
      <c r="H199" s="343">
        <v>0.23135943360982178</v>
      </c>
      <c r="I199" s="343">
        <v>0.2337128563789953</v>
      </c>
      <c r="J199" s="343">
        <v>0.23529863910941012</v>
      </c>
      <c r="K199" s="343">
        <v>0.23650008863959748</v>
      </c>
      <c r="L199" s="379">
        <v>0.23650008863959748</v>
      </c>
      <c r="M199" s="282">
        <f t="shared" si="104"/>
        <v>2.7683219199782016E-2</v>
      </c>
      <c r="N199" s="284">
        <f t="shared" si="105"/>
        <v>1.205349756337214E-2</v>
      </c>
      <c r="O199" s="342">
        <v>0</v>
      </c>
      <c r="P199" s="343">
        <v>1.3687977405162711E-2</v>
      </c>
      <c r="Q199" s="343">
        <v>0.12258352419896183</v>
      </c>
      <c r="R199" s="343">
        <v>0.1884154255013607</v>
      </c>
      <c r="S199" s="343">
        <v>0.21097330970114819</v>
      </c>
      <c r="T199" s="343">
        <v>0.22567875817394431</v>
      </c>
      <c r="U199" s="343">
        <v>0.23135943360982178</v>
      </c>
      <c r="V199" s="343">
        <v>0.23529863910941012</v>
      </c>
      <c r="W199" s="343">
        <v>0.23655268049360856</v>
      </c>
      <c r="X199" s="343">
        <v>0.23640378020898994</v>
      </c>
      <c r="Y199" s="379">
        <v>0.23682799123310849</v>
      </c>
      <c r="Z199" s="282">
        <f t="shared" si="106"/>
        <v>4.1686186870018731E-2</v>
      </c>
      <c r="AA199" s="284">
        <f t="shared" si="107"/>
        <v>1.7195084697049692E-2</v>
      </c>
      <c r="AB199" s="949">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50">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8">
        <f t="shared" si="108"/>
        <v>0</v>
      </c>
      <c r="AE199" s="1232">
        <f t="shared" si="111"/>
        <v>2.7683219199782016E-2</v>
      </c>
      <c r="AF199" s="1233">
        <f t="shared" si="112"/>
        <v>4.1686186870018731E-2</v>
      </c>
      <c r="AG199" s="1233">
        <f t="shared" si="113"/>
        <v>6.9369406069800743E-2</v>
      </c>
      <c r="AH199" s="1174">
        <f t="shared" si="109"/>
        <v>0.39906957213856875</v>
      </c>
      <c r="AI199" s="1234">
        <f t="shared" si="110"/>
        <v>0.60093042786143136</v>
      </c>
      <c r="AJ199" s="227"/>
      <c r="AK199" s="227"/>
      <c r="AL199" s="227"/>
      <c r="AM199" s="227"/>
    </row>
    <row r="200" spans="1:39" x14ac:dyDescent="0.2">
      <c r="A200" s="330">
        <v>2027</v>
      </c>
      <c r="B200" s="344">
        <v>0</v>
      </c>
      <c r="C200" s="345">
        <v>2.0886620182880091E-2</v>
      </c>
      <c r="D200" s="345">
        <v>0.14491821114905196</v>
      </c>
      <c r="E200" s="345">
        <v>0.22718084906670685</v>
      </c>
      <c r="F200" s="345">
        <v>0.25437232562222761</v>
      </c>
      <c r="G200" s="345">
        <v>0.26451641888742766</v>
      </c>
      <c r="H200" s="345">
        <v>0.28117507040988282</v>
      </c>
      <c r="I200" s="345">
        <v>0.2836613115313607</v>
      </c>
      <c r="J200" s="345">
        <v>0.28488403290645564</v>
      </c>
      <c r="K200" s="345">
        <v>0.28403972135780886</v>
      </c>
      <c r="L200" s="380">
        <v>0.28403972135780886</v>
      </c>
      <c r="M200" s="296">
        <f t="shared" si="104"/>
        <v>3.7040006731763338E-2</v>
      </c>
      <c r="N200" s="298">
        <f t="shared" si="105"/>
        <v>1.6985388093061337E-2</v>
      </c>
      <c r="O200" s="344">
        <v>0</v>
      </c>
      <c r="P200" s="345">
        <v>2.9481766030148279E-2</v>
      </c>
      <c r="Q200" s="345">
        <v>0.15959461243348036</v>
      </c>
      <c r="R200" s="345">
        <v>0.23200132978503654</v>
      </c>
      <c r="S200" s="345">
        <v>0.26088211489428331</v>
      </c>
      <c r="T200" s="345">
        <v>0.27493710189147508</v>
      </c>
      <c r="U200" s="345">
        <v>0.28177150341115459</v>
      </c>
      <c r="V200" s="345">
        <v>0.28263342916231698</v>
      </c>
      <c r="W200" s="345">
        <v>0.28369095359702529</v>
      </c>
      <c r="X200" s="345">
        <v>0.28334288898759979</v>
      </c>
      <c r="Y200" s="380">
        <v>0.2787595690550817</v>
      </c>
      <c r="Z200" s="296">
        <f t="shared" si="106"/>
        <v>5.5202153991226528E-2</v>
      </c>
      <c r="AA200" s="298">
        <f t="shared" si="107"/>
        <v>2.4762437659850669E-2</v>
      </c>
      <c r="AB200" s="949">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50">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8">
        <f t="shared" si="108"/>
        <v>0</v>
      </c>
      <c r="AE200" s="1232">
        <f t="shared" si="111"/>
        <v>3.7040006731763338E-2</v>
      </c>
      <c r="AF200" s="1233">
        <f t="shared" si="112"/>
        <v>5.5202153991226528E-2</v>
      </c>
      <c r="AG200" s="1233">
        <f t="shared" si="113"/>
        <v>9.2242160722989866E-2</v>
      </c>
      <c r="AH200" s="1174">
        <f t="shared" si="109"/>
        <v>0.40155181146501173</v>
      </c>
      <c r="AI200" s="1234">
        <f t="shared" si="110"/>
        <v>0.59844818853498827</v>
      </c>
      <c r="AJ200" s="227"/>
      <c r="AK200" s="227"/>
      <c r="AL200" s="227"/>
      <c r="AM200" s="227"/>
    </row>
    <row r="201" spans="1:39" x14ac:dyDescent="0.2">
      <c r="A201" s="330">
        <v>2028</v>
      </c>
      <c r="B201" s="344">
        <v>0</v>
      </c>
      <c r="C201" s="345">
        <v>3.4750063985243704E-2</v>
      </c>
      <c r="D201" s="345">
        <v>0.17274008759321494</v>
      </c>
      <c r="E201" s="345">
        <v>0.25109125951054484</v>
      </c>
      <c r="F201" s="345">
        <v>0.28234142472188722</v>
      </c>
      <c r="G201" s="345">
        <v>0.29222169743734233</v>
      </c>
      <c r="H201" s="345">
        <v>0.30348168838566253</v>
      </c>
      <c r="I201" s="345">
        <v>0.30519711666107185</v>
      </c>
      <c r="J201" s="345">
        <v>0.30511594805301229</v>
      </c>
      <c r="K201" s="345">
        <v>0.29975837162391716</v>
      </c>
      <c r="L201" s="380">
        <v>0.29975837162391716</v>
      </c>
      <c r="M201" s="296">
        <f t="shared" si="104"/>
        <v>4.3677970757740665E-2</v>
      </c>
      <c r="N201" s="298">
        <f t="shared" si="105"/>
        <v>2.1041674440197753E-2</v>
      </c>
      <c r="O201" s="344">
        <v>0</v>
      </c>
      <c r="P201" s="345">
        <v>4.1870164986102187E-2</v>
      </c>
      <c r="Q201" s="345">
        <v>0.19207556299789377</v>
      </c>
      <c r="R201" s="345">
        <v>0.26752228217007024</v>
      </c>
      <c r="S201" s="345">
        <v>0.28627299460384859</v>
      </c>
      <c r="T201" s="345">
        <v>0.29716791916236746</v>
      </c>
      <c r="U201" s="345">
        <v>0.30314777717276242</v>
      </c>
      <c r="V201" s="345">
        <v>0.30552215448060505</v>
      </c>
      <c r="W201" s="345">
        <v>0.30158217096120032</v>
      </c>
      <c r="X201" s="345">
        <v>0.29767759568082758</v>
      </c>
      <c r="Y201" s="380">
        <v>0.28908161846353986</v>
      </c>
      <c r="Z201" s="296">
        <f t="shared" si="106"/>
        <v>6.5025007177037158E-2</v>
      </c>
      <c r="AA201" s="298">
        <f t="shared" si="107"/>
        <v>3.0632466801871962E-2</v>
      </c>
      <c r="AB201" s="949">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50">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8">
        <f t="shared" si="108"/>
        <v>0</v>
      </c>
      <c r="AE201" s="1232">
        <f t="shared" si="111"/>
        <v>4.3677970757740665E-2</v>
      </c>
      <c r="AF201" s="1233">
        <f t="shared" si="112"/>
        <v>6.5025007177037158E-2</v>
      </c>
      <c r="AG201" s="1233">
        <f t="shared" si="113"/>
        <v>0.10870297793477782</v>
      </c>
      <c r="AH201" s="1174">
        <f t="shared" si="109"/>
        <v>0.40181025016580141</v>
      </c>
      <c r="AI201" s="1234">
        <f t="shared" si="110"/>
        <v>0.5981897498341987</v>
      </c>
      <c r="AJ201" s="227"/>
      <c r="AK201" s="227"/>
      <c r="AL201" s="227"/>
      <c r="AM201" s="227"/>
    </row>
    <row r="202" spans="1:39" x14ac:dyDescent="0.2">
      <c r="A202" s="330">
        <v>2029</v>
      </c>
      <c r="B202" s="344">
        <v>0</v>
      </c>
      <c r="C202" s="345">
        <v>5.1416850369075111E-2</v>
      </c>
      <c r="D202" s="345">
        <v>0.19816305320837432</v>
      </c>
      <c r="E202" s="345">
        <v>0.27598155236766214</v>
      </c>
      <c r="F202" s="345">
        <v>0.29532124606991372</v>
      </c>
      <c r="G202" s="345">
        <v>0.30485909172394221</v>
      </c>
      <c r="H202" s="345">
        <v>0.31254873572247571</v>
      </c>
      <c r="I202" s="345">
        <v>0.3103835598347594</v>
      </c>
      <c r="J202" s="345">
        <v>0.30427464548448468</v>
      </c>
      <c r="K202" s="345">
        <v>0.29395147243730235</v>
      </c>
      <c r="L202" s="380">
        <v>0.29395147243730235</v>
      </c>
      <c r="M202" s="296">
        <f t="shared" si="104"/>
        <v>4.9970585495521774E-2</v>
      </c>
      <c r="N202" s="298">
        <f t="shared" si="105"/>
        <v>2.5239017676318472E-2</v>
      </c>
      <c r="O202" s="344">
        <v>0</v>
      </c>
      <c r="P202" s="345">
        <v>6.2226850993089743E-2</v>
      </c>
      <c r="Q202" s="345">
        <v>0.21461028549425498</v>
      </c>
      <c r="R202" s="345">
        <v>0.28400130246331673</v>
      </c>
      <c r="S202" s="345">
        <v>0.29903882512206259</v>
      </c>
      <c r="T202" s="345">
        <v>0.30876276202854958</v>
      </c>
      <c r="U202" s="345">
        <v>0.31084170770662722</v>
      </c>
      <c r="V202" s="345">
        <v>0.3041076692717784</v>
      </c>
      <c r="W202" s="345">
        <v>0.29672512742830598</v>
      </c>
      <c r="X202" s="345">
        <v>0.29215473490573912</v>
      </c>
      <c r="Y202" s="380">
        <v>0.28276119395938565</v>
      </c>
      <c r="Z202" s="296">
        <f t="shared" si="106"/>
        <v>7.3830019541317238E-2</v>
      </c>
      <c r="AA202" s="298">
        <f t="shared" si="107"/>
        <v>3.7390775881349286E-2</v>
      </c>
      <c r="AB202" s="949">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50">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8">
        <f t="shared" si="108"/>
        <v>0</v>
      </c>
      <c r="AE202" s="1232">
        <f t="shared" si="111"/>
        <v>4.9970585495521774E-2</v>
      </c>
      <c r="AF202" s="1233">
        <f t="shared" si="112"/>
        <v>7.3830019541317238E-2</v>
      </c>
      <c r="AG202" s="1233">
        <f t="shared" si="113"/>
        <v>0.12380060503683901</v>
      </c>
      <c r="AH202" s="1174">
        <f t="shared" si="109"/>
        <v>0.40363765169525756</v>
      </c>
      <c r="AI202" s="1234">
        <f t="shared" si="110"/>
        <v>0.59636234830474244</v>
      </c>
      <c r="AJ202" s="227"/>
      <c r="AK202" s="227"/>
      <c r="AL202" s="227"/>
      <c r="AM202" s="227"/>
    </row>
    <row r="203" spans="1:39" ht="13.5" thickBot="1" x14ac:dyDescent="0.25">
      <c r="A203" s="328">
        <v>2030</v>
      </c>
      <c r="B203" s="346">
        <v>0</v>
      </c>
      <c r="C203" s="347">
        <v>6.2998468398974619E-2</v>
      </c>
      <c r="D203" s="347">
        <v>0.2067217936556438</v>
      </c>
      <c r="E203" s="347">
        <v>0.28388536156333205</v>
      </c>
      <c r="F203" s="347">
        <v>0.30260034341192765</v>
      </c>
      <c r="G203" s="347">
        <v>0.31206234401890126</v>
      </c>
      <c r="H203" s="347">
        <v>0.30514584693901564</v>
      </c>
      <c r="I203" s="347">
        <v>0.30017177022386804</v>
      </c>
      <c r="J203" s="347">
        <v>0.29232278627525138</v>
      </c>
      <c r="K203" s="347">
        <v>0.2827334532513463</v>
      </c>
      <c r="L203" s="381">
        <v>0.2827334532513463</v>
      </c>
      <c r="M203" s="310">
        <f t="shared" si="104"/>
        <v>5.2839672436021987E-2</v>
      </c>
      <c r="N203" s="312">
        <f t="shared" si="105"/>
        <v>2.747217996147187E-2</v>
      </c>
      <c r="O203" s="346">
        <v>0</v>
      </c>
      <c r="P203" s="347">
        <v>7.3566479918225056E-2</v>
      </c>
      <c r="Q203" s="347">
        <v>0.22318558857849524</v>
      </c>
      <c r="R203" s="347">
        <v>0.29179607304471156</v>
      </c>
      <c r="S203" s="347">
        <v>0.30429944699994244</v>
      </c>
      <c r="T203" s="347">
        <v>0.31186083313036467</v>
      </c>
      <c r="U203" s="347">
        <v>0.30236593652195676</v>
      </c>
      <c r="V203" s="347">
        <v>0.29429039468378987</v>
      </c>
      <c r="W203" s="347">
        <v>0.28688359708894196</v>
      </c>
      <c r="X203" s="347">
        <v>0.2827334532513463</v>
      </c>
      <c r="Y203" s="381">
        <v>0.27464738168834257</v>
      </c>
      <c r="Z203" s="310">
        <f t="shared" si="106"/>
        <v>7.7773836221462417E-2</v>
      </c>
      <c r="AA203" s="312">
        <f t="shared" si="107"/>
        <v>4.0827201014674762E-2</v>
      </c>
      <c r="AB203" s="949">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50">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8">
        <f t="shared" si="108"/>
        <v>0</v>
      </c>
      <c r="AE203" s="1232">
        <f t="shared" si="111"/>
        <v>5.2839672436021987E-2</v>
      </c>
      <c r="AF203" s="1233">
        <f t="shared" si="112"/>
        <v>7.7773836221462417E-2</v>
      </c>
      <c r="AG203" s="1233">
        <f t="shared" si="113"/>
        <v>0.13061350865748439</v>
      </c>
      <c r="AH203" s="1174">
        <f t="shared" si="109"/>
        <v>0.4045498278021657</v>
      </c>
      <c r="AI203" s="1234">
        <f t="shared" si="110"/>
        <v>0.59545017219783447</v>
      </c>
      <c r="AJ203" s="227"/>
      <c r="AK203" s="227"/>
      <c r="AL203" s="227"/>
      <c r="AM203" s="227"/>
    </row>
    <row r="204" spans="1:39" x14ac:dyDescent="0.2">
      <c r="A204" s="329">
        <v>2031</v>
      </c>
      <c r="B204" s="342">
        <v>0</v>
      </c>
      <c r="C204" s="343">
        <v>6.7359642114293225E-2</v>
      </c>
      <c r="D204" s="343">
        <v>0.21688228524342942</v>
      </c>
      <c r="E204" s="343">
        <v>0.28479319418028554</v>
      </c>
      <c r="F204" s="343">
        <v>0.30293950994074853</v>
      </c>
      <c r="G204" s="343">
        <v>0.30971303351725415</v>
      </c>
      <c r="H204" s="343">
        <v>0.29788679492551734</v>
      </c>
      <c r="I204" s="343">
        <v>0.29290065029088397</v>
      </c>
      <c r="J204" s="343">
        <v>0.28602842158987035</v>
      </c>
      <c r="K204" s="343">
        <v>0.27613969684666456</v>
      </c>
      <c r="L204" s="379">
        <v>0.27613969684666456</v>
      </c>
      <c r="M204" s="282">
        <f t="shared" si="104"/>
        <v>5.4315965052679924E-2</v>
      </c>
      <c r="N204" s="284">
        <f t="shared" si="105"/>
        <v>2.8598663151016026E-2</v>
      </c>
      <c r="O204" s="342">
        <v>0</v>
      </c>
      <c r="P204" s="343">
        <v>8.0270254702881086E-2</v>
      </c>
      <c r="Q204" s="343">
        <v>0.22388685154876159</v>
      </c>
      <c r="R204" s="343">
        <v>0.29255388945300453</v>
      </c>
      <c r="S204" s="343">
        <v>0.30830891916082626</v>
      </c>
      <c r="T204" s="343">
        <v>0.30615543695017267</v>
      </c>
      <c r="U204" s="343">
        <v>0.29425409062255764</v>
      </c>
      <c r="V204" s="343">
        <v>0.2881483064463749</v>
      </c>
      <c r="W204" s="343">
        <v>0.28030465034393259</v>
      </c>
      <c r="X204" s="343">
        <v>0.27613969684666456</v>
      </c>
      <c r="Y204" s="379">
        <v>0.26847992865211018</v>
      </c>
      <c r="Z204" s="282">
        <f t="shared" si="106"/>
        <v>7.9371923909072606E-2</v>
      </c>
      <c r="AA204" s="284">
        <f t="shared" si="107"/>
        <v>4.253734357408763E-2</v>
      </c>
      <c r="AB204" s="949">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50">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8">
        <f t="shared" si="108"/>
        <v>0</v>
      </c>
      <c r="AE204" s="1232">
        <f t="shared" si="111"/>
        <v>5.4315965052679924E-2</v>
      </c>
      <c r="AF204" s="1233">
        <f t="shared" si="112"/>
        <v>7.9371923909072606E-2</v>
      </c>
      <c r="AG204" s="1233">
        <f t="shared" si="113"/>
        <v>0.13368788896175254</v>
      </c>
      <c r="AH204" s="1174">
        <f t="shared" si="109"/>
        <v>0.40628934658560922</v>
      </c>
      <c r="AI204" s="1234">
        <f t="shared" si="110"/>
        <v>0.59371065341439067</v>
      </c>
      <c r="AJ204" s="227"/>
      <c r="AK204" s="227"/>
      <c r="AL204" s="227"/>
      <c r="AM204" s="227"/>
    </row>
    <row r="205" spans="1:39" x14ac:dyDescent="0.2">
      <c r="A205" s="330">
        <v>2032</v>
      </c>
      <c r="B205" s="344">
        <v>0</v>
      </c>
      <c r="C205" s="345">
        <v>6.9359191209993981E-2</v>
      </c>
      <c r="D205" s="345">
        <v>0.21697609800908402</v>
      </c>
      <c r="E205" s="345">
        <v>0.28484085030612005</v>
      </c>
      <c r="F205" s="345">
        <v>0.3008016974807517</v>
      </c>
      <c r="G205" s="345">
        <v>0.30567105653023874</v>
      </c>
      <c r="H205" s="345">
        <v>0.29218422237723068</v>
      </c>
      <c r="I205" s="345">
        <v>0.2836756292696247</v>
      </c>
      <c r="J205" s="345">
        <v>0.27856920453933348</v>
      </c>
      <c r="K205" s="345">
        <v>0.27090495959673072</v>
      </c>
      <c r="L205" s="380">
        <v>0.27090495959673072</v>
      </c>
      <c r="M205" s="296">
        <f t="shared" si="104"/>
        <v>5.4476737317014495E-2</v>
      </c>
      <c r="N205" s="298">
        <f t="shared" si="105"/>
        <v>2.8852964331140287E-2</v>
      </c>
      <c r="O205" s="344">
        <v>0</v>
      </c>
      <c r="P205" s="345">
        <v>8.2641326212560526E-2</v>
      </c>
      <c r="Q205" s="345">
        <v>0.23321204703852841</v>
      </c>
      <c r="R205" s="345">
        <v>0.29185230867236756</v>
      </c>
      <c r="S205" s="345">
        <v>0.30398363086363606</v>
      </c>
      <c r="T205" s="345">
        <v>0.29871432196522146</v>
      </c>
      <c r="U205" s="345">
        <v>0.28799127205171754</v>
      </c>
      <c r="V205" s="345">
        <v>0.28073858142684527</v>
      </c>
      <c r="W205" s="345">
        <v>0.27290494699515588</v>
      </c>
      <c r="X205" s="345">
        <v>0.26897981988135972</v>
      </c>
      <c r="Y205" s="380">
        <v>0.26378173787192211</v>
      </c>
      <c r="Z205" s="296">
        <f t="shared" si="106"/>
        <v>8.0292403285335615E-2</v>
      </c>
      <c r="AA205" s="298">
        <f t="shared" si="107"/>
        <v>4.3462427555716082E-2</v>
      </c>
      <c r="AB205" s="949">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50">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8">
        <f t="shared" si="108"/>
        <v>0</v>
      </c>
      <c r="AE205" s="1232">
        <f t="shared" si="111"/>
        <v>5.4476737317014495E-2</v>
      </c>
      <c r="AF205" s="1233">
        <f t="shared" si="112"/>
        <v>8.0292403285335615E-2</v>
      </c>
      <c r="AG205" s="1233">
        <f t="shared" si="113"/>
        <v>0.13476914060235012</v>
      </c>
      <c r="AH205" s="1174">
        <f t="shared" si="109"/>
        <v>0.40422263638048694</v>
      </c>
      <c r="AI205" s="1234">
        <f t="shared" si="110"/>
        <v>0.59577736361951295</v>
      </c>
      <c r="AJ205" s="227"/>
      <c r="AK205" s="227"/>
      <c r="AL205" s="227"/>
      <c r="AM205" s="227"/>
    </row>
    <row r="206" spans="1:39" x14ac:dyDescent="0.2">
      <c r="A206" s="330">
        <v>2033</v>
      </c>
      <c r="B206" s="344">
        <v>0</v>
      </c>
      <c r="C206" s="345">
        <v>7.5619328743698311E-2</v>
      </c>
      <c r="D206" s="345">
        <v>0.21328421060793884</v>
      </c>
      <c r="E206" s="345">
        <v>0.28410732745231843</v>
      </c>
      <c r="F206" s="345">
        <v>0.29652599530993001</v>
      </c>
      <c r="G206" s="345">
        <v>0.29556950641838814</v>
      </c>
      <c r="H206" s="345">
        <v>0.2825054246605852</v>
      </c>
      <c r="I206" s="345">
        <v>0.27584670526835747</v>
      </c>
      <c r="J206" s="345">
        <v>0.27082222178008053</v>
      </c>
      <c r="K206" s="345">
        <v>0.26559771761609191</v>
      </c>
      <c r="L206" s="380">
        <v>0.26559771761609191</v>
      </c>
      <c r="M206" s="296">
        <f t="shared" si="104"/>
        <v>5.4799348251762088E-2</v>
      </c>
      <c r="N206" s="298">
        <f t="shared" si="105"/>
        <v>2.947726281739018E-2</v>
      </c>
      <c r="O206" s="344">
        <v>0</v>
      </c>
      <c r="P206" s="345">
        <v>8.0572047288344467E-2</v>
      </c>
      <c r="Q206" s="345">
        <v>0.23307898012893663</v>
      </c>
      <c r="R206" s="345">
        <v>0.28917616230726106</v>
      </c>
      <c r="S206" s="345">
        <v>0.29510297613084946</v>
      </c>
      <c r="T206" s="345">
        <v>0.28860461050628289</v>
      </c>
      <c r="U206" s="345">
        <v>0.28028019142914079</v>
      </c>
      <c r="V206" s="345">
        <v>0.272921258984962</v>
      </c>
      <c r="W206" s="345">
        <v>0.26746893870404559</v>
      </c>
      <c r="X206" s="345">
        <v>0.26382941330231968</v>
      </c>
      <c r="Y206" s="380">
        <v>0.26065330535240849</v>
      </c>
      <c r="Z206" s="296">
        <f t="shared" si="106"/>
        <v>7.897065920059354E-2</v>
      </c>
      <c r="AA206" s="298">
        <f t="shared" si="107"/>
        <v>4.272808601791267E-2</v>
      </c>
      <c r="AB206" s="949">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50">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8">
        <f>AB206*AH206+AC206*AI206</f>
        <v>0</v>
      </c>
      <c r="AE206" s="1232">
        <f t="shared" si="111"/>
        <v>5.4799348251762088E-2</v>
      </c>
      <c r="AF206" s="1233">
        <f t="shared" si="112"/>
        <v>7.897065920059354E-2</v>
      </c>
      <c r="AG206" s="1233">
        <f t="shared" si="113"/>
        <v>0.13377000745235562</v>
      </c>
      <c r="AH206" s="1174">
        <f t="shared" si="109"/>
        <v>0.40965347386468354</v>
      </c>
      <c r="AI206" s="1234">
        <f t="shared" si="110"/>
        <v>0.59034652613531646</v>
      </c>
      <c r="AJ206" s="227"/>
      <c r="AK206" s="227"/>
      <c r="AL206" s="227"/>
      <c r="AM206" s="227"/>
    </row>
    <row r="207" spans="1:39" x14ac:dyDescent="0.2">
      <c r="A207" s="330">
        <v>2034</v>
      </c>
      <c r="B207" s="344">
        <v>0</v>
      </c>
      <c r="C207" s="345">
        <v>7.5531327217356101E-2</v>
      </c>
      <c r="D207" s="345">
        <v>0.21307343218749175</v>
      </c>
      <c r="E207" s="345">
        <v>0.28204191486632429</v>
      </c>
      <c r="F207" s="345">
        <v>0.28983958138794041</v>
      </c>
      <c r="G207" s="345">
        <v>0.28763010857535487</v>
      </c>
      <c r="H207" s="345">
        <v>0.27448824693644225</v>
      </c>
      <c r="I207" s="345">
        <v>0.26794881296516382</v>
      </c>
      <c r="J207" s="345">
        <v>0.26528471735066206</v>
      </c>
      <c r="K207" s="345">
        <v>0.26054479493336619</v>
      </c>
      <c r="L207" s="380">
        <v>0.26054479493336619</v>
      </c>
      <c r="M207" s="296">
        <f t="shared" si="104"/>
        <v>5.439185851655047E-2</v>
      </c>
      <c r="N207" s="298">
        <f t="shared" si="105"/>
        <v>2.9346534654379291E-2</v>
      </c>
      <c r="O207" s="344">
        <v>0</v>
      </c>
      <c r="P207" s="345">
        <v>8.0478280414023592E-2</v>
      </c>
      <c r="Q207" s="345">
        <v>0.23283236964446666</v>
      </c>
      <c r="R207" s="345">
        <v>0.28424899501492334</v>
      </c>
      <c r="S207" s="345">
        <v>0.28652263061390387</v>
      </c>
      <c r="T207" s="345">
        <v>0.28110588271710041</v>
      </c>
      <c r="U207" s="345">
        <v>0.27226431021849173</v>
      </c>
      <c r="V207" s="345">
        <v>0.26727584460123394</v>
      </c>
      <c r="W207" s="345">
        <v>0.26222348811898888</v>
      </c>
      <c r="X207" s="345">
        <v>0.26054479493336619</v>
      </c>
      <c r="Y207" s="380">
        <v>0.25634897586317745</v>
      </c>
      <c r="Z207" s="296">
        <f t="shared" si="106"/>
        <v>7.8108034819670852E-2</v>
      </c>
      <c r="AA207" s="298">
        <f t="shared" si="107"/>
        <v>4.2458216957113049E-2</v>
      </c>
      <c r="AB207" s="949">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50">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8">
        <f t="shared" ref="AD207:AD223" si="114">AB207*AH207+AC207*AI207</f>
        <v>0</v>
      </c>
      <c r="AE207" s="1232">
        <f t="shared" si="111"/>
        <v>5.439185851655047E-2</v>
      </c>
      <c r="AF207" s="1233">
        <f t="shared" si="112"/>
        <v>7.8108034819670852E-2</v>
      </c>
      <c r="AG207" s="1233">
        <f t="shared" si="113"/>
        <v>0.13249989333622131</v>
      </c>
      <c r="AH207" s="1174">
        <f t="shared" si="109"/>
        <v>0.41050492303816405</v>
      </c>
      <c r="AI207" s="1234">
        <f t="shared" si="110"/>
        <v>0.58949507696183612</v>
      </c>
      <c r="AJ207" s="227"/>
      <c r="AK207" s="227"/>
      <c r="AL207" s="227"/>
      <c r="AM207" s="227"/>
    </row>
    <row r="208" spans="1:39" ht="13.5" thickBot="1" x14ac:dyDescent="0.25">
      <c r="A208" s="328">
        <v>2035</v>
      </c>
      <c r="B208" s="346">
        <v>0</v>
      </c>
      <c r="C208" s="347">
        <v>7.3561610724644996E-2</v>
      </c>
      <c r="D208" s="347">
        <v>0.21282771569714251</v>
      </c>
      <c r="E208" s="347">
        <v>0.28021159724493244</v>
      </c>
      <c r="F208" s="347">
        <v>0.27976332564444906</v>
      </c>
      <c r="G208" s="347">
        <v>0.27604023098362324</v>
      </c>
      <c r="H208" s="347">
        <v>0.26650190024485981</v>
      </c>
      <c r="I208" s="347">
        <v>0.26238735913925915</v>
      </c>
      <c r="J208" s="347">
        <v>0.2600244169080097</v>
      </c>
      <c r="K208" s="347">
        <v>0.2559597122921855</v>
      </c>
      <c r="L208" s="381">
        <v>0.2559597122921855</v>
      </c>
      <c r="M208" s="310">
        <f t="shared" si="104"/>
        <v>5.3637842400982606E-2</v>
      </c>
      <c r="N208" s="312">
        <f t="shared" si="105"/>
        <v>2.8929477895417395E-2</v>
      </c>
      <c r="O208" s="346">
        <v>0</v>
      </c>
      <c r="P208" s="347">
        <v>8.7238842738568703E-2</v>
      </c>
      <c r="Q208" s="347">
        <v>0.23692505970186378</v>
      </c>
      <c r="R208" s="347">
        <v>0.27682569789503614</v>
      </c>
      <c r="S208" s="347">
        <v>0.27563581773503548</v>
      </c>
      <c r="T208" s="347">
        <v>0.2707921176532091</v>
      </c>
      <c r="U208" s="347">
        <v>0.26440429730871129</v>
      </c>
      <c r="V208" s="347">
        <v>0.2600244169080097</v>
      </c>
      <c r="W208" s="347">
        <v>0.25738216407047954</v>
      </c>
      <c r="X208" s="347">
        <v>0.2559597122921855</v>
      </c>
      <c r="Y208" s="381">
        <v>0.25360939704302848</v>
      </c>
      <c r="Z208" s="310">
        <f t="shared" si="106"/>
        <v>7.9215412021420892E-2</v>
      </c>
      <c r="AA208" s="312">
        <f t="shared" si="107"/>
        <v>4.406499164428717E-2</v>
      </c>
      <c r="AB208" s="949">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50">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8">
        <f t="shared" si="114"/>
        <v>0</v>
      </c>
      <c r="AE208" s="1232">
        <f t="shared" si="111"/>
        <v>5.3637842400982606E-2</v>
      </c>
      <c r="AF208" s="1233">
        <f t="shared" si="112"/>
        <v>7.9215412021420892E-2</v>
      </c>
      <c r="AG208" s="1233">
        <f t="shared" si="113"/>
        <v>0.13285325442240351</v>
      </c>
      <c r="AH208" s="1174">
        <f t="shared" si="109"/>
        <v>0.40373751199532126</v>
      </c>
      <c r="AI208" s="1234">
        <f t="shared" si="110"/>
        <v>0.59626248800467863</v>
      </c>
      <c r="AJ208" s="227"/>
      <c r="AK208" s="227"/>
      <c r="AL208" s="227"/>
      <c r="AM208" s="227"/>
    </row>
    <row r="209" spans="1:39" x14ac:dyDescent="0.2">
      <c r="A209" s="329">
        <v>2036</v>
      </c>
      <c r="B209" s="342">
        <v>0</v>
      </c>
      <c r="C209" s="343">
        <v>6.7283374602553847E-2</v>
      </c>
      <c r="D209" s="343">
        <v>0.21709484585331776</v>
      </c>
      <c r="E209" s="343">
        <v>0.27437947987013511</v>
      </c>
      <c r="F209" s="343">
        <v>0.27791234235721479</v>
      </c>
      <c r="G209" s="343">
        <v>0.27342631898228215</v>
      </c>
      <c r="H209" s="343">
        <v>0.26405723140738263</v>
      </c>
      <c r="I209" s="343">
        <v>0.25993588557066893</v>
      </c>
      <c r="J209" s="343">
        <v>0.25798337756155409</v>
      </c>
      <c r="K209" s="343">
        <v>0.25562113638629708</v>
      </c>
      <c r="L209" s="379">
        <v>0.25562113638629708</v>
      </c>
      <c r="M209" s="282">
        <f t="shared" si="104"/>
        <v>5.2730587940097662E-2</v>
      </c>
      <c r="N209" s="284">
        <f t="shared" si="105"/>
        <v>2.8136069969293433E-2</v>
      </c>
      <c r="O209" s="342">
        <v>0</v>
      </c>
      <c r="P209" s="343">
        <v>8.0246222797945244E-2</v>
      </c>
      <c r="Q209" s="343">
        <v>0.23276325122624669</v>
      </c>
      <c r="R209" s="343">
        <v>0.27329041549844607</v>
      </c>
      <c r="S209" s="343">
        <v>0.27309878491319595</v>
      </c>
      <c r="T209" s="343">
        <v>0.26815768512334076</v>
      </c>
      <c r="U209" s="343">
        <v>0.26405723140738263</v>
      </c>
      <c r="V209" s="343">
        <v>0.25968176502236057</v>
      </c>
      <c r="W209" s="343">
        <v>0.25704218680601615</v>
      </c>
      <c r="X209" s="343">
        <v>0.25562113638629708</v>
      </c>
      <c r="Y209" s="379">
        <v>0.25327314823477193</v>
      </c>
      <c r="Z209" s="282">
        <f t="shared" si="106"/>
        <v>7.6683659758162492E-2</v>
      </c>
      <c r="AA209" s="284">
        <f t="shared" si="107"/>
        <v>4.1977066670346765E-2</v>
      </c>
      <c r="AB209" s="949">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50">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8">
        <f t="shared" si="114"/>
        <v>0</v>
      </c>
      <c r="AE209" s="1232">
        <f t="shared" si="111"/>
        <v>5.2730587940097662E-2</v>
      </c>
      <c r="AF209" s="1233">
        <f t="shared" si="112"/>
        <v>7.6683659758162492E-2</v>
      </c>
      <c r="AG209" s="1233">
        <f t="shared" si="113"/>
        <v>0.12941424769826015</v>
      </c>
      <c r="AH209" s="1174">
        <f t="shared" si="109"/>
        <v>0.40745581632590655</v>
      </c>
      <c r="AI209" s="1234">
        <f t="shared" si="110"/>
        <v>0.59254418367409345</v>
      </c>
      <c r="AJ209" s="227"/>
      <c r="AK209" s="227"/>
      <c r="AL209" s="227"/>
      <c r="AM209" s="227"/>
    </row>
    <row r="210" spans="1:39" x14ac:dyDescent="0.2">
      <c r="A210" s="330">
        <v>2037</v>
      </c>
      <c r="B210" s="344">
        <v>0</v>
      </c>
      <c r="C210" s="345">
        <v>6.7284084941638747E-2</v>
      </c>
      <c r="D210" s="345">
        <v>0.21708871366367094</v>
      </c>
      <c r="E210" s="345">
        <v>0.27438421147536535</v>
      </c>
      <c r="F210" s="345">
        <v>0.27791989873230966</v>
      </c>
      <c r="G210" s="345">
        <v>0.27343572985438908</v>
      </c>
      <c r="H210" s="345">
        <v>0.26169786315885768</v>
      </c>
      <c r="I210" s="345">
        <v>0.25994798842157307</v>
      </c>
      <c r="J210" s="345">
        <v>0.25799589255053973</v>
      </c>
      <c r="K210" s="345">
        <v>0.25563396781595538</v>
      </c>
      <c r="L210" s="380">
        <v>0.25563396781595538</v>
      </c>
      <c r="M210" s="296">
        <f t="shared" si="104"/>
        <v>5.2695661523745316E-2</v>
      </c>
      <c r="N210" s="298">
        <f t="shared" si="105"/>
        <v>2.8128952853852092E-2</v>
      </c>
      <c r="O210" s="344">
        <v>0</v>
      </c>
      <c r="P210" s="345">
        <v>8.0247069991309206E-2</v>
      </c>
      <c r="Q210" s="345">
        <v>0.23611626240666334</v>
      </c>
      <c r="R210" s="345">
        <v>0.27155953047158216</v>
      </c>
      <c r="S210" s="345">
        <v>0.27310753624269202</v>
      </c>
      <c r="T210" s="345">
        <v>0.26816832463571894</v>
      </c>
      <c r="U210" s="345">
        <v>0.26205416634371159</v>
      </c>
      <c r="V210" s="345">
        <v>0.25969410823211436</v>
      </c>
      <c r="W210" s="345">
        <v>0.25705487952838246</v>
      </c>
      <c r="X210" s="345">
        <v>0.25563396781595538</v>
      </c>
      <c r="Y210" s="380">
        <v>0.25328620376112942</v>
      </c>
      <c r="Z210" s="296">
        <f t="shared" si="106"/>
        <v>7.6820509398004722E-2</v>
      </c>
      <c r="AA210" s="298">
        <f t="shared" si="107"/>
        <v>4.2085436254947338E-2</v>
      </c>
      <c r="AB210" s="949">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50">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8">
        <f t="shared" si="114"/>
        <v>0</v>
      </c>
      <c r="AE210" s="1232">
        <f t="shared" si="111"/>
        <v>5.2695661523745316E-2</v>
      </c>
      <c r="AF210" s="1233">
        <f t="shared" si="112"/>
        <v>7.6820509398004722E-2</v>
      </c>
      <c r="AG210" s="1233">
        <f t="shared" si="113"/>
        <v>0.12951617092175005</v>
      </c>
      <c r="AH210" s="1174">
        <f t="shared" si="109"/>
        <v>0.40686549910113168</v>
      </c>
      <c r="AI210" s="1234">
        <f t="shared" si="110"/>
        <v>0.59313450089886821</v>
      </c>
      <c r="AJ210" s="227"/>
      <c r="AK210" s="227"/>
      <c r="AL210" s="227"/>
      <c r="AM210" s="227"/>
    </row>
    <row r="211" spans="1:39" x14ac:dyDescent="0.2">
      <c r="A211" s="330">
        <v>2038</v>
      </c>
      <c r="B211" s="344">
        <v>0</v>
      </c>
      <c r="C211" s="345">
        <v>7.3447931259389032E-2</v>
      </c>
      <c r="D211" s="345">
        <v>0.21702063407087566</v>
      </c>
      <c r="E211" s="345">
        <v>0.27084989826292738</v>
      </c>
      <c r="F211" s="345">
        <v>0.27383597355897704</v>
      </c>
      <c r="G211" s="345">
        <v>0.27117027491853113</v>
      </c>
      <c r="H211" s="345">
        <v>0.26407887692209631</v>
      </c>
      <c r="I211" s="345">
        <v>0.2599583615556374</v>
      </c>
      <c r="J211" s="345">
        <v>0.25800669112067875</v>
      </c>
      <c r="K211" s="345">
        <v>0.25438433483700146</v>
      </c>
      <c r="L211" s="380">
        <v>0.25438433483700146</v>
      </c>
      <c r="M211" s="296">
        <f t="shared" si="104"/>
        <v>5.3400748090249223E-2</v>
      </c>
      <c r="N211" s="298">
        <f t="shared" si="105"/>
        <v>2.8915225679890712E-2</v>
      </c>
      <c r="O211" s="344">
        <v>0</v>
      </c>
      <c r="P211" s="345">
        <v>7.824155928392211E-2</v>
      </c>
      <c r="Q211" s="345">
        <v>0.23182178877727283</v>
      </c>
      <c r="R211" s="345">
        <v>0.26722489501611718</v>
      </c>
      <c r="S211" s="345">
        <v>0.27089770414245534</v>
      </c>
      <c r="T211" s="345">
        <v>0.26500555218401606</v>
      </c>
      <c r="U211" s="345">
        <v>0.2620643403339149</v>
      </c>
      <c r="V211" s="345">
        <v>0.25800669112067875</v>
      </c>
      <c r="W211" s="345">
        <v>0.25564509880793551</v>
      </c>
      <c r="X211" s="345">
        <v>0.25438433483700146</v>
      </c>
      <c r="Y211" s="380">
        <v>0.25239998845102735</v>
      </c>
      <c r="Z211" s="296">
        <f t="shared" si="106"/>
        <v>7.5551014145015999E-2</v>
      </c>
      <c r="AA211" s="298">
        <f t="shared" si="107"/>
        <v>4.1246552806586095E-2</v>
      </c>
      <c r="AB211" s="949">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50">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8">
        <f t="shared" si="114"/>
        <v>0</v>
      </c>
      <c r="AE211" s="1232">
        <f t="shared" si="111"/>
        <v>5.3400748090249223E-2</v>
      </c>
      <c r="AF211" s="1233">
        <f t="shared" si="112"/>
        <v>7.5551014145015999E-2</v>
      </c>
      <c r="AG211" s="1233">
        <f t="shared" si="113"/>
        <v>0.12895176223526522</v>
      </c>
      <c r="AH211" s="1174">
        <f t="shared" si="109"/>
        <v>0.41411413977284445</v>
      </c>
      <c r="AI211" s="1234">
        <f t="shared" si="110"/>
        <v>0.58588586022715561</v>
      </c>
      <c r="AJ211" s="227"/>
      <c r="AK211" s="227"/>
      <c r="AL211" s="227"/>
      <c r="AM211" s="227"/>
    </row>
    <row r="212" spans="1:39" x14ac:dyDescent="0.2">
      <c r="A212" s="330">
        <v>2039</v>
      </c>
      <c r="B212" s="344">
        <v>0</v>
      </c>
      <c r="C212" s="345">
        <v>7.5552684915171364E-2</v>
      </c>
      <c r="D212" s="345">
        <v>0.21668697061983563</v>
      </c>
      <c r="E212" s="345">
        <v>0.2677055084529727</v>
      </c>
      <c r="F212" s="345">
        <v>0.27171050366559973</v>
      </c>
      <c r="G212" s="345">
        <v>0.26662124456002506</v>
      </c>
      <c r="H212" s="345">
        <v>0.26207386950748168</v>
      </c>
      <c r="I212" s="345">
        <v>0.25815721285326887</v>
      </c>
      <c r="J212" s="345">
        <v>0.25645217110334945</v>
      </c>
      <c r="K212" s="345">
        <v>0.2543949694487817</v>
      </c>
      <c r="L212" s="380">
        <v>0.2543949694487817</v>
      </c>
      <c r="M212" s="296">
        <f t="shared" si="104"/>
        <v>5.3468707313618503E-2</v>
      </c>
      <c r="N212" s="298">
        <f t="shared" si="105"/>
        <v>2.9120549898353405E-2</v>
      </c>
      <c r="O212" s="344">
        <v>0</v>
      </c>
      <c r="P212" s="345">
        <v>8.0488793526520219E-2</v>
      </c>
      <c r="Q212" s="345">
        <v>0.23024559176062523</v>
      </c>
      <c r="R212" s="345">
        <v>0.25909777808849682</v>
      </c>
      <c r="S212" s="345">
        <v>0.26639617005989535</v>
      </c>
      <c r="T212" s="345">
        <v>0.26281935339231627</v>
      </c>
      <c r="U212" s="345">
        <v>0.26015327636841012</v>
      </c>
      <c r="V212" s="345">
        <v>0.25801685479511188</v>
      </c>
      <c r="W212" s="345">
        <v>0.25565560068486476</v>
      </c>
      <c r="X212" s="345">
        <v>0.2543949694487817</v>
      </c>
      <c r="Y212" s="380">
        <v>0.25241082827293149</v>
      </c>
      <c r="Z212" s="296">
        <f t="shared" si="106"/>
        <v>7.5403573322876158E-2</v>
      </c>
      <c r="AA212" s="298">
        <f t="shared" si="107"/>
        <v>4.1526736116074048E-2</v>
      </c>
      <c r="AB212" s="949">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50">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8">
        <f t="shared" si="114"/>
        <v>0</v>
      </c>
      <c r="AE212" s="1232">
        <f t="shared" si="111"/>
        <v>5.3468707313618503E-2</v>
      </c>
      <c r="AF212" s="1233">
        <f t="shared" si="112"/>
        <v>7.5403573322876158E-2</v>
      </c>
      <c r="AG212" s="1233">
        <f t="shared" si="113"/>
        <v>0.12887228063649467</v>
      </c>
      <c r="AH212" s="1174">
        <f t="shared" si="109"/>
        <v>0.41489688123418667</v>
      </c>
      <c r="AI212" s="1234">
        <f t="shared" si="110"/>
        <v>0.58510311876581322</v>
      </c>
      <c r="AJ212" s="227"/>
      <c r="AK212" s="227"/>
      <c r="AL212" s="227"/>
      <c r="AM212" s="227"/>
    </row>
    <row r="213" spans="1:39" ht="13.5" thickBot="1" x14ac:dyDescent="0.25">
      <c r="A213" s="328">
        <v>2040</v>
      </c>
      <c r="B213" s="346">
        <v>0</v>
      </c>
      <c r="C213" s="347">
        <v>7.3687633895232321E-2</v>
      </c>
      <c r="D213" s="347">
        <v>0.2157000728234231</v>
      </c>
      <c r="E213" s="347">
        <v>0.26071970473472733</v>
      </c>
      <c r="F213" s="347">
        <v>0.26732268091117528</v>
      </c>
      <c r="G213" s="347">
        <v>0.26436939867036263</v>
      </c>
      <c r="H213" s="347">
        <v>0.26016280149501025</v>
      </c>
      <c r="I213" s="347">
        <v>0.25647589157771417</v>
      </c>
      <c r="J213" s="347">
        <v>0.25646228498926255</v>
      </c>
      <c r="K213" s="347">
        <v>0.25440538677825653</v>
      </c>
      <c r="L213" s="381">
        <v>0.25440538677825653</v>
      </c>
      <c r="M213" s="310">
        <f t="shared" si="104"/>
        <v>5.2661703806871643E-2</v>
      </c>
      <c r="N213" s="312">
        <f t="shared" si="105"/>
        <v>2.8649463032662602E-2</v>
      </c>
      <c r="O213" s="346">
        <v>0</v>
      </c>
      <c r="P213" s="347">
        <v>8.7446577532983766E-2</v>
      </c>
      <c r="Q213" s="347">
        <v>0.22716767629243334</v>
      </c>
      <c r="R213" s="347">
        <v>0.25017878806142729</v>
      </c>
      <c r="S213" s="347">
        <v>0.26413340651734896</v>
      </c>
      <c r="T213" s="347">
        <v>0.26068754478778761</v>
      </c>
      <c r="U213" s="347">
        <v>0.26016280149501025</v>
      </c>
      <c r="V213" s="347">
        <v>0.25646228498926255</v>
      </c>
      <c r="W213" s="347">
        <v>0.25440538677825653</v>
      </c>
      <c r="X213" s="347">
        <v>0.25440538677825653</v>
      </c>
      <c r="Y213" s="381">
        <v>0.2524214528813048</v>
      </c>
      <c r="Z213" s="310">
        <f t="shared" si="106"/>
        <v>7.6394373909786692E-2</v>
      </c>
      <c r="AA213" s="312">
        <f t="shared" si="107"/>
        <v>4.2938701409868808E-2</v>
      </c>
      <c r="AB213" s="949">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50">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8">
        <f t="shared" si="114"/>
        <v>0</v>
      </c>
      <c r="AE213" s="1232">
        <f t="shared" si="111"/>
        <v>5.2661703806871643E-2</v>
      </c>
      <c r="AF213" s="1233">
        <f t="shared" si="112"/>
        <v>7.6394373909786692E-2</v>
      </c>
      <c r="AG213" s="1233">
        <f t="shared" si="113"/>
        <v>0.12905607771665834</v>
      </c>
      <c r="AH213" s="1174">
        <f t="shared" si="109"/>
        <v>0.40805287700196519</v>
      </c>
      <c r="AI213" s="1234">
        <f t="shared" si="110"/>
        <v>0.59194712299803487</v>
      </c>
      <c r="AJ213" s="227"/>
      <c r="AK213" s="227"/>
      <c r="AL213" s="227"/>
      <c r="AM213" s="227"/>
    </row>
    <row r="214" spans="1:39" x14ac:dyDescent="0.2">
      <c r="A214" s="329">
        <v>2041</v>
      </c>
      <c r="B214" s="342">
        <v>0</v>
      </c>
      <c r="C214" s="343">
        <v>7.3687648143998169E-2</v>
      </c>
      <c r="D214" s="343">
        <v>0.21273200696083436</v>
      </c>
      <c r="E214" s="343">
        <v>0.24796008895099661</v>
      </c>
      <c r="F214" s="343">
        <v>0.26282436378893592</v>
      </c>
      <c r="G214" s="343">
        <v>0.26214677541316322</v>
      </c>
      <c r="H214" s="343">
        <v>0.2583588769846869</v>
      </c>
      <c r="I214" s="343">
        <v>0.25648571480763233</v>
      </c>
      <c r="J214" s="343">
        <v>0.2550542670072658</v>
      </c>
      <c r="K214" s="343">
        <v>0.25332930642982765</v>
      </c>
      <c r="L214" s="379">
        <v>0.25332930642982765</v>
      </c>
      <c r="M214" s="282">
        <f t="shared" si="104"/>
        <v>5.1692421733478468E-2</v>
      </c>
      <c r="N214" s="284">
        <f t="shared" si="105"/>
        <v>2.82396021114012E-2</v>
      </c>
      <c r="O214" s="342">
        <v>0</v>
      </c>
      <c r="P214" s="343">
        <v>8.7409331779315952E-2</v>
      </c>
      <c r="Q214" s="343">
        <v>0.21980490152461168</v>
      </c>
      <c r="R214" s="343">
        <v>0.23872783716828022</v>
      </c>
      <c r="S214" s="343">
        <v>0.25962780927697643</v>
      </c>
      <c r="T214" s="343">
        <v>0.25862321412135464</v>
      </c>
      <c r="U214" s="343">
        <v>0.2583588769846869</v>
      </c>
      <c r="V214" s="343">
        <v>0.25647231893216998</v>
      </c>
      <c r="W214" s="343">
        <v>0.25441572504004956</v>
      </c>
      <c r="X214" s="343">
        <v>0.25332930642982765</v>
      </c>
      <c r="Y214" s="379">
        <v>0.25243199921580267</v>
      </c>
      <c r="Z214" s="282">
        <f t="shared" si="106"/>
        <v>7.4949770180058647E-2</v>
      </c>
      <c r="AA214" s="284">
        <f t="shared" si="107"/>
        <v>4.2289371108682611E-2</v>
      </c>
      <c r="AB214" s="949">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50">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8">
        <f t="shared" si="114"/>
        <v>0</v>
      </c>
      <c r="AE214" s="1232">
        <f t="shared" si="111"/>
        <v>5.1692421733478468E-2</v>
      </c>
      <c r="AF214" s="1233">
        <f t="shared" si="112"/>
        <v>7.4949770180058647E-2</v>
      </c>
      <c r="AG214" s="1233">
        <f t="shared" si="113"/>
        <v>0.12664219191353712</v>
      </c>
      <c r="AH214" s="1174">
        <f t="shared" si="109"/>
        <v>0.40817693497259289</v>
      </c>
      <c r="AI214" s="1234">
        <f t="shared" si="110"/>
        <v>0.59182306502740711</v>
      </c>
      <c r="AJ214" s="227"/>
      <c r="AK214" s="227"/>
      <c r="AL214" s="227"/>
      <c r="AM214" s="227"/>
    </row>
    <row r="215" spans="1:39" x14ac:dyDescent="0.2">
      <c r="A215" s="330">
        <v>2042</v>
      </c>
      <c r="B215" s="344">
        <v>0</v>
      </c>
      <c r="C215" s="345">
        <v>7.3603567888316693E-2</v>
      </c>
      <c r="D215" s="345">
        <v>0.20266532018004577</v>
      </c>
      <c r="E215" s="345">
        <v>0.23099930466351867</v>
      </c>
      <c r="F215" s="345">
        <v>0.25605706271832601</v>
      </c>
      <c r="G215" s="345">
        <v>0.25783156253466699</v>
      </c>
      <c r="H215" s="345">
        <v>0.25667515673130459</v>
      </c>
      <c r="I215" s="345">
        <v>0.25493748389873094</v>
      </c>
      <c r="J215" s="345">
        <v>0.25506442862362266</v>
      </c>
      <c r="K215" s="345">
        <v>0.25333973377106361</v>
      </c>
      <c r="L215" s="380">
        <v>0.25333973377106361</v>
      </c>
      <c r="M215" s="296">
        <f t="shared" si="104"/>
        <v>4.9845053972225266E-2</v>
      </c>
      <c r="N215" s="298">
        <f t="shared" si="105"/>
        <v>2.7369176399221807E-2</v>
      </c>
      <c r="O215" s="344">
        <v>0</v>
      </c>
      <c r="P215" s="345">
        <v>8.6940493586161252E-2</v>
      </c>
      <c r="Q215" s="345">
        <v>0.20568846325756862</v>
      </c>
      <c r="R215" s="345">
        <v>0.22275409480875061</v>
      </c>
      <c r="S215" s="345">
        <v>0.25523985852960629</v>
      </c>
      <c r="T215" s="345">
        <v>0.25663937504571238</v>
      </c>
      <c r="U215" s="345">
        <v>0.25667515673130459</v>
      </c>
      <c r="V215" s="345">
        <v>0.25506442862362266</v>
      </c>
      <c r="W215" s="345">
        <v>0.25333973377106361</v>
      </c>
      <c r="X215" s="345">
        <v>0.25333973377106361</v>
      </c>
      <c r="Y215" s="380">
        <v>0.25175198672658888</v>
      </c>
      <c r="Z215" s="296">
        <f t="shared" si="106"/>
        <v>7.2523296780777444E-2</v>
      </c>
      <c r="AA215" s="298">
        <f t="shared" si="107"/>
        <v>4.1107343787276471E-2</v>
      </c>
      <c r="AB215" s="949">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50">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8">
        <f t="shared" si="114"/>
        <v>0</v>
      </c>
      <c r="AE215" s="1232">
        <f t="shared" si="111"/>
        <v>4.9845053972225266E-2</v>
      </c>
      <c r="AF215" s="1233">
        <f t="shared" si="112"/>
        <v>7.2523296780777444E-2</v>
      </c>
      <c r="AG215" s="1233">
        <f t="shared" si="113"/>
        <v>0.1223683507530027</v>
      </c>
      <c r="AH215" s="1174">
        <f t="shared" si="109"/>
        <v>0.40733615894551195</v>
      </c>
      <c r="AI215" s="1234">
        <f t="shared" si="110"/>
        <v>0.59266384105448811</v>
      </c>
      <c r="AJ215" s="227"/>
      <c r="AK215" s="227"/>
      <c r="AL215" s="227"/>
      <c r="AM215" s="227"/>
    </row>
    <row r="216" spans="1:39" x14ac:dyDescent="0.2">
      <c r="A216" s="330">
        <v>2043</v>
      </c>
      <c r="B216" s="344">
        <v>0</v>
      </c>
      <c r="C216" s="345">
        <v>7.2769394194348122E-2</v>
      </c>
      <c r="D216" s="345">
        <v>0.18754998564598516</v>
      </c>
      <c r="E216" s="345">
        <v>0.21466796769835109</v>
      </c>
      <c r="F216" s="345">
        <v>0.25167664935423911</v>
      </c>
      <c r="G216" s="345">
        <v>0.2557730159235192</v>
      </c>
      <c r="H216" s="345">
        <v>0.25668495614809889</v>
      </c>
      <c r="I216" s="345">
        <v>0.25353529441450956</v>
      </c>
      <c r="J216" s="345">
        <v>0.25381649372077014</v>
      </c>
      <c r="K216" s="345">
        <v>0.25245302841960754</v>
      </c>
      <c r="L216" s="380">
        <v>0.25245302841960754</v>
      </c>
      <c r="M216" s="296">
        <f t="shared" si="104"/>
        <v>4.7536859957949311E-2</v>
      </c>
      <c r="N216" s="298">
        <f t="shared" si="105"/>
        <v>2.6167503524649124E-2</v>
      </c>
      <c r="O216" s="344">
        <v>0</v>
      </c>
      <c r="P216" s="345">
        <v>8.4733618036586106E-2</v>
      </c>
      <c r="Q216" s="345">
        <v>0.18908745095519164</v>
      </c>
      <c r="R216" s="345">
        <v>0.20943355212190867</v>
      </c>
      <c r="S216" s="345">
        <v>0.25312577164969752</v>
      </c>
      <c r="T216" s="345">
        <v>0.25474896947431314</v>
      </c>
      <c r="U216" s="345">
        <v>0.25512464289312203</v>
      </c>
      <c r="V216" s="345">
        <v>0.25381649372077014</v>
      </c>
      <c r="W216" s="345">
        <v>0.25335014814324375</v>
      </c>
      <c r="X216" s="345">
        <v>0.25245302841960754</v>
      </c>
      <c r="Y216" s="380">
        <v>0.25176256639465355</v>
      </c>
      <c r="Z216" s="296">
        <f t="shared" si="106"/>
        <v>6.9626695217386222E-2</v>
      </c>
      <c r="AA216" s="298">
        <f t="shared" si="107"/>
        <v>3.9438508020248127E-2</v>
      </c>
      <c r="AB216" s="949">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50">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8">
        <f t="shared" si="114"/>
        <v>0</v>
      </c>
      <c r="AE216" s="1232">
        <f t="shared" si="111"/>
        <v>4.7536859957949311E-2</v>
      </c>
      <c r="AF216" s="1233">
        <f t="shared" si="112"/>
        <v>6.9626695217386222E-2</v>
      </c>
      <c r="AG216" s="1233">
        <f t="shared" si="113"/>
        <v>0.11716355517533553</v>
      </c>
      <c r="AH216" s="1174">
        <f t="shared" si="109"/>
        <v>0.40573077427370902</v>
      </c>
      <c r="AI216" s="1234">
        <f t="shared" si="110"/>
        <v>0.59426922572629104</v>
      </c>
      <c r="AJ216" s="227"/>
      <c r="AK216" s="227"/>
      <c r="AL216" s="227"/>
      <c r="AM216" s="227"/>
    </row>
    <row r="217" spans="1:39" x14ac:dyDescent="0.2">
      <c r="A217" s="330">
        <v>2044</v>
      </c>
      <c r="B217" s="344">
        <v>0</v>
      </c>
      <c r="C217" s="345">
        <v>6.9815204329404787E-2</v>
      </c>
      <c r="D217" s="345">
        <v>0.17185944248275181</v>
      </c>
      <c r="E217" s="345">
        <v>0.20313473779044663</v>
      </c>
      <c r="F217" s="345">
        <v>0.24956686263444491</v>
      </c>
      <c r="G217" s="345">
        <v>0.25190114993857038</v>
      </c>
      <c r="H217" s="345">
        <v>0.25513462174634155</v>
      </c>
      <c r="I217" s="345">
        <v>0.2535454108121234</v>
      </c>
      <c r="J217" s="345">
        <v>0.25274245122206068</v>
      </c>
      <c r="K217" s="345">
        <v>0.25246354512276459</v>
      </c>
      <c r="L217" s="380">
        <v>0.25246354512276459</v>
      </c>
      <c r="M217" s="296">
        <f t="shared" si="104"/>
        <v>4.5103046155820795E-2</v>
      </c>
      <c r="N217" s="298">
        <f t="shared" si="105"/>
        <v>2.4730999825560335E-2</v>
      </c>
      <c r="O217" s="344">
        <v>0</v>
      </c>
      <c r="P217" s="345">
        <v>8.022569194241079E-2</v>
      </c>
      <c r="Q217" s="345">
        <v>0.17718533804306236</v>
      </c>
      <c r="R217" s="345">
        <v>0.20301937024824687</v>
      </c>
      <c r="S217" s="345">
        <v>0.24910444422048411</v>
      </c>
      <c r="T217" s="345">
        <v>0.25296488850589416</v>
      </c>
      <c r="U217" s="345">
        <v>0.25372041765540426</v>
      </c>
      <c r="V217" s="345">
        <v>0.25382678510070678</v>
      </c>
      <c r="W217" s="345">
        <v>0.25336057094326375</v>
      </c>
      <c r="X217" s="345">
        <v>0.25246354512276459</v>
      </c>
      <c r="Y217" s="380">
        <v>0.25177315473668382</v>
      </c>
      <c r="Z217" s="296">
        <f t="shared" si="106"/>
        <v>6.6915511148357157E-2</v>
      </c>
      <c r="AA217" s="298">
        <f t="shared" si="107"/>
        <v>3.7552470216926585E-2</v>
      </c>
      <c r="AB217" s="949">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50">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8">
        <f t="shared" si="114"/>
        <v>0</v>
      </c>
      <c r="AE217" s="1232">
        <f t="shared" si="111"/>
        <v>4.5103046155820795E-2</v>
      </c>
      <c r="AF217" s="1233">
        <f t="shared" si="112"/>
        <v>6.6915511148357157E-2</v>
      </c>
      <c r="AG217" s="1233">
        <f t="shared" si="113"/>
        <v>0.11201855730417795</v>
      </c>
      <c r="AH217" s="1174">
        <f t="shared" si="109"/>
        <v>0.40263905589630894</v>
      </c>
      <c r="AI217" s="1234">
        <f t="shared" si="110"/>
        <v>0.59736094410369101</v>
      </c>
      <c r="AJ217" s="227"/>
      <c r="AK217" s="227"/>
      <c r="AL217" s="227"/>
      <c r="AM217" s="227"/>
    </row>
    <row r="218" spans="1:39" ht="13.5" thickBot="1" x14ac:dyDescent="0.25">
      <c r="A218" s="328">
        <v>2045</v>
      </c>
      <c r="B218" s="346">
        <v>0</v>
      </c>
      <c r="C218" s="347">
        <v>6.5218581679849189E-2</v>
      </c>
      <c r="D218" s="347">
        <v>0.16164605332762505</v>
      </c>
      <c r="E218" s="347">
        <v>0.19691460968331509</v>
      </c>
      <c r="F218" s="347">
        <v>0.24555488296765982</v>
      </c>
      <c r="G218" s="347">
        <v>0.25012256172859854</v>
      </c>
      <c r="H218" s="347">
        <v>0.25373055364911951</v>
      </c>
      <c r="I218" s="347">
        <v>0.25230271191317472</v>
      </c>
      <c r="J218" s="347">
        <v>0.25275286125384344</v>
      </c>
      <c r="K218" s="347">
        <v>0.25247406586913312</v>
      </c>
      <c r="L218" s="381">
        <v>0.25247406586913312</v>
      </c>
      <c r="M218" s="310">
        <f t="shared" si="104"/>
        <v>4.3113826032168137E-2</v>
      </c>
      <c r="N218" s="312">
        <f t="shared" si="105"/>
        <v>2.3421731308384926E-2</v>
      </c>
      <c r="O218" s="346">
        <v>0</v>
      </c>
      <c r="P218" s="347">
        <v>7.332196700333915E-2</v>
      </c>
      <c r="Q218" s="347">
        <v>0.16649946989766234</v>
      </c>
      <c r="R218" s="347">
        <v>0.19563785416615267</v>
      </c>
      <c r="S218" s="347">
        <v>0.24723149573320591</v>
      </c>
      <c r="T218" s="347">
        <v>0.25129994322318794</v>
      </c>
      <c r="U218" s="347">
        <v>0.25373055364911951</v>
      </c>
      <c r="V218" s="347">
        <v>0.25275286125384344</v>
      </c>
      <c r="W218" s="347">
        <v>0.25247406586913312</v>
      </c>
      <c r="X218" s="347">
        <v>0.25247406586913312</v>
      </c>
      <c r="Y218" s="381">
        <v>0.25132330656613294</v>
      </c>
      <c r="Z218" s="310">
        <f t="shared" si="106"/>
        <v>6.3641622688955249E-2</v>
      </c>
      <c r="AA218" s="312">
        <f t="shared" si="107"/>
        <v>3.5100272735473712E-2</v>
      </c>
      <c r="AB218" s="949">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50">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8">
        <f t="shared" si="114"/>
        <v>0</v>
      </c>
      <c r="AE218" s="1232">
        <f t="shared" si="111"/>
        <v>4.3113826032168137E-2</v>
      </c>
      <c r="AF218" s="1233">
        <f t="shared" si="112"/>
        <v>6.3641622688955249E-2</v>
      </c>
      <c r="AG218" s="1233">
        <f t="shared" si="113"/>
        <v>0.10675544872112339</v>
      </c>
      <c r="AH218" s="1174">
        <f t="shared" si="109"/>
        <v>0.40385597689532571</v>
      </c>
      <c r="AI218" s="1234">
        <f t="shared" si="110"/>
        <v>0.59614402310467429</v>
      </c>
      <c r="AJ218" s="227"/>
      <c r="AK218" s="227"/>
      <c r="AL218" s="227"/>
      <c r="AM218" s="227"/>
    </row>
    <row r="219" spans="1:39" x14ac:dyDescent="0.2">
      <c r="A219" s="329">
        <v>2046</v>
      </c>
      <c r="B219" s="342">
        <v>0</v>
      </c>
      <c r="C219" s="343">
        <v>6.0858848092366059E-2</v>
      </c>
      <c r="D219" s="343">
        <v>0.15425994573949711</v>
      </c>
      <c r="E219" s="343">
        <v>0.19252006194129628</v>
      </c>
      <c r="F219" s="343">
        <v>0.24556387938907839</v>
      </c>
      <c r="G219" s="343">
        <v>0.25013205465052613</v>
      </c>
      <c r="H219" s="343">
        <v>0.25374069441325725</v>
      </c>
      <c r="I219" s="343">
        <v>0.25231297104472866</v>
      </c>
      <c r="J219" s="343">
        <v>0.25276327622839334</v>
      </c>
      <c r="K219" s="343">
        <v>0.25179434466869771</v>
      </c>
      <c r="L219" s="379">
        <v>0.25179434466869771</v>
      </c>
      <c r="M219" s="282">
        <f t="shared" si="104"/>
        <v>4.1598520977217612E-2</v>
      </c>
      <c r="N219" s="284">
        <f t="shared" si="105"/>
        <v>2.2352168691907866E-2</v>
      </c>
      <c r="O219" s="342">
        <v>0</v>
      </c>
      <c r="P219" s="343">
        <v>6.8688532578673453E-2</v>
      </c>
      <c r="Q219" s="343">
        <v>0.1605401660712763</v>
      </c>
      <c r="R219" s="343">
        <v>0.19281993311439102</v>
      </c>
      <c r="S219" s="343">
        <v>0.24724072863155508</v>
      </c>
      <c r="T219" s="343">
        <v>0.24976692937468917</v>
      </c>
      <c r="U219" s="343">
        <v>0.25248605802244672</v>
      </c>
      <c r="V219" s="343">
        <v>0.25276327622839334</v>
      </c>
      <c r="W219" s="343">
        <v>0.25248459162767639</v>
      </c>
      <c r="X219" s="343">
        <v>0.25179434466869771</v>
      </c>
      <c r="Y219" s="379">
        <v>0.25133395160460259</v>
      </c>
      <c r="Z219" s="282">
        <f t="shared" si="106"/>
        <v>6.168201794124735E-2</v>
      </c>
      <c r="AA219" s="284">
        <f t="shared" si="107"/>
        <v>3.3562608019163304E-2</v>
      </c>
      <c r="AB219" s="949">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50">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8">
        <f t="shared" si="114"/>
        <v>0</v>
      </c>
      <c r="AE219" s="1232">
        <f t="shared" si="111"/>
        <v>4.1598520977217612E-2</v>
      </c>
      <c r="AF219" s="1233">
        <f t="shared" si="112"/>
        <v>6.168201794124735E-2</v>
      </c>
      <c r="AG219" s="1233">
        <f t="shared" si="113"/>
        <v>0.10328053891846496</v>
      </c>
      <c r="AH219" s="1174">
        <f t="shared" si="109"/>
        <v>0.40277211382540956</v>
      </c>
      <c r="AI219" s="1234">
        <f t="shared" si="110"/>
        <v>0.59722788617459044</v>
      </c>
      <c r="AJ219" s="227"/>
      <c r="AK219" s="227"/>
      <c r="AL219" s="227"/>
      <c r="AM219" s="227"/>
    </row>
    <row r="220" spans="1:39" x14ac:dyDescent="0.2">
      <c r="A220" s="330">
        <v>2047</v>
      </c>
      <c r="B220" s="344">
        <v>0</v>
      </c>
      <c r="C220" s="345">
        <v>5.7736586724429106E-2</v>
      </c>
      <c r="D220" s="345">
        <v>0.14985975309749902</v>
      </c>
      <c r="E220" s="345">
        <v>0.18968334353528368</v>
      </c>
      <c r="F220" s="345">
        <v>0.24369602525136919</v>
      </c>
      <c r="G220" s="345">
        <v>0.2484726053846604</v>
      </c>
      <c r="H220" s="345">
        <v>0.25375083326532499</v>
      </c>
      <c r="I220" s="345">
        <v>0.25232322826187481</v>
      </c>
      <c r="J220" s="345">
        <v>0.25277368927519217</v>
      </c>
      <c r="K220" s="345">
        <v>0.25180494022901728</v>
      </c>
      <c r="L220" s="380">
        <v>0.25180494022901728</v>
      </c>
      <c r="M220" s="296">
        <f t="shared" si="104"/>
        <v>4.0568268783917359E-2</v>
      </c>
      <c r="N220" s="298">
        <f t="shared" si="105"/>
        <v>2.1624582954951382E-2</v>
      </c>
      <c r="O220" s="344">
        <v>0</v>
      </c>
      <c r="P220" s="345">
        <v>5.8834256860274277E-2</v>
      </c>
      <c r="Q220" s="345">
        <v>0.15900153687788485</v>
      </c>
      <c r="R220" s="345">
        <v>0.19258329625739648</v>
      </c>
      <c r="S220" s="345">
        <v>0.24547384736325359</v>
      </c>
      <c r="T220" s="345">
        <v>0.24977680475323424</v>
      </c>
      <c r="U220" s="345">
        <v>0.25249633117489362</v>
      </c>
      <c r="V220" s="345">
        <v>0.25277368927519217</v>
      </c>
      <c r="W220" s="345">
        <v>0.2524951154520208</v>
      </c>
      <c r="X220" s="345">
        <v>0.25180494022901728</v>
      </c>
      <c r="Y220" s="380">
        <v>0.25134459470634507</v>
      </c>
      <c r="Z220" s="296">
        <f t="shared" si="106"/>
        <v>5.8851043438936636E-2</v>
      </c>
      <c r="AA220" s="298">
        <f t="shared" si="107"/>
        <v>3.0952973746292824E-2</v>
      </c>
      <c r="AB220" s="949">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50">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8">
        <f t="shared" si="114"/>
        <v>0</v>
      </c>
      <c r="AE220" s="1232">
        <f t="shared" si="111"/>
        <v>4.0568268783917359E-2</v>
      </c>
      <c r="AF220" s="1233">
        <f t="shared" si="112"/>
        <v>5.8851043438936636E-2</v>
      </c>
      <c r="AG220" s="1233">
        <f t="shared" si="113"/>
        <v>9.9419312222853995E-2</v>
      </c>
      <c r="AH220" s="1174">
        <f t="shared" si="109"/>
        <v>0.40805219707194612</v>
      </c>
      <c r="AI220" s="1234">
        <f t="shared" si="110"/>
        <v>0.59194780292805393</v>
      </c>
      <c r="AJ220" s="227"/>
      <c r="AK220" s="227"/>
      <c r="AL220" s="227"/>
      <c r="AM220" s="227"/>
    </row>
    <row r="221" spans="1:39" x14ac:dyDescent="0.2">
      <c r="A221" s="330">
        <v>2048</v>
      </c>
      <c r="B221" s="344">
        <v>0</v>
      </c>
      <c r="C221" s="345">
        <v>5.5826182059798952E-2</v>
      </c>
      <c r="D221" s="345">
        <v>0.14695511651097476</v>
      </c>
      <c r="E221" s="345">
        <v>0.18953192897484236</v>
      </c>
      <c r="F221" s="345">
        <v>0.24370524359918075</v>
      </c>
      <c r="G221" s="345">
        <v>0.24848229307153799</v>
      </c>
      <c r="H221" s="345">
        <v>0.25250661675304797</v>
      </c>
      <c r="I221" s="345">
        <v>0.25125394764239256</v>
      </c>
      <c r="J221" s="345">
        <v>0.25188890767421229</v>
      </c>
      <c r="K221" s="345">
        <v>0.25181554863456213</v>
      </c>
      <c r="L221" s="380">
        <v>0.25181554863456213</v>
      </c>
      <c r="M221" s="296">
        <f t="shared" si="104"/>
        <v>3.9997075518807414E-2</v>
      </c>
      <c r="N221" s="298">
        <f t="shared" si="105"/>
        <v>2.1200282719765921E-2</v>
      </c>
      <c r="O221" s="344">
        <v>0</v>
      </c>
      <c r="P221" s="345">
        <v>5.6744780251963785E-2</v>
      </c>
      <c r="Q221" s="345">
        <v>0.15610611331202853</v>
      </c>
      <c r="R221" s="345">
        <v>0.18999182046900792</v>
      </c>
      <c r="S221" s="345">
        <v>0.24548328864544774</v>
      </c>
      <c r="T221" s="345">
        <v>0.24978669205362039</v>
      </c>
      <c r="U221" s="345">
        <v>0.25250661675304797</v>
      </c>
      <c r="V221" s="345">
        <v>0.25278411492752112</v>
      </c>
      <c r="W221" s="345">
        <v>0.25250565202620701</v>
      </c>
      <c r="X221" s="345">
        <v>0.25181554863456213</v>
      </c>
      <c r="Y221" s="380">
        <v>0.25135525071662551</v>
      </c>
      <c r="Z221" s="296">
        <f t="shared" si="106"/>
        <v>5.7890059412967577E-2</v>
      </c>
      <c r="AA221" s="298">
        <f t="shared" si="107"/>
        <v>3.0224134634625584E-2</v>
      </c>
      <c r="AB221" s="949">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50">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8">
        <f t="shared" si="114"/>
        <v>0</v>
      </c>
      <c r="AE221" s="1232">
        <f t="shared" si="111"/>
        <v>3.9997075518807414E-2</v>
      </c>
      <c r="AF221" s="1233">
        <f t="shared" si="112"/>
        <v>5.7890059412967577E-2</v>
      </c>
      <c r="AG221" s="1233">
        <f t="shared" si="113"/>
        <v>9.7887134931774991E-2</v>
      </c>
      <c r="AH221" s="1174">
        <f t="shared" si="109"/>
        <v>0.40860400650897</v>
      </c>
      <c r="AI221" s="1234">
        <f t="shared" si="110"/>
        <v>0.59139599349103</v>
      </c>
      <c r="AJ221" s="227"/>
      <c r="AK221" s="227"/>
      <c r="AL221" s="227"/>
      <c r="AM221" s="227"/>
    </row>
    <row r="222" spans="1:39" x14ac:dyDescent="0.2">
      <c r="A222" s="330">
        <v>2049</v>
      </c>
      <c r="B222" s="344">
        <v>0</v>
      </c>
      <c r="C222" s="345">
        <v>5.5148743801073728E-2</v>
      </c>
      <c r="D222" s="345">
        <v>0.14684676149800194</v>
      </c>
      <c r="E222" s="345">
        <v>0.18816456813576188</v>
      </c>
      <c r="F222" s="345">
        <v>0.24371446674903641</v>
      </c>
      <c r="G222" s="345">
        <v>0.24849198582747437</v>
      </c>
      <c r="H222" s="345">
        <v>0.25251690774906282</v>
      </c>
      <c r="I222" s="345">
        <v>0.25126433708965806</v>
      </c>
      <c r="J222" s="345">
        <v>0.25189943283020527</v>
      </c>
      <c r="K222" s="345">
        <v>0.25182616265761093</v>
      </c>
      <c r="L222" s="380">
        <v>0.25182616265761093</v>
      </c>
      <c r="M222" s="296">
        <f t="shared" si="104"/>
        <v>3.9823831445556568E-2</v>
      </c>
      <c r="N222" s="298">
        <f t="shared" si="105"/>
        <v>2.1075094144165463E-2</v>
      </c>
      <c r="O222" s="344">
        <v>0</v>
      </c>
      <c r="P222" s="345">
        <v>5.6011050066371929E-2</v>
      </c>
      <c r="Q222" s="345">
        <v>0.15598753703174065</v>
      </c>
      <c r="R222" s="345">
        <v>0.18983554021043825</v>
      </c>
      <c r="S222" s="345">
        <v>0.24549273485780218</v>
      </c>
      <c r="T222" s="345">
        <v>0.2497965845392989</v>
      </c>
      <c r="U222" s="345">
        <v>0.25251690774906282</v>
      </c>
      <c r="V222" s="345">
        <v>0.25279454608212432</v>
      </c>
      <c r="W222" s="345">
        <v>0.25251619417143206</v>
      </c>
      <c r="X222" s="345">
        <v>0.25182616265761093</v>
      </c>
      <c r="Y222" s="380">
        <v>0.25136591237530354</v>
      </c>
      <c r="Z222" s="296">
        <f t="shared" si="106"/>
        <v>5.7673483112699576E-2</v>
      </c>
      <c r="AA222" s="298">
        <f t="shared" si="107"/>
        <v>3.0027304588897862E-2</v>
      </c>
      <c r="AB222" s="949">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50">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8">
        <f t="shared" si="114"/>
        <v>0</v>
      </c>
      <c r="AE222" s="1232">
        <f t="shared" si="111"/>
        <v>3.9823831445556568E-2</v>
      </c>
      <c r="AF222" s="1233">
        <f t="shared" si="112"/>
        <v>5.7673483112699576E-2</v>
      </c>
      <c r="AG222" s="1233">
        <f t="shared" si="113"/>
        <v>9.7497314558256137E-2</v>
      </c>
      <c r="AH222" s="1174">
        <f t="shared" si="109"/>
        <v>0.40846080352050329</v>
      </c>
      <c r="AI222" s="1234">
        <f t="shared" si="110"/>
        <v>0.59153919647949671</v>
      </c>
      <c r="AJ222" s="227"/>
      <c r="AK222" s="227"/>
      <c r="AL222" s="227"/>
      <c r="AM222" s="227"/>
    </row>
    <row r="223" spans="1:39" ht="13.5" thickBot="1" x14ac:dyDescent="0.25">
      <c r="A223" s="328">
        <v>2050</v>
      </c>
      <c r="B223" s="346">
        <v>0</v>
      </c>
      <c r="C223" s="347">
        <v>5.3772760322273724E-2</v>
      </c>
      <c r="D223" s="347">
        <v>0.14534930037158383</v>
      </c>
      <c r="E223" s="347">
        <v>0.18669280631508556</v>
      </c>
      <c r="F223" s="347">
        <v>0.24372369469897998</v>
      </c>
      <c r="G223" s="347">
        <v>0.24850168365044895</v>
      </c>
      <c r="H223" s="347">
        <v>0.25252720416084939</v>
      </c>
      <c r="I223" s="347">
        <v>0.25127473201687994</v>
      </c>
      <c r="J223" s="347">
        <v>0.25190996354688872</v>
      </c>
      <c r="K223" s="347">
        <v>0.25183678229605644</v>
      </c>
      <c r="L223" s="381">
        <v>0.25183678229605644</v>
      </c>
      <c r="M223" s="310">
        <f t="shared" si="104"/>
        <v>3.9417036488727415E-2</v>
      </c>
      <c r="N223" s="312">
        <f t="shared" si="105"/>
        <v>2.0778608821836218E-2</v>
      </c>
      <c r="O223" s="346">
        <v>0</v>
      </c>
      <c r="P223" s="347">
        <v>5.5976196441891148E-2</v>
      </c>
      <c r="Q223" s="347">
        <v>0.15451166975558647</v>
      </c>
      <c r="R223" s="347">
        <v>0.18968189267631666</v>
      </c>
      <c r="S223" s="347">
        <v>0.2455021859983321</v>
      </c>
      <c r="T223" s="347">
        <v>0.24980648220822615</v>
      </c>
      <c r="U223" s="347">
        <v>0.25252720416084939</v>
      </c>
      <c r="V223" s="347">
        <v>0.25280498273690144</v>
      </c>
      <c r="W223" s="347">
        <v>0.25252674188558955</v>
      </c>
      <c r="X223" s="347">
        <v>0.25183678229605644</v>
      </c>
      <c r="Y223" s="381">
        <v>0.25137657968027127</v>
      </c>
      <c r="Z223" s="310">
        <f t="shared" si="106"/>
        <v>5.7531882034342799E-2</v>
      </c>
      <c r="AA223" s="312">
        <f t="shared" si="107"/>
        <v>2.9946308112564365E-2</v>
      </c>
      <c r="AB223" s="951">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2">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9">
        <f t="shared" si="114"/>
        <v>0</v>
      </c>
      <c r="AE223" s="1235">
        <f t="shared" si="111"/>
        <v>3.9417036488727415E-2</v>
      </c>
      <c r="AF223" s="1236">
        <f t="shared" si="112"/>
        <v>5.7531882034342799E-2</v>
      </c>
      <c r="AG223" s="1236">
        <f t="shared" si="113"/>
        <v>9.6948918523070221E-2</v>
      </c>
      <c r="AH223" s="1237">
        <f t="shared" si="109"/>
        <v>0.40657530882459131</v>
      </c>
      <c r="AI223" s="1238">
        <f t="shared" si="110"/>
        <v>0.59342469117540864</v>
      </c>
      <c r="AJ223" s="227"/>
      <c r="AK223" s="227"/>
      <c r="AL223" s="227"/>
      <c r="AM223" s="227"/>
    </row>
    <row r="224" spans="1:39" x14ac:dyDescent="0.2">
      <c r="B224" s="227" t="s">
        <v>241</v>
      </c>
      <c r="U224" s="227" t="s">
        <v>241</v>
      </c>
      <c r="AI224" s="227"/>
    </row>
    <row r="225" spans="1:35" x14ac:dyDescent="0.2">
      <c r="AI225" s="227"/>
    </row>
    <row r="226" spans="1:35" ht="13.5" thickBot="1" x14ac:dyDescent="0.25">
      <c r="AI226" s="227"/>
    </row>
    <row r="227" spans="1:35" ht="15" x14ac:dyDescent="0.25">
      <c r="A227" s="333"/>
      <c r="B227" s="613" t="s">
        <v>217</v>
      </c>
      <c r="C227" s="614"/>
      <c r="D227" s="614"/>
      <c r="E227" s="614"/>
      <c r="F227" s="614"/>
      <c r="G227" s="614"/>
      <c r="H227" s="614"/>
      <c r="I227" s="614"/>
      <c r="J227" s="614"/>
      <c r="K227" s="614"/>
      <c r="L227" s="614"/>
      <c r="M227" s="614"/>
      <c r="N227" s="615"/>
      <c r="O227" s="613" t="s">
        <v>218</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5" t="s">
        <v>268</v>
      </c>
      <c r="AD228" s="234" t="b">
        <f>INDEX(TECH_OPT_FUEL2_Cls3,MATCH(RIGHT(O227),TECH_OPT_ROWS_Cls3,0))&lt;&gt;"N/A"</f>
        <v>1</v>
      </c>
    </row>
    <row r="229" spans="1:35"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7"/>
      <c r="AC229" s="955" t="s">
        <v>269</v>
      </c>
      <c r="AD229" s="234">
        <f>MATCH(RIGHT(O227),TECH_OPT_ROWS_Cls3,0)</f>
        <v>5</v>
      </c>
    </row>
    <row r="230" spans="1:35" ht="14.25"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11">
        <v>1.1022999100839563E-4</v>
      </c>
      <c r="Z230" s="1216"/>
      <c r="AA230" s="1217"/>
      <c r="AI230" s="227"/>
    </row>
    <row r="231" spans="1:35" x14ac:dyDescent="0.2">
      <c r="A231" s="331" t="s">
        <v>125</v>
      </c>
      <c r="B231" s="924">
        <f t="array" ref="B231:L231">TRANSPOSE(Cls3CentVMTShr)</f>
        <v>7.4407503791532936E-2</v>
      </c>
      <c r="C231" s="925">
        <v>0.15052192967997111</v>
      </c>
      <c r="D231" s="925">
        <v>8.9028098283245441E-2</v>
      </c>
      <c r="E231" s="925">
        <v>4.5356257743642811E-2</v>
      </c>
      <c r="F231" s="925">
        <v>2.1016507050137231E-2</v>
      </c>
      <c r="G231" s="925">
        <v>4.9007047894213725E-4</v>
      </c>
      <c r="H231" s="925">
        <v>1.4797621296467818E-2</v>
      </c>
      <c r="I231" s="925">
        <v>0</v>
      </c>
      <c r="J231" s="925">
        <v>0</v>
      </c>
      <c r="K231" s="925">
        <v>3.7103078033661591E-3</v>
      </c>
      <c r="L231" s="1212">
        <v>0</v>
      </c>
      <c r="M231" s="1213"/>
      <c r="N231" s="1214"/>
      <c r="O231" s="924">
        <f t="array" ref="O231:Y231">TRANSPOSE(Cls3NCentVMTShr)</f>
        <v>0.11481596497083862</v>
      </c>
      <c r="P231" s="925">
        <v>0.26987209279577573</v>
      </c>
      <c r="Q231" s="925">
        <v>8.3836105982992667E-2</v>
      </c>
      <c r="R231" s="925">
        <v>5.9842896537765707E-2</v>
      </c>
      <c r="S231" s="925">
        <v>1.6413649143963899E-2</v>
      </c>
      <c r="T231" s="925">
        <v>1.0165768727376887E-2</v>
      </c>
      <c r="U231" s="925">
        <v>2.0700108148562976E-2</v>
      </c>
      <c r="V231" s="925">
        <v>2.0956833812228508E-2</v>
      </c>
      <c r="W231" s="925">
        <v>3.1584958359553582E-3</v>
      </c>
      <c r="X231" s="925">
        <v>0</v>
      </c>
      <c r="Y231" s="926">
        <v>9.0978791723388369E-4</v>
      </c>
      <c r="Z231" s="1213"/>
      <c r="AA231" s="1214"/>
      <c r="AB231" s="1572" t="str">
        <f>"% of miles on f2 for Tech "&amp; RIGHT(O226)&amp;" adopters"</f>
        <v>% of miles on f2 for Tech  adopters</v>
      </c>
      <c r="AC231" s="1573"/>
      <c r="AD231" s="1574"/>
      <c r="AE231" s="1239" t="s">
        <v>299</v>
      </c>
      <c r="AF231" s="1240"/>
      <c r="AG231" s="1240"/>
      <c r="AH231" s="1230" t="s">
        <v>298</v>
      </c>
      <c r="AI231" s="1231"/>
    </row>
    <row r="232" spans="1:35" ht="13.5" thickBot="1" x14ac:dyDescent="0.25">
      <c r="A232" s="943" t="s">
        <v>267</v>
      </c>
      <c r="B232" s="934">
        <f t="array" ref="B232:L232">TRANSPOSE(Cls3CentVMT/OPDAYS_Cls3)</f>
        <v>49.202805162026571</v>
      </c>
      <c r="C232" s="935">
        <v>115.99623692884222</v>
      </c>
      <c r="D232" s="935">
        <v>190.94140758026836</v>
      </c>
      <c r="E232" s="935">
        <v>282.72824571583544</v>
      </c>
      <c r="F232" s="935">
        <v>349.10577157713089</v>
      </c>
      <c r="G232" s="935">
        <v>408.92399999999998</v>
      </c>
      <c r="H232" s="935">
        <v>540.31926836851005</v>
      </c>
      <c r="I232" s="935">
        <v>600</v>
      </c>
      <c r="J232" s="935">
        <v>680</v>
      </c>
      <c r="K232" s="935">
        <v>800.00000000000011</v>
      </c>
      <c r="L232" s="936">
        <v>800</v>
      </c>
      <c r="M232" s="932"/>
      <c r="N232" s="933"/>
      <c r="O232" s="934">
        <f t="array" ref="O232:Y232">TRANSPOSE(Cls3NCentVMT/OPDAYS_Cls3)</f>
        <v>45.820527909508108</v>
      </c>
      <c r="P232" s="935">
        <v>114.90604343518244</v>
      </c>
      <c r="Q232" s="935">
        <v>196.29405935940918</v>
      </c>
      <c r="R232" s="935">
        <v>286.46435582159182</v>
      </c>
      <c r="S232" s="935">
        <v>352.24339419308075</v>
      </c>
      <c r="T232" s="935">
        <v>427.07804424634116</v>
      </c>
      <c r="U232" s="935">
        <v>519.59880241076587</v>
      </c>
      <c r="V232" s="935">
        <v>608.4346682070543</v>
      </c>
      <c r="W232" s="935">
        <v>703.2</v>
      </c>
      <c r="X232" s="935">
        <v>760</v>
      </c>
      <c r="Y232" s="1215">
        <v>900</v>
      </c>
      <c r="Z232" s="944"/>
      <c r="AA232" s="933"/>
      <c r="AB232" s="946" t="s">
        <v>187</v>
      </c>
      <c r="AC232" s="947" t="s">
        <v>15</v>
      </c>
      <c r="AD232" s="948" t="s">
        <v>18</v>
      </c>
      <c r="AE232" s="330" t="s">
        <v>187</v>
      </c>
      <c r="AF232" s="1241" t="s">
        <v>15</v>
      </c>
      <c r="AG232" s="1241" t="s">
        <v>18</v>
      </c>
      <c r="AH232" s="1242" t="s">
        <v>187</v>
      </c>
      <c r="AI232" s="1243" t="s">
        <v>15</v>
      </c>
    </row>
    <row r="233" spans="1:35" ht="13.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9">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50">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8">
        <f>AB233*AH233+AC233*AI233</f>
        <v>0</v>
      </c>
      <c r="AE233" s="1232">
        <f t="shared" ref="AE233:AE247" si="115">SUMPRODUCT($B$74:$L$74,B233:L233)</f>
        <v>0</v>
      </c>
      <c r="AF233" s="1233">
        <f t="shared" ref="AF233:AF247" si="116">SUMPRODUCT($O$74:$Y$74,O233:Y233)</f>
        <v>0</v>
      </c>
      <c r="AG233" s="1233">
        <f t="shared" ref="AG233:AG247" si="117">SUM(AE233:AF233)</f>
        <v>0</v>
      </c>
      <c r="AH233" s="1174">
        <f>IF(AG233&gt;0,AE233/AG233,0)</f>
        <v>0</v>
      </c>
      <c r="AI233" s="1234">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18">SUMPRODUCT(B234:L234,$B$231:$L$231)</f>
        <v>0</v>
      </c>
      <c r="N234" s="298">
        <f t="shared" ref="N234:N276" si="119">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20">SUMPRODUCT(O234:Y234,$O$231:$Y$231)</f>
        <v>0</v>
      </c>
      <c r="AA234" s="298">
        <f t="shared" ref="AA234:AA276" si="121">SUMPRODUCT(O234:Y234,$O$230:$Y$230)</f>
        <v>0</v>
      </c>
      <c r="AB234" s="949">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50">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8">
        <f t="shared" ref="AD234:AD258" si="122">AB234*AH234+AC234*AI234</f>
        <v>0</v>
      </c>
      <c r="AE234" s="1232">
        <f t="shared" si="115"/>
        <v>0</v>
      </c>
      <c r="AF234" s="1233">
        <f t="shared" si="116"/>
        <v>0</v>
      </c>
      <c r="AG234" s="1233">
        <f t="shared" si="117"/>
        <v>0</v>
      </c>
      <c r="AH234" s="1174">
        <f t="shared" ref="AH234:AH276" si="123">IF(AG234&gt;0,AE234/AG234,0)</f>
        <v>0</v>
      </c>
      <c r="AI234" s="1234">
        <f t="shared" ref="AI234:AI276" si="124">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118"/>
        <v>0</v>
      </c>
      <c r="N235" s="298">
        <f t="shared" si="119"/>
        <v>0</v>
      </c>
      <c r="O235" s="344">
        <v>0</v>
      </c>
      <c r="P235" s="345">
        <v>0</v>
      </c>
      <c r="Q235" s="345">
        <v>0</v>
      </c>
      <c r="R235" s="345">
        <v>0</v>
      </c>
      <c r="S235" s="345">
        <v>0</v>
      </c>
      <c r="T235" s="345">
        <v>0</v>
      </c>
      <c r="U235" s="345">
        <v>0</v>
      </c>
      <c r="V235" s="345">
        <v>0</v>
      </c>
      <c r="W235" s="345">
        <v>0</v>
      </c>
      <c r="X235" s="345">
        <v>0</v>
      </c>
      <c r="Y235" s="380">
        <v>0</v>
      </c>
      <c r="Z235" s="296">
        <f t="shared" si="120"/>
        <v>0</v>
      </c>
      <c r="AA235" s="298">
        <f t="shared" si="121"/>
        <v>0</v>
      </c>
      <c r="AB235" s="949">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50">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8">
        <f t="shared" si="122"/>
        <v>0</v>
      </c>
      <c r="AE235" s="1232">
        <f t="shared" si="115"/>
        <v>0</v>
      </c>
      <c r="AF235" s="1233">
        <f t="shared" si="116"/>
        <v>0</v>
      </c>
      <c r="AG235" s="1233">
        <f t="shared" si="117"/>
        <v>0</v>
      </c>
      <c r="AH235" s="1174">
        <f t="shared" si="123"/>
        <v>0</v>
      </c>
      <c r="AI235" s="1234">
        <f t="shared" si="124"/>
        <v>0</v>
      </c>
    </row>
    <row r="236" spans="1:35"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18"/>
        <v>0</v>
      </c>
      <c r="N236" s="312">
        <f t="shared" si="119"/>
        <v>0</v>
      </c>
      <c r="O236" s="346">
        <v>0</v>
      </c>
      <c r="P236" s="347">
        <v>0</v>
      </c>
      <c r="Q236" s="347">
        <v>0</v>
      </c>
      <c r="R236" s="347">
        <v>0</v>
      </c>
      <c r="S236" s="347">
        <v>0</v>
      </c>
      <c r="T236" s="347">
        <v>0</v>
      </c>
      <c r="U236" s="347">
        <v>0</v>
      </c>
      <c r="V236" s="347">
        <v>0</v>
      </c>
      <c r="W236" s="347">
        <v>0</v>
      </c>
      <c r="X236" s="347">
        <v>0</v>
      </c>
      <c r="Y236" s="381">
        <v>0</v>
      </c>
      <c r="Z236" s="310">
        <f t="shared" si="120"/>
        <v>0</v>
      </c>
      <c r="AA236" s="312">
        <f t="shared" si="121"/>
        <v>0</v>
      </c>
      <c r="AB236" s="949">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50">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8">
        <f t="shared" si="122"/>
        <v>0</v>
      </c>
      <c r="AE236" s="1232">
        <f t="shared" si="115"/>
        <v>0</v>
      </c>
      <c r="AF236" s="1233">
        <f t="shared" si="116"/>
        <v>0</v>
      </c>
      <c r="AG236" s="1233">
        <f t="shared" si="117"/>
        <v>0</v>
      </c>
      <c r="AH236" s="1174">
        <f t="shared" si="123"/>
        <v>0</v>
      </c>
      <c r="AI236" s="1234">
        <f t="shared" si="124"/>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118"/>
        <v>0</v>
      </c>
      <c r="N237" s="284">
        <f t="shared" si="119"/>
        <v>0</v>
      </c>
      <c r="O237" s="342">
        <v>0</v>
      </c>
      <c r="P237" s="343">
        <v>0</v>
      </c>
      <c r="Q237" s="343">
        <v>0</v>
      </c>
      <c r="R237" s="343">
        <v>0</v>
      </c>
      <c r="S237" s="343">
        <v>0</v>
      </c>
      <c r="T237" s="343">
        <v>0</v>
      </c>
      <c r="U237" s="343">
        <v>0</v>
      </c>
      <c r="V237" s="343">
        <v>0</v>
      </c>
      <c r="W237" s="343">
        <v>0</v>
      </c>
      <c r="X237" s="343">
        <v>0</v>
      </c>
      <c r="Y237" s="379">
        <v>0</v>
      </c>
      <c r="Z237" s="282">
        <f t="shared" si="120"/>
        <v>0</v>
      </c>
      <c r="AA237" s="284">
        <f t="shared" si="121"/>
        <v>0</v>
      </c>
      <c r="AB237" s="949">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50">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8">
        <f t="shared" si="122"/>
        <v>0</v>
      </c>
      <c r="AE237" s="1232">
        <f t="shared" si="115"/>
        <v>0</v>
      </c>
      <c r="AF237" s="1233">
        <f t="shared" si="116"/>
        <v>0</v>
      </c>
      <c r="AG237" s="1233">
        <f t="shared" si="117"/>
        <v>0</v>
      </c>
      <c r="AH237" s="1174">
        <f t="shared" si="123"/>
        <v>0</v>
      </c>
      <c r="AI237" s="1234">
        <f t="shared" si="124"/>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118"/>
        <v>0</v>
      </c>
      <c r="N238" s="298">
        <f t="shared" si="119"/>
        <v>0</v>
      </c>
      <c r="O238" s="344">
        <v>0</v>
      </c>
      <c r="P238" s="345">
        <v>0</v>
      </c>
      <c r="Q238" s="345">
        <v>0</v>
      </c>
      <c r="R238" s="345">
        <v>0</v>
      </c>
      <c r="S238" s="345">
        <v>0</v>
      </c>
      <c r="T238" s="345">
        <v>0</v>
      </c>
      <c r="U238" s="345">
        <v>0</v>
      </c>
      <c r="V238" s="345">
        <v>0</v>
      </c>
      <c r="W238" s="345">
        <v>0</v>
      </c>
      <c r="X238" s="345">
        <v>0</v>
      </c>
      <c r="Y238" s="380">
        <v>0</v>
      </c>
      <c r="Z238" s="296">
        <f t="shared" si="120"/>
        <v>0</v>
      </c>
      <c r="AA238" s="298">
        <f t="shared" si="121"/>
        <v>0</v>
      </c>
      <c r="AB238" s="949">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50">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8">
        <f t="shared" si="122"/>
        <v>0</v>
      </c>
      <c r="AE238" s="1232">
        <f t="shared" si="115"/>
        <v>0</v>
      </c>
      <c r="AF238" s="1233">
        <f t="shared" si="116"/>
        <v>0</v>
      </c>
      <c r="AG238" s="1233">
        <f t="shared" si="117"/>
        <v>0</v>
      </c>
      <c r="AH238" s="1174">
        <f t="shared" si="123"/>
        <v>0</v>
      </c>
      <c r="AI238" s="1234">
        <f t="shared" si="124"/>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118"/>
        <v>0</v>
      </c>
      <c r="N239" s="298">
        <f t="shared" si="119"/>
        <v>0</v>
      </c>
      <c r="O239" s="344">
        <v>0</v>
      </c>
      <c r="P239" s="345">
        <v>0</v>
      </c>
      <c r="Q239" s="345">
        <v>0</v>
      </c>
      <c r="R239" s="345">
        <v>0</v>
      </c>
      <c r="S239" s="345">
        <v>0</v>
      </c>
      <c r="T239" s="345">
        <v>0</v>
      </c>
      <c r="U239" s="345">
        <v>0</v>
      </c>
      <c r="V239" s="345">
        <v>0</v>
      </c>
      <c r="W239" s="345">
        <v>0</v>
      </c>
      <c r="X239" s="345">
        <v>0</v>
      </c>
      <c r="Y239" s="380">
        <v>0</v>
      </c>
      <c r="Z239" s="296">
        <f t="shared" si="120"/>
        <v>0</v>
      </c>
      <c r="AA239" s="298">
        <f t="shared" si="121"/>
        <v>0</v>
      </c>
      <c r="AB239" s="949">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50">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8">
        <f t="shared" si="122"/>
        <v>0</v>
      </c>
      <c r="AE239" s="1232">
        <f t="shared" si="115"/>
        <v>0</v>
      </c>
      <c r="AF239" s="1233">
        <f t="shared" si="116"/>
        <v>0</v>
      </c>
      <c r="AG239" s="1233">
        <f t="shared" si="117"/>
        <v>0</v>
      </c>
      <c r="AH239" s="1174">
        <f t="shared" si="123"/>
        <v>0</v>
      </c>
      <c r="AI239" s="1234">
        <f t="shared" si="124"/>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118"/>
        <v>0</v>
      </c>
      <c r="N240" s="298">
        <f t="shared" si="119"/>
        <v>0</v>
      </c>
      <c r="O240" s="344">
        <v>0</v>
      </c>
      <c r="P240" s="345">
        <v>0</v>
      </c>
      <c r="Q240" s="345">
        <v>0</v>
      </c>
      <c r="R240" s="345">
        <v>0</v>
      </c>
      <c r="S240" s="345">
        <v>0</v>
      </c>
      <c r="T240" s="345">
        <v>0</v>
      </c>
      <c r="U240" s="345">
        <v>0</v>
      </c>
      <c r="V240" s="345">
        <v>0</v>
      </c>
      <c r="W240" s="345">
        <v>0</v>
      </c>
      <c r="X240" s="345">
        <v>0</v>
      </c>
      <c r="Y240" s="380">
        <v>0</v>
      </c>
      <c r="Z240" s="296">
        <f t="shared" si="120"/>
        <v>0</v>
      </c>
      <c r="AA240" s="298">
        <f t="shared" si="121"/>
        <v>0</v>
      </c>
      <c r="AB240" s="949">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50">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8">
        <f t="shared" si="122"/>
        <v>0</v>
      </c>
      <c r="AE240" s="1232">
        <f t="shared" si="115"/>
        <v>0</v>
      </c>
      <c r="AF240" s="1233">
        <f t="shared" si="116"/>
        <v>0</v>
      </c>
      <c r="AG240" s="1233">
        <f t="shared" si="117"/>
        <v>0</v>
      </c>
      <c r="AH240" s="1174">
        <f t="shared" si="123"/>
        <v>0</v>
      </c>
      <c r="AI240" s="1234">
        <f t="shared" si="124"/>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18"/>
        <v>0</v>
      </c>
      <c r="N241" s="312">
        <f t="shared" si="119"/>
        <v>0</v>
      </c>
      <c r="O241" s="346">
        <v>0</v>
      </c>
      <c r="P241" s="347">
        <v>0</v>
      </c>
      <c r="Q241" s="347">
        <v>0</v>
      </c>
      <c r="R241" s="347">
        <v>0</v>
      </c>
      <c r="S241" s="347">
        <v>0</v>
      </c>
      <c r="T241" s="347">
        <v>0</v>
      </c>
      <c r="U241" s="347">
        <v>0</v>
      </c>
      <c r="V241" s="347">
        <v>0</v>
      </c>
      <c r="W241" s="347">
        <v>0</v>
      </c>
      <c r="X241" s="347">
        <v>0</v>
      </c>
      <c r="Y241" s="381">
        <v>0</v>
      </c>
      <c r="Z241" s="310">
        <f t="shared" si="120"/>
        <v>0</v>
      </c>
      <c r="AA241" s="312">
        <f t="shared" si="121"/>
        <v>0</v>
      </c>
      <c r="AB241" s="949">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50">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8">
        <f t="shared" si="122"/>
        <v>0</v>
      </c>
      <c r="AE241" s="1232">
        <f t="shared" si="115"/>
        <v>0</v>
      </c>
      <c r="AF241" s="1233">
        <f t="shared" si="116"/>
        <v>0</v>
      </c>
      <c r="AG241" s="1233">
        <f t="shared" si="117"/>
        <v>0</v>
      </c>
      <c r="AH241" s="1174">
        <f t="shared" si="123"/>
        <v>0</v>
      </c>
      <c r="AI241" s="1234">
        <f t="shared" si="124"/>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18"/>
        <v>0</v>
      </c>
      <c r="N242" s="284">
        <f t="shared" si="119"/>
        <v>0</v>
      </c>
      <c r="O242" s="342">
        <v>0</v>
      </c>
      <c r="P242" s="343">
        <v>0</v>
      </c>
      <c r="Q242" s="343">
        <v>0</v>
      </c>
      <c r="R242" s="343">
        <v>0</v>
      </c>
      <c r="S242" s="343">
        <v>0</v>
      </c>
      <c r="T242" s="343">
        <v>0</v>
      </c>
      <c r="U242" s="343">
        <v>0</v>
      </c>
      <c r="V242" s="343">
        <v>0</v>
      </c>
      <c r="W242" s="343">
        <v>0</v>
      </c>
      <c r="X242" s="343">
        <v>0</v>
      </c>
      <c r="Y242" s="379">
        <v>0</v>
      </c>
      <c r="Z242" s="282">
        <f t="shared" si="120"/>
        <v>0</v>
      </c>
      <c r="AA242" s="284">
        <f t="shared" si="121"/>
        <v>0</v>
      </c>
      <c r="AB242" s="949">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50">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8">
        <f t="shared" si="122"/>
        <v>0</v>
      </c>
      <c r="AE242" s="1232">
        <f t="shared" si="115"/>
        <v>0</v>
      </c>
      <c r="AF242" s="1233">
        <f t="shared" si="116"/>
        <v>0</v>
      </c>
      <c r="AG242" s="1233">
        <f t="shared" si="117"/>
        <v>0</v>
      </c>
      <c r="AH242" s="1174">
        <f t="shared" si="123"/>
        <v>0</v>
      </c>
      <c r="AI242" s="1234">
        <f t="shared" si="124"/>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18"/>
        <v>0</v>
      </c>
      <c r="N243" s="298">
        <f t="shared" si="119"/>
        <v>0</v>
      </c>
      <c r="O243" s="344">
        <v>0</v>
      </c>
      <c r="P243" s="345">
        <v>0</v>
      </c>
      <c r="Q243" s="345">
        <v>0</v>
      </c>
      <c r="R243" s="345">
        <v>0</v>
      </c>
      <c r="S243" s="345">
        <v>0</v>
      </c>
      <c r="T243" s="345">
        <v>0</v>
      </c>
      <c r="U243" s="345">
        <v>0</v>
      </c>
      <c r="V243" s="345">
        <v>0</v>
      </c>
      <c r="W243" s="345">
        <v>0</v>
      </c>
      <c r="X243" s="345">
        <v>0</v>
      </c>
      <c r="Y243" s="380">
        <v>0</v>
      </c>
      <c r="Z243" s="296">
        <f t="shared" si="120"/>
        <v>0</v>
      </c>
      <c r="AA243" s="298">
        <f t="shared" si="121"/>
        <v>0</v>
      </c>
      <c r="AB243" s="949">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50">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8">
        <f t="shared" si="122"/>
        <v>0</v>
      </c>
      <c r="AE243" s="1232">
        <f t="shared" si="115"/>
        <v>0</v>
      </c>
      <c r="AF243" s="1233">
        <f t="shared" si="116"/>
        <v>0</v>
      </c>
      <c r="AG243" s="1233">
        <f t="shared" si="117"/>
        <v>0</v>
      </c>
      <c r="AH243" s="1174">
        <f t="shared" si="123"/>
        <v>0</v>
      </c>
      <c r="AI243" s="1234">
        <f t="shared" si="124"/>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18"/>
        <v>0</v>
      </c>
      <c r="N244" s="298">
        <f t="shared" si="119"/>
        <v>0</v>
      </c>
      <c r="O244" s="344">
        <v>0</v>
      </c>
      <c r="P244" s="345">
        <v>0</v>
      </c>
      <c r="Q244" s="345">
        <v>0</v>
      </c>
      <c r="R244" s="345">
        <v>0</v>
      </c>
      <c r="S244" s="345">
        <v>0</v>
      </c>
      <c r="T244" s="345">
        <v>0</v>
      </c>
      <c r="U244" s="345">
        <v>0</v>
      </c>
      <c r="V244" s="345">
        <v>0</v>
      </c>
      <c r="W244" s="345">
        <v>0</v>
      </c>
      <c r="X244" s="345">
        <v>0</v>
      </c>
      <c r="Y244" s="380">
        <v>0</v>
      </c>
      <c r="Z244" s="296">
        <f t="shared" si="120"/>
        <v>0</v>
      </c>
      <c r="AA244" s="298">
        <f t="shared" si="121"/>
        <v>0</v>
      </c>
      <c r="AB244" s="949">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50">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8">
        <f t="shared" si="122"/>
        <v>0</v>
      </c>
      <c r="AE244" s="1232">
        <f t="shared" si="115"/>
        <v>0</v>
      </c>
      <c r="AF244" s="1233">
        <f t="shared" si="116"/>
        <v>0</v>
      </c>
      <c r="AG244" s="1233">
        <f t="shared" si="117"/>
        <v>0</v>
      </c>
      <c r="AH244" s="1174">
        <f t="shared" si="123"/>
        <v>0</v>
      </c>
      <c r="AI244" s="1234">
        <f t="shared" si="124"/>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18"/>
        <v>0</v>
      </c>
      <c r="N245" s="298">
        <f t="shared" si="119"/>
        <v>0</v>
      </c>
      <c r="O245" s="344">
        <v>0</v>
      </c>
      <c r="P245" s="345">
        <v>0</v>
      </c>
      <c r="Q245" s="345">
        <v>0</v>
      </c>
      <c r="R245" s="345">
        <v>0</v>
      </c>
      <c r="S245" s="345">
        <v>0</v>
      </c>
      <c r="T245" s="345">
        <v>0</v>
      </c>
      <c r="U245" s="345">
        <v>0</v>
      </c>
      <c r="V245" s="345">
        <v>0</v>
      </c>
      <c r="W245" s="345">
        <v>0</v>
      </c>
      <c r="X245" s="345">
        <v>0</v>
      </c>
      <c r="Y245" s="380">
        <v>0</v>
      </c>
      <c r="Z245" s="296">
        <f t="shared" si="120"/>
        <v>0</v>
      </c>
      <c r="AA245" s="298">
        <f t="shared" si="121"/>
        <v>0</v>
      </c>
      <c r="AB245" s="949">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50">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8">
        <f t="shared" si="122"/>
        <v>0</v>
      </c>
      <c r="AE245" s="1232">
        <f t="shared" si="115"/>
        <v>0</v>
      </c>
      <c r="AF245" s="1233">
        <f t="shared" si="116"/>
        <v>0</v>
      </c>
      <c r="AG245" s="1233">
        <f t="shared" si="117"/>
        <v>0</v>
      </c>
      <c r="AH245" s="1174">
        <f t="shared" si="123"/>
        <v>0</v>
      </c>
      <c r="AI245" s="1234">
        <f t="shared" si="124"/>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18"/>
        <v>0</v>
      </c>
      <c r="N246" s="312">
        <f t="shared" si="119"/>
        <v>0</v>
      </c>
      <c r="O246" s="346">
        <v>0</v>
      </c>
      <c r="P246" s="347">
        <v>0</v>
      </c>
      <c r="Q246" s="347">
        <v>0</v>
      </c>
      <c r="R246" s="347">
        <v>0</v>
      </c>
      <c r="S246" s="347">
        <v>0</v>
      </c>
      <c r="T246" s="347">
        <v>0</v>
      </c>
      <c r="U246" s="347">
        <v>0</v>
      </c>
      <c r="V246" s="347">
        <v>0</v>
      </c>
      <c r="W246" s="347">
        <v>0</v>
      </c>
      <c r="X246" s="347">
        <v>0</v>
      </c>
      <c r="Y246" s="381">
        <v>0</v>
      </c>
      <c r="Z246" s="310">
        <f t="shared" si="120"/>
        <v>0</v>
      </c>
      <c r="AA246" s="312">
        <f t="shared" si="121"/>
        <v>0</v>
      </c>
      <c r="AB246" s="949">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50">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8">
        <f t="shared" si="122"/>
        <v>0</v>
      </c>
      <c r="AE246" s="1232">
        <f t="shared" si="115"/>
        <v>0</v>
      </c>
      <c r="AF246" s="1233">
        <f t="shared" si="116"/>
        <v>0</v>
      </c>
      <c r="AG246" s="1233">
        <f t="shared" si="117"/>
        <v>0</v>
      </c>
      <c r="AH246" s="1174">
        <f t="shared" si="123"/>
        <v>0</v>
      </c>
      <c r="AI246" s="1234">
        <f t="shared" si="124"/>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18"/>
        <v>0</v>
      </c>
      <c r="N247" s="284">
        <f t="shared" si="119"/>
        <v>0</v>
      </c>
      <c r="O247" s="342">
        <v>0</v>
      </c>
      <c r="P247" s="343">
        <v>0</v>
      </c>
      <c r="Q247" s="343">
        <v>0</v>
      </c>
      <c r="R247" s="343">
        <v>0</v>
      </c>
      <c r="S247" s="343">
        <v>0</v>
      </c>
      <c r="T247" s="343">
        <v>0</v>
      </c>
      <c r="U247" s="343">
        <v>0</v>
      </c>
      <c r="V247" s="343">
        <v>0</v>
      </c>
      <c r="W247" s="343">
        <v>0</v>
      </c>
      <c r="X247" s="343">
        <v>0</v>
      </c>
      <c r="Y247" s="379">
        <v>0</v>
      </c>
      <c r="Z247" s="282">
        <f t="shared" si="120"/>
        <v>0</v>
      </c>
      <c r="AA247" s="284">
        <f t="shared" si="121"/>
        <v>0</v>
      </c>
      <c r="AB247" s="949">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50">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8">
        <f t="shared" si="122"/>
        <v>0</v>
      </c>
      <c r="AE247" s="1232">
        <f t="shared" si="115"/>
        <v>0</v>
      </c>
      <c r="AF247" s="1233">
        <f t="shared" si="116"/>
        <v>0</v>
      </c>
      <c r="AG247" s="1233">
        <f t="shared" si="117"/>
        <v>0</v>
      </c>
      <c r="AH247" s="1174">
        <f t="shared" si="123"/>
        <v>0</v>
      </c>
      <c r="AI247" s="1234">
        <f t="shared" si="124"/>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18"/>
        <v>0</v>
      </c>
      <c r="N248" s="298">
        <f t="shared" si="119"/>
        <v>0</v>
      </c>
      <c r="O248" s="344">
        <v>0</v>
      </c>
      <c r="P248" s="345">
        <v>0</v>
      </c>
      <c r="Q248" s="345">
        <v>0</v>
      </c>
      <c r="R248" s="345">
        <v>0</v>
      </c>
      <c r="S248" s="345">
        <v>0</v>
      </c>
      <c r="T248" s="345">
        <v>0</v>
      </c>
      <c r="U248" s="345">
        <v>0</v>
      </c>
      <c r="V248" s="345">
        <v>0</v>
      </c>
      <c r="W248" s="345">
        <v>0</v>
      </c>
      <c r="X248" s="345">
        <v>0</v>
      </c>
      <c r="Y248" s="380">
        <v>0</v>
      </c>
      <c r="Z248" s="296">
        <f t="shared" si="120"/>
        <v>0</v>
      </c>
      <c r="AA248" s="298">
        <f t="shared" si="121"/>
        <v>0</v>
      </c>
      <c r="AB248" s="949">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50">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8">
        <f t="shared" si="122"/>
        <v>0</v>
      </c>
      <c r="AE248" s="1232">
        <f>SUMPRODUCT($B$74:$L$74,B248:L248)</f>
        <v>0</v>
      </c>
      <c r="AF248" s="1233">
        <f>SUMPRODUCT($O$74:$Y$74,O248:Y248)</f>
        <v>0</v>
      </c>
      <c r="AG248" s="1233">
        <f>SUM(AE248:AF248)</f>
        <v>0</v>
      </c>
      <c r="AH248" s="1174">
        <f t="shared" si="123"/>
        <v>0</v>
      </c>
      <c r="AI248" s="1234">
        <f t="shared" si="124"/>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18"/>
        <v>0</v>
      </c>
      <c r="N249" s="298">
        <f t="shared" si="119"/>
        <v>0</v>
      </c>
      <c r="O249" s="344">
        <v>0</v>
      </c>
      <c r="P249" s="345">
        <v>0</v>
      </c>
      <c r="Q249" s="345">
        <v>0</v>
      </c>
      <c r="R249" s="345">
        <v>0</v>
      </c>
      <c r="S249" s="345">
        <v>0</v>
      </c>
      <c r="T249" s="345">
        <v>0</v>
      </c>
      <c r="U249" s="345">
        <v>0</v>
      </c>
      <c r="V249" s="345">
        <v>0</v>
      </c>
      <c r="W249" s="345">
        <v>0</v>
      </c>
      <c r="X249" s="345">
        <v>0</v>
      </c>
      <c r="Y249" s="380">
        <v>0</v>
      </c>
      <c r="Z249" s="296">
        <f t="shared" si="120"/>
        <v>0</v>
      </c>
      <c r="AA249" s="298">
        <f t="shared" si="121"/>
        <v>0</v>
      </c>
      <c r="AB249" s="949">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50">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8">
        <f t="shared" si="122"/>
        <v>0</v>
      </c>
      <c r="AE249" s="1232">
        <f t="shared" ref="AE249:AE276" si="125">SUMPRODUCT($B$74:$L$74,B249:L249)</f>
        <v>0</v>
      </c>
      <c r="AF249" s="1233">
        <f t="shared" ref="AF249:AF276" si="126">SUMPRODUCT($O$74:$Y$74,O249:Y249)</f>
        <v>0</v>
      </c>
      <c r="AG249" s="1233">
        <f t="shared" ref="AG249:AG276" si="127">SUM(AE249:AF249)</f>
        <v>0</v>
      </c>
      <c r="AH249" s="1174">
        <f t="shared" si="123"/>
        <v>0</v>
      </c>
      <c r="AI249" s="1234">
        <f t="shared" si="124"/>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18"/>
        <v>0</v>
      </c>
      <c r="N250" s="298">
        <f t="shared" si="119"/>
        <v>0</v>
      </c>
      <c r="O250" s="344">
        <v>0</v>
      </c>
      <c r="P250" s="345">
        <v>0</v>
      </c>
      <c r="Q250" s="345">
        <v>0</v>
      </c>
      <c r="R250" s="345">
        <v>0</v>
      </c>
      <c r="S250" s="345">
        <v>0</v>
      </c>
      <c r="T250" s="345">
        <v>0</v>
      </c>
      <c r="U250" s="345">
        <v>0</v>
      </c>
      <c r="V250" s="345">
        <v>0</v>
      </c>
      <c r="W250" s="345">
        <v>0</v>
      </c>
      <c r="X250" s="345">
        <v>0</v>
      </c>
      <c r="Y250" s="380">
        <v>0</v>
      </c>
      <c r="Z250" s="296">
        <f t="shared" si="120"/>
        <v>0</v>
      </c>
      <c r="AA250" s="298">
        <f t="shared" si="121"/>
        <v>0</v>
      </c>
      <c r="AB250" s="949">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50">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8">
        <f t="shared" si="122"/>
        <v>0</v>
      </c>
      <c r="AE250" s="1232">
        <f t="shared" si="125"/>
        <v>0</v>
      </c>
      <c r="AF250" s="1233">
        <f t="shared" si="126"/>
        <v>0</v>
      </c>
      <c r="AG250" s="1233">
        <f t="shared" si="127"/>
        <v>0</v>
      </c>
      <c r="AH250" s="1174">
        <f t="shared" si="123"/>
        <v>0</v>
      </c>
      <c r="AI250" s="1234">
        <f t="shared" si="124"/>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18"/>
        <v>0</v>
      </c>
      <c r="N251" s="312">
        <f t="shared" si="119"/>
        <v>0</v>
      </c>
      <c r="O251" s="346">
        <v>0</v>
      </c>
      <c r="P251" s="347">
        <v>0</v>
      </c>
      <c r="Q251" s="347">
        <v>0</v>
      </c>
      <c r="R251" s="347">
        <v>0</v>
      </c>
      <c r="S251" s="347">
        <v>0</v>
      </c>
      <c r="T251" s="347">
        <v>0</v>
      </c>
      <c r="U251" s="347">
        <v>0</v>
      </c>
      <c r="V251" s="347">
        <v>0</v>
      </c>
      <c r="W251" s="347">
        <v>0</v>
      </c>
      <c r="X251" s="347">
        <v>0</v>
      </c>
      <c r="Y251" s="381">
        <v>2.6463311092924909E-4</v>
      </c>
      <c r="Z251" s="310">
        <f t="shared" si="120"/>
        <v>2.4076000682344484E-7</v>
      </c>
      <c r="AA251" s="312">
        <f t="shared" si="121"/>
        <v>2.9170505438254891E-8</v>
      </c>
      <c r="AB251" s="949">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50">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0.16817204428324778</v>
      </c>
      <c r="AD251" s="1228">
        <f t="shared" si="122"/>
        <v>0.16817204428324778</v>
      </c>
      <c r="AE251" s="1232">
        <f t="shared" si="125"/>
        <v>0</v>
      </c>
      <c r="AF251" s="1233">
        <f t="shared" si="126"/>
        <v>2.4076000682344484E-7</v>
      </c>
      <c r="AG251" s="1233">
        <f t="shared" si="127"/>
        <v>2.4076000682344484E-7</v>
      </c>
      <c r="AH251" s="1174">
        <f t="shared" si="123"/>
        <v>0</v>
      </c>
      <c r="AI251" s="1234">
        <f t="shared" si="124"/>
        <v>1</v>
      </c>
    </row>
    <row r="252" spans="1:35" x14ac:dyDescent="0.2">
      <c r="A252" s="329">
        <v>2026</v>
      </c>
      <c r="B252" s="342">
        <v>0</v>
      </c>
      <c r="C252" s="343">
        <v>0</v>
      </c>
      <c r="D252" s="343">
        <v>0</v>
      </c>
      <c r="E252" s="343">
        <v>0</v>
      </c>
      <c r="F252" s="343">
        <v>0</v>
      </c>
      <c r="G252" s="343">
        <v>0</v>
      </c>
      <c r="H252" s="343">
        <v>0</v>
      </c>
      <c r="I252" s="343">
        <v>0</v>
      </c>
      <c r="J252" s="343">
        <v>0</v>
      </c>
      <c r="K252" s="343">
        <v>3.2953660254050567E-4</v>
      </c>
      <c r="L252" s="379">
        <v>3.2953660254050567E-4</v>
      </c>
      <c r="M252" s="282">
        <f t="shared" si="118"/>
        <v>1.2226822279008106E-6</v>
      </c>
      <c r="N252" s="284">
        <f t="shared" si="119"/>
        <v>1.6665783254418276E-7</v>
      </c>
      <c r="O252" s="342">
        <v>0</v>
      </c>
      <c r="P252" s="343">
        <v>0</v>
      </c>
      <c r="Q252" s="343">
        <v>0</v>
      </c>
      <c r="R252" s="343">
        <v>0</v>
      </c>
      <c r="S252" s="343">
        <v>0</v>
      </c>
      <c r="T252" s="343">
        <v>0</v>
      </c>
      <c r="U252" s="343">
        <v>0</v>
      </c>
      <c r="V252" s="343">
        <v>0</v>
      </c>
      <c r="W252" s="343">
        <v>1.68012565849405E-4</v>
      </c>
      <c r="X252" s="343">
        <v>6.2532625992442719E-4</v>
      </c>
      <c r="Y252" s="379">
        <v>4.476992918817221E-3</v>
      </c>
      <c r="Z252" s="282">
        <f t="shared" si="120"/>
        <v>4.6037810527050865E-6</v>
      </c>
      <c r="AA252" s="284">
        <f t="shared" si="121"/>
        <v>5.7578856049548332E-7</v>
      </c>
      <c r="AB252" s="949">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950">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0.17434696164106159</v>
      </c>
      <c r="AD252" s="1228">
        <f t="shared" si="122"/>
        <v>0.17763400191747541</v>
      </c>
      <c r="AE252" s="1232">
        <f t="shared" si="125"/>
        <v>1.2226822279008106E-6</v>
      </c>
      <c r="AF252" s="1233">
        <f t="shared" si="126"/>
        <v>4.6037810527050865E-6</v>
      </c>
      <c r="AG252" s="1233">
        <f t="shared" si="127"/>
        <v>5.8264632806058969E-6</v>
      </c>
      <c r="AH252" s="1174">
        <f t="shared" si="123"/>
        <v>0.20984981265919234</v>
      </c>
      <c r="AI252" s="1234">
        <f t="shared" si="124"/>
        <v>0.79015018734080766</v>
      </c>
    </row>
    <row r="253" spans="1:35" x14ac:dyDescent="0.2">
      <c r="A253" s="330">
        <v>2027</v>
      </c>
      <c r="B253" s="344">
        <v>0</v>
      </c>
      <c r="C253" s="345">
        <v>0</v>
      </c>
      <c r="D253" s="345">
        <v>0</v>
      </c>
      <c r="E253" s="345">
        <v>0</v>
      </c>
      <c r="F253" s="345">
        <v>0</v>
      </c>
      <c r="G253" s="345">
        <v>0</v>
      </c>
      <c r="H253" s="345">
        <v>0</v>
      </c>
      <c r="I253" s="345">
        <v>9.6899006435170439E-5</v>
      </c>
      <c r="J253" s="345">
        <v>1.1839050004320052E-3</v>
      </c>
      <c r="K253" s="345">
        <v>7.9705489790298963E-3</v>
      </c>
      <c r="L253" s="380">
        <v>7.9705489790298963E-3</v>
      </c>
      <c r="M253" s="296">
        <f t="shared" si="118"/>
        <v>2.9573190074006796E-5</v>
      </c>
      <c r="N253" s="298">
        <f t="shared" si="119"/>
        <v>4.0309768529251433E-6</v>
      </c>
      <c r="O253" s="344">
        <v>0</v>
      </c>
      <c r="P253" s="345">
        <v>0</v>
      </c>
      <c r="Q253" s="345">
        <v>0</v>
      </c>
      <c r="R253" s="345">
        <v>0</v>
      </c>
      <c r="S253" s="345">
        <v>0</v>
      </c>
      <c r="T253" s="345">
        <v>0</v>
      </c>
      <c r="U253" s="345">
        <v>3.1547491637477326E-5</v>
      </c>
      <c r="V253" s="345">
        <v>8.7382045129884246E-4</v>
      </c>
      <c r="W253" s="345">
        <v>4.8444877231193922E-3</v>
      </c>
      <c r="X253" s="345">
        <v>1.0099220959914975E-2</v>
      </c>
      <c r="Y253" s="380">
        <v>2.5974850737154703E-2</v>
      </c>
      <c r="Z253" s="296">
        <f t="shared" si="120"/>
        <v>5.7898446121734464E-5</v>
      </c>
      <c r="AA253" s="298">
        <f t="shared" si="121"/>
        <v>8.6549829287201051E-6</v>
      </c>
      <c r="AB253" s="949">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950">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0.20928066307333232</v>
      </c>
      <c r="AD253" s="1228">
        <f t="shared" si="122"/>
        <v>0.20304199655289151</v>
      </c>
      <c r="AE253" s="1232">
        <f t="shared" si="125"/>
        <v>2.9573190074006796E-5</v>
      </c>
      <c r="AF253" s="1233">
        <f t="shared" si="126"/>
        <v>5.7898446121734464E-5</v>
      </c>
      <c r="AG253" s="1233">
        <f t="shared" si="127"/>
        <v>8.747163619574126E-5</v>
      </c>
      <c r="AH253" s="1174">
        <f t="shared" si="123"/>
        <v>0.33808890927601776</v>
      </c>
      <c r="AI253" s="1234">
        <f t="shared" si="124"/>
        <v>0.66191109072398224</v>
      </c>
    </row>
    <row r="254" spans="1:35" x14ac:dyDescent="0.2">
      <c r="A254" s="330">
        <v>2028</v>
      </c>
      <c r="B254" s="344">
        <v>0</v>
      </c>
      <c r="C254" s="345">
        <v>0</v>
      </c>
      <c r="D254" s="345">
        <v>0</v>
      </c>
      <c r="E254" s="345">
        <v>0</v>
      </c>
      <c r="F254" s="345">
        <v>0</v>
      </c>
      <c r="G254" s="345">
        <v>0</v>
      </c>
      <c r="H254" s="345">
        <v>6.719476440011006E-4</v>
      </c>
      <c r="I254" s="345">
        <v>3.0372826061200319E-3</v>
      </c>
      <c r="J254" s="345">
        <v>1.1065991503648634E-2</v>
      </c>
      <c r="K254" s="345">
        <v>3.1840832296738855E-2</v>
      </c>
      <c r="L254" s="380">
        <v>3.1840832296738855E-2</v>
      </c>
      <c r="M254" s="296">
        <f t="shared" si="118"/>
        <v>1.2808251530324545E-4</v>
      </c>
      <c r="N254" s="298">
        <f t="shared" si="119"/>
        <v>1.8109672508743821E-5</v>
      </c>
      <c r="O254" s="344">
        <v>0</v>
      </c>
      <c r="P254" s="345">
        <v>0</v>
      </c>
      <c r="Q254" s="345">
        <v>0</v>
      </c>
      <c r="R254" s="345">
        <v>0</v>
      </c>
      <c r="S254" s="345">
        <v>0</v>
      </c>
      <c r="T254" s="345">
        <v>0</v>
      </c>
      <c r="U254" s="345">
        <v>1.7123799220653318E-3</v>
      </c>
      <c r="V254" s="345">
        <v>9.8209120220944975E-3</v>
      </c>
      <c r="W254" s="345">
        <v>2.6275030361558073E-2</v>
      </c>
      <c r="X254" s="345">
        <v>3.8190865731873788E-2</v>
      </c>
      <c r="Y254" s="380">
        <v>6.636487890454007E-2</v>
      </c>
      <c r="Z254" s="296">
        <f t="shared" si="120"/>
        <v>3.8462920965235379E-4</v>
      </c>
      <c r="AA254" s="298">
        <f t="shared" si="121"/>
        <v>6.4509672242006746E-5</v>
      </c>
      <c r="AB254" s="949">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0.19879541474882895</v>
      </c>
      <c r="AC254" s="950">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0.23581324085993241</v>
      </c>
      <c r="AD254" s="1228">
        <f t="shared" si="122"/>
        <v>0.22656567337007466</v>
      </c>
      <c r="AE254" s="1232">
        <f t="shared" si="125"/>
        <v>1.2808251530324545E-4</v>
      </c>
      <c r="AF254" s="1233">
        <f t="shared" si="126"/>
        <v>3.8462920965235379E-4</v>
      </c>
      <c r="AG254" s="1233">
        <f t="shared" si="127"/>
        <v>5.1271172495559925E-4</v>
      </c>
      <c r="AH254" s="1174">
        <f t="shared" si="123"/>
        <v>0.24981389944678439</v>
      </c>
      <c r="AI254" s="1234">
        <f t="shared" si="124"/>
        <v>0.75018610055321555</v>
      </c>
    </row>
    <row r="255" spans="1:35" x14ac:dyDescent="0.2">
      <c r="A255" s="330">
        <v>2029</v>
      </c>
      <c r="B255" s="344">
        <v>0</v>
      </c>
      <c r="C255" s="345">
        <v>0</v>
      </c>
      <c r="D255" s="345">
        <v>0</v>
      </c>
      <c r="E255" s="345">
        <v>0</v>
      </c>
      <c r="F255" s="345">
        <v>0</v>
      </c>
      <c r="G255" s="345">
        <v>2.4060802294096565E-4</v>
      </c>
      <c r="H255" s="345">
        <v>1.2836733182602528E-2</v>
      </c>
      <c r="I255" s="345">
        <v>2.4782798728839341E-2</v>
      </c>
      <c r="J255" s="345">
        <v>4.782098401741295E-2</v>
      </c>
      <c r="K255" s="345">
        <v>8.1265183981874017E-2</v>
      </c>
      <c r="L255" s="380">
        <v>8.1265183981874017E-2</v>
      </c>
      <c r="M255" s="296">
        <f t="shared" si="118"/>
        <v>4.9158987747892802E-4</v>
      </c>
      <c r="N255" s="298">
        <f t="shared" si="119"/>
        <v>7.9465233045232498E-5</v>
      </c>
      <c r="O255" s="344">
        <v>0</v>
      </c>
      <c r="P255" s="345">
        <v>0</v>
      </c>
      <c r="Q255" s="345">
        <v>0</v>
      </c>
      <c r="R255" s="345">
        <v>0</v>
      </c>
      <c r="S255" s="345">
        <v>8.1011355216689898E-5</v>
      </c>
      <c r="T255" s="345">
        <v>3.0893762528636181E-3</v>
      </c>
      <c r="U255" s="345">
        <v>1.8092945799832404E-2</v>
      </c>
      <c r="V255" s="345">
        <v>4.4000527616737464E-2</v>
      </c>
      <c r="W255" s="345">
        <v>7.0837904420819747E-2</v>
      </c>
      <c r="X255" s="345">
        <v>8.6731018076461011E-2</v>
      </c>
      <c r="Y255" s="380">
        <v>0.11530699841389333</v>
      </c>
      <c r="Z255" s="296">
        <f t="shared" si="120"/>
        <v>1.658019396227052E-3</v>
      </c>
      <c r="AA255" s="298">
        <f t="shared" si="121"/>
        <v>2.9969615090748894E-4</v>
      </c>
      <c r="AB255" s="949">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0.22824841279957175</v>
      </c>
      <c r="AC255" s="950">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0.25522610619743824</v>
      </c>
      <c r="AD255" s="1228">
        <f t="shared" si="122"/>
        <v>0.24905663104940015</v>
      </c>
      <c r="AE255" s="1232">
        <f t="shared" si="125"/>
        <v>4.9158987747892802E-4</v>
      </c>
      <c r="AF255" s="1233">
        <f t="shared" si="126"/>
        <v>1.658019396227052E-3</v>
      </c>
      <c r="AG255" s="1233">
        <f t="shared" si="127"/>
        <v>2.14960927370598E-3</v>
      </c>
      <c r="AH255" s="1174">
        <f t="shared" si="123"/>
        <v>0.22868801483695445</v>
      </c>
      <c r="AI255" s="1234">
        <f t="shared" si="124"/>
        <v>0.77131198516304555</v>
      </c>
    </row>
    <row r="256" spans="1:35" ht="13.5" thickBot="1" x14ac:dyDescent="0.25">
      <c r="A256" s="328">
        <v>2030</v>
      </c>
      <c r="B256" s="346">
        <v>0</v>
      </c>
      <c r="C256" s="347">
        <v>0</v>
      </c>
      <c r="D256" s="347">
        <v>0</v>
      </c>
      <c r="E256" s="347">
        <v>0</v>
      </c>
      <c r="F256" s="347">
        <v>3.2199839791682952E-4</v>
      </c>
      <c r="G256" s="347">
        <v>4.5638525612610057E-3</v>
      </c>
      <c r="H256" s="347">
        <v>4.4858419473598109E-2</v>
      </c>
      <c r="I256" s="347">
        <v>6.783148113944347E-2</v>
      </c>
      <c r="J256" s="347">
        <v>9.5920946713601324E-2</v>
      </c>
      <c r="K256" s="347">
        <v>0.1270219211613495</v>
      </c>
      <c r="L256" s="381">
        <v>0.1270219211613495</v>
      </c>
      <c r="M256" s="310">
        <f t="shared" si="118"/>
        <v>1.1440922196223886E-3</v>
      </c>
      <c r="N256" s="312">
        <f t="shared" si="119"/>
        <v>2.0091331098864778E-4</v>
      </c>
      <c r="O256" s="346">
        <v>0</v>
      </c>
      <c r="P256" s="347">
        <v>0</v>
      </c>
      <c r="Q256" s="347">
        <v>0</v>
      </c>
      <c r="R256" s="347">
        <v>0</v>
      </c>
      <c r="S256" s="347">
        <v>2.6339934304110222E-3</v>
      </c>
      <c r="T256" s="347">
        <v>1.8133015026834662E-2</v>
      </c>
      <c r="U256" s="347">
        <v>5.3433423487457457E-2</v>
      </c>
      <c r="V256" s="347">
        <v>8.9927856606654338E-2</v>
      </c>
      <c r="W256" s="347">
        <v>0.11440888757999498</v>
      </c>
      <c r="X256" s="347">
        <v>0.1270219211613495</v>
      </c>
      <c r="Y256" s="381">
        <v>0.15159694702948631</v>
      </c>
      <c r="Z256" s="310">
        <f t="shared" si="120"/>
        <v>3.7175313377556989E-3</v>
      </c>
      <c r="AA256" s="312">
        <f t="shared" si="121"/>
        <v>7.0307924170240918E-4</v>
      </c>
      <c r="AB256" s="949">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0.24901259125988806</v>
      </c>
      <c r="AC256" s="950">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0.26817807345388595</v>
      </c>
      <c r="AD256" s="1228">
        <f t="shared" si="122"/>
        <v>0.26366783550463391</v>
      </c>
      <c r="AE256" s="1232">
        <f t="shared" si="125"/>
        <v>1.1440922196223886E-3</v>
      </c>
      <c r="AF256" s="1233">
        <f t="shared" si="126"/>
        <v>3.7175313377556989E-3</v>
      </c>
      <c r="AG256" s="1233">
        <f t="shared" si="127"/>
        <v>4.8616235573780871E-3</v>
      </c>
      <c r="AH256" s="1174">
        <f t="shared" si="123"/>
        <v>0.23533130570878813</v>
      </c>
      <c r="AI256" s="1234">
        <f t="shared" si="124"/>
        <v>0.76466869429121198</v>
      </c>
    </row>
    <row r="257" spans="1:35" x14ac:dyDescent="0.2">
      <c r="A257" s="329">
        <v>2031</v>
      </c>
      <c r="B257" s="342">
        <v>0</v>
      </c>
      <c r="C257" s="343">
        <v>0</v>
      </c>
      <c r="D257" s="343">
        <v>0</v>
      </c>
      <c r="E257" s="343">
        <v>0</v>
      </c>
      <c r="F257" s="343">
        <v>2.3378930967056181E-3</v>
      </c>
      <c r="G257" s="343">
        <v>1.5025872433937887E-2</v>
      </c>
      <c r="H257" s="343">
        <v>7.0503077939328765E-2</v>
      </c>
      <c r="I257" s="343">
        <v>9.3355449913739036E-2</v>
      </c>
      <c r="J257" s="343">
        <v>0.11840070244432359</v>
      </c>
      <c r="K257" s="343">
        <v>0.15040273832381634</v>
      </c>
      <c r="L257" s="379">
        <v>0.15040273832381634</v>
      </c>
      <c r="M257" s="282">
        <f t="shared" si="118"/>
        <v>1.65781638448164E-3</v>
      </c>
      <c r="N257" s="284">
        <f t="shared" si="119"/>
        <v>3.0392288054527914E-4</v>
      </c>
      <c r="O257" s="342">
        <v>0</v>
      </c>
      <c r="P257" s="343">
        <v>0</v>
      </c>
      <c r="Q257" s="343">
        <v>0</v>
      </c>
      <c r="R257" s="343">
        <v>5.7342306258678026E-4</v>
      </c>
      <c r="S257" s="343">
        <v>1.0586597094668714E-2</v>
      </c>
      <c r="T257" s="343">
        <v>3.8992331508931791E-2</v>
      </c>
      <c r="U257" s="343">
        <v>8.172005948095469E-2</v>
      </c>
      <c r="V257" s="343">
        <v>0.11193725626747185</v>
      </c>
      <c r="W257" s="343">
        <v>0.13773188647202278</v>
      </c>
      <c r="X257" s="343">
        <v>0.15040273832381634</v>
      </c>
      <c r="Y257" s="379">
        <v>0.17370570871134688</v>
      </c>
      <c r="Z257" s="282">
        <f t="shared" si="120"/>
        <v>5.2349925026054555E-3</v>
      </c>
      <c r="AA257" s="284">
        <f t="shared" si="121"/>
        <v>1.0300994486818313E-3</v>
      </c>
      <c r="AB257" s="949">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0.26103904524524452</v>
      </c>
      <c r="AC257" s="950">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0.28018287917846169</v>
      </c>
      <c r="AD257" s="1228">
        <f t="shared" si="122"/>
        <v>0.27557852091520874</v>
      </c>
      <c r="AE257" s="1232">
        <f t="shared" si="125"/>
        <v>1.65781638448164E-3</v>
      </c>
      <c r="AF257" s="1233">
        <f t="shared" si="126"/>
        <v>5.2349925026054555E-3</v>
      </c>
      <c r="AG257" s="1233">
        <f t="shared" si="127"/>
        <v>6.892808887087095E-3</v>
      </c>
      <c r="AH257" s="1174">
        <f t="shared" si="123"/>
        <v>0.24051390538150175</v>
      </c>
      <c r="AI257" s="1234">
        <f t="shared" si="124"/>
        <v>0.75948609461849825</v>
      </c>
    </row>
    <row r="258" spans="1:35" x14ac:dyDescent="0.2">
      <c r="A258" s="330">
        <v>2032</v>
      </c>
      <c r="B258" s="344">
        <v>0</v>
      </c>
      <c r="C258" s="345">
        <v>0</v>
      </c>
      <c r="D258" s="345">
        <v>0</v>
      </c>
      <c r="E258" s="345">
        <v>2.9964095512915464E-4</v>
      </c>
      <c r="F258" s="345">
        <v>9.6418349158296571E-3</v>
      </c>
      <c r="G258" s="345">
        <v>3.3471407375297454E-2</v>
      </c>
      <c r="H258" s="345">
        <v>9.6165779795089362E-2</v>
      </c>
      <c r="I258" s="345">
        <v>0.12224901451302657</v>
      </c>
      <c r="J258" s="345">
        <v>0.1418095262641568</v>
      </c>
      <c r="K258" s="345">
        <v>0.16702126077079149</v>
      </c>
      <c r="L258" s="380">
        <v>0.16702126077079149</v>
      </c>
      <c r="M258" s="296">
        <f t="shared" si="118"/>
        <v>2.2753567107726327E-3</v>
      </c>
      <c r="N258" s="298">
        <f t="shared" si="119"/>
        <v>4.4456511239743875E-4</v>
      </c>
      <c r="O258" s="344">
        <v>0</v>
      </c>
      <c r="P258" s="345">
        <v>0</v>
      </c>
      <c r="Q258" s="345">
        <v>0</v>
      </c>
      <c r="R258" s="345">
        <v>3.3260103905256365E-3</v>
      </c>
      <c r="S258" s="345">
        <v>2.4697426586140336E-2</v>
      </c>
      <c r="T258" s="345">
        <v>6.2609911796333198E-2</v>
      </c>
      <c r="U258" s="345">
        <v>0.10901933926348668</v>
      </c>
      <c r="V258" s="345">
        <v>0.13518829198422247</v>
      </c>
      <c r="W258" s="345">
        <v>0.16093045835455599</v>
      </c>
      <c r="X258" s="345">
        <v>0.17288412052641058</v>
      </c>
      <c r="Y258" s="380">
        <v>0.18871446550148535</v>
      </c>
      <c r="Z258" s="296">
        <f t="shared" si="120"/>
        <v>7.0107098784136426E-3</v>
      </c>
      <c r="AA258" s="298">
        <f t="shared" si="121"/>
        <v>1.4447409106723682E-3</v>
      </c>
      <c r="AB258" s="949">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0.27935843827869639</v>
      </c>
      <c r="AC258" s="950">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0.29464826147767531</v>
      </c>
      <c r="AD258" s="1228">
        <f t="shared" si="122"/>
        <v>0.29090180957705714</v>
      </c>
      <c r="AE258" s="1232">
        <f t="shared" si="125"/>
        <v>2.2753567107726327E-3</v>
      </c>
      <c r="AF258" s="1233">
        <f t="shared" si="126"/>
        <v>7.0107098784136426E-3</v>
      </c>
      <c r="AG258" s="1233">
        <f t="shared" si="127"/>
        <v>9.2860665891862752E-3</v>
      </c>
      <c r="AH258" s="1174">
        <f t="shared" si="123"/>
        <v>0.24502911850990924</v>
      </c>
      <c r="AI258" s="1234">
        <f t="shared" si="124"/>
        <v>0.75497088149009073</v>
      </c>
    </row>
    <row r="259" spans="1:35" x14ac:dyDescent="0.2">
      <c r="A259" s="330">
        <v>2033</v>
      </c>
      <c r="B259" s="344">
        <v>0</v>
      </c>
      <c r="C259" s="345">
        <v>0</v>
      </c>
      <c r="D259" s="345">
        <v>0</v>
      </c>
      <c r="E259" s="345">
        <v>2.2133425108867249E-3</v>
      </c>
      <c r="F259" s="345">
        <v>2.279899695299065E-2</v>
      </c>
      <c r="G259" s="345">
        <v>5.9605115072466137E-2</v>
      </c>
      <c r="H259" s="345">
        <v>0.12547916327512526</v>
      </c>
      <c r="I259" s="345">
        <v>0.14591346808455843</v>
      </c>
      <c r="J259" s="345">
        <v>0.16514151784870484</v>
      </c>
      <c r="K259" s="345">
        <v>0.18289108877230631</v>
      </c>
      <c r="L259" s="380">
        <v>0.18289108877230631</v>
      </c>
      <c r="M259" s="296">
        <f t="shared" si="118"/>
        <v>3.1441302934692669E-3</v>
      </c>
      <c r="N259" s="298">
        <f t="shared" si="119"/>
        <v>6.633946573175631E-4</v>
      </c>
      <c r="O259" s="344">
        <v>0</v>
      </c>
      <c r="P259" s="345">
        <v>0</v>
      </c>
      <c r="Q259" s="345">
        <v>0</v>
      </c>
      <c r="R259" s="345">
        <v>1.1547597726528159E-2</v>
      </c>
      <c r="S259" s="345">
        <v>4.6042752427494678E-2</v>
      </c>
      <c r="T259" s="345">
        <v>9.3554835405088507E-2</v>
      </c>
      <c r="U259" s="345">
        <v>0.13230796795136532</v>
      </c>
      <c r="V259" s="345">
        <v>0.15872811449070329</v>
      </c>
      <c r="W259" s="345">
        <v>0.17718634255758581</v>
      </c>
      <c r="X259" s="345">
        <v>0.1882820751209571</v>
      </c>
      <c r="Y259" s="380">
        <v>0.19796499817128077</v>
      </c>
      <c r="Z259" s="296">
        <f t="shared" si="120"/>
        <v>9.2028045507792627E-3</v>
      </c>
      <c r="AA259" s="298">
        <f t="shared" si="121"/>
        <v>2.0193685155346199E-3</v>
      </c>
      <c r="AB259" s="949">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0.30292654942031216</v>
      </c>
      <c r="AC259" s="950">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0.31503679861364675</v>
      </c>
      <c r="AD259" s="1228">
        <f>AB259*AH259+AC259*AI259</f>
        <v>0.31195294000172885</v>
      </c>
      <c r="AE259" s="1232">
        <f t="shared" si="125"/>
        <v>3.1441302934692669E-3</v>
      </c>
      <c r="AF259" s="1233">
        <f t="shared" si="126"/>
        <v>9.2028045507792627E-3</v>
      </c>
      <c r="AG259" s="1233">
        <f t="shared" si="127"/>
        <v>1.2346934844248529E-2</v>
      </c>
      <c r="AH259" s="1174">
        <f t="shared" si="123"/>
        <v>0.25464865030318606</v>
      </c>
      <c r="AI259" s="1234">
        <f t="shared" si="124"/>
        <v>0.74535134969681394</v>
      </c>
    </row>
    <row r="260" spans="1:35" x14ac:dyDescent="0.2">
      <c r="A260" s="330">
        <v>2034</v>
      </c>
      <c r="B260" s="344">
        <v>0</v>
      </c>
      <c r="C260" s="345">
        <v>0</v>
      </c>
      <c r="D260" s="345">
        <v>0</v>
      </c>
      <c r="E260" s="345">
        <v>8.1423323490255155E-3</v>
      </c>
      <c r="F260" s="345">
        <v>4.3307794677504778E-2</v>
      </c>
      <c r="G260" s="345">
        <v>8.3777051321564294E-2</v>
      </c>
      <c r="H260" s="345">
        <v>0.1493653716107832</v>
      </c>
      <c r="I260" s="345">
        <v>0.16945570637996746</v>
      </c>
      <c r="J260" s="345">
        <v>0.18138082165535677</v>
      </c>
      <c r="K260" s="345">
        <v>0.19763458290212305</v>
      </c>
      <c r="L260" s="380">
        <v>0.19763458290212305</v>
      </c>
      <c r="M260" s="296">
        <f t="shared" si="118"/>
        <v>4.2640782955473142E-3</v>
      </c>
      <c r="N260" s="298">
        <f t="shared" si="119"/>
        <v>9.8369129192666109E-4</v>
      </c>
      <c r="O260" s="344">
        <v>0</v>
      </c>
      <c r="P260" s="345">
        <v>0</v>
      </c>
      <c r="Q260" s="345">
        <v>7.8086588772685998E-5</v>
      </c>
      <c r="R260" s="345">
        <v>2.6755522600797318E-2</v>
      </c>
      <c r="S260" s="345">
        <v>7.242547897501124E-2</v>
      </c>
      <c r="T260" s="345">
        <v>0.11606990083229141</v>
      </c>
      <c r="U260" s="345">
        <v>0.15619771113211522</v>
      </c>
      <c r="V260" s="345">
        <v>0.17529044316846423</v>
      </c>
      <c r="W260" s="345">
        <v>0.19251117552000355</v>
      </c>
      <c r="X260" s="345">
        <v>0.19763458290212305</v>
      </c>
      <c r="Y260" s="380">
        <v>0.21044031213385755</v>
      </c>
      <c r="Z260" s="296">
        <f t="shared" si="120"/>
        <v>1.1682724614274864E-2</v>
      </c>
      <c r="AA260" s="298">
        <f t="shared" si="121"/>
        <v>2.7367975974422112E-3</v>
      </c>
      <c r="AB260" s="949">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0.33256933980333653</v>
      </c>
      <c r="AC260" s="950">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0.3377124661309408</v>
      </c>
      <c r="AD260" s="1228">
        <f t="shared" ref="AD260:AD276" si="128">AB260*AH260+AC260*AI260</f>
        <v>0.33633722537147248</v>
      </c>
      <c r="AE260" s="1232">
        <f t="shared" si="125"/>
        <v>4.2640782955473142E-3</v>
      </c>
      <c r="AF260" s="1233">
        <f t="shared" si="126"/>
        <v>1.1682724614274864E-2</v>
      </c>
      <c r="AG260" s="1233">
        <f t="shared" si="127"/>
        <v>1.5946802909822179E-2</v>
      </c>
      <c r="AH260" s="1174">
        <f t="shared" si="123"/>
        <v>0.26739392965852254</v>
      </c>
      <c r="AI260" s="1234">
        <f t="shared" si="124"/>
        <v>0.7326060703414774</v>
      </c>
    </row>
    <row r="261" spans="1:35" ht="13.5" thickBot="1" x14ac:dyDescent="0.25">
      <c r="A261" s="328">
        <v>2035</v>
      </c>
      <c r="B261" s="346">
        <v>0</v>
      </c>
      <c r="C261" s="347">
        <v>0</v>
      </c>
      <c r="D261" s="347">
        <v>0</v>
      </c>
      <c r="E261" s="347">
        <v>2.509980158787288E-2</v>
      </c>
      <c r="F261" s="347">
        <v>7.4550815157857775E-2</v>
      </c>
      <c r="G261" s="347">
        <v>0.11935228809028935</v>
      </c>
      <c r="H261" s="347">
        <v>0.17305347598503798</v>
      </c>
      <c r="I261" s="347">
        <v>0.18570837597954809</v>
      </c>
      <c r="J261" s="347">
        <v>0.19665174114820166</v>
      </c>
      <c r="K261" s="347">
        <v>0.21082618335718656</v>
      </c>
      <c r="L261" s="381">
        <v>0.21082618335718656</v>
      </c>
      <c r="M261" s="310">
        <f t="shared" si="118"/>
        <v>6.1067316704077543E-3</v>
      </c>
      <c r="N261" s="312">
        <f t="shared" si="119"/>
        <v>1.567490916418963E-3</v>
      </c>
      <c r="O261" s="346">
        <v>0</v>
      </c>
      <c r="P261" s="347">
        <v>0</v>
      </c>
      <c r="Q261" s="347">
        <v>1.1701247409053644E-3</v>
      </c>
      <c r="R261" s="347">
        <v>4.9849552122836524E-2</v>
      </c>
      <c r="S261" s="347">
        <v>0.10603608132475638</v>
      </c>
      <c r="T261" s="347">
        <v>0.14723393137709095</v>
      </c>
      <c r="U261" s="347">
        <v>0.17950497439126806</v>
      </c>
      <c r="V261" s="347">
        <v>0.19665174114820166</v>
      </c>
      <c r="W261" s="347">
        <v>0.20647994189836247</v>
      </c>
      <c r="X261" s="347">
        <v>0.21082618335718656</v>
      </c>
      <c r="Y261" s="381">
        <v>0.21800747254608505</v>
      </c>
      <c r="Z261" s="310">
        <f t="shared" si="120"/>
        <v>1.5005902264916013E-2</v>
      </c>
      <c r="AA261" s="312">
        <f t="shared" si="121"/>
        <v>3.7545541423341612E-3</v>
      </c>
      <c r="AB261" s="949">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0.37155243208195293</v>
      </c>
      <c r="AC261" s="950">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0.36217641961121522</v>
      </c>
      <c r="AD261" s="1228">
        <f t="shared" si="128"/>
        <v>0.36488838783235672</v>
      </c>
      <c r="AE261" s="1232">
        <f t="shared" si="125"/>
        <v>6.1067316704077543E-3</v>
      </c>
      <c r="AF261" s="1233">
        <f t="shared" si="126"/>
        <v>1.5005902264916013E-2</v>
      </c>
      <c r="AG261" s="1233">
        <f t="shared" si="127"/>
        <v>2.1112633935323769E-2</v>
      </c>
      <c r="AH261" s="1174">
        <f t="shared" si="123"/>
        <v>0.28924537265767286</v>
      </c>
      <c r="AI261" s="1234">
        <f t="shared" si="124"/>
        <v>0.71075462734232708</v>
      </c>
    </row>
    <row r="262" spans="1:35" x14ac:dyDescent="0.2">
      <c r="A262" s="329">
        <v>2036</v>
      </c>
      <c r="B262" s="342">
        <v>0</v>
      </c>
      <c r="C262" s="343">
        <v>0</v>
      </c>
      <c r="D262" s="343">
        <v>6.9146298076132927E-5</v>
      </c>
      <c r="E262" s="343">
        <v>3.4188396045597265E-2</v>
      </c>
      <c r="F262" s="343">
        <v>8.747442420742027E-2</v>
      </c>
      <c r="G262" s="343">
        <v>0.12651574892109119</v>
      </c>
      <c r="H262" s="343">
        <v>0.17957229572402847</v>
      </c>
      <c r="I262" s="343">
        <v>0.19155761983197594</v>
      </c>
      <c r="J262" s="343">
        <v>0.20193186859373699</v>
      </c>
      <c r="K262" s="343">
        <v>0.21090311061486366</v>
      </c>
      <c r="L262" s="379">
        <v>0.21090311061486366</v>
      </c>
      <c r="M262" s="282">
        <f t="shared" si="118"/>
        <v>6.8969804375663439E-3</v>
      </c>
      <c r="N262" s="284">
        <f t="shared" si="119"/>
        <v>1.8352758828925242E-3</v>
      </c>
      <c r="O262" s="342">
        <v>0</v>
      </c>
      <c r="P262" s="343">
        <v>0</v>
      </c>
      <c r="Q262" s="343">
        <v>2.5263075403094241E-3</v>
      </c>
      <c r="R262" s="343">
        <v>5.9540545927806859E-2</v>
      </c>
      <c r="S262" s="343">
        <v>0.11300657394415026</v>
      </c>
      <c r="T262" s="343">
        <v>0.15439411797145572</v>
      </c>
      <c r="U262" s="343">
        <v>0.17957229572402847</v>
      </c>
      <c r="V262" s="343">
        <v>0.1967244817193142</v>
      </c>
      <c r="W262" s="343">
        <v>0.20655566917593166</v>
      </c>
      <c r="X262" s="343">
        <v>0.21090311061486366</v>
      </c>
      <c r="Y262" s="379">
        <v>0.21808634693527473</v>
      </c>
      <c r="Z262" s="282">
        <f t="shared" si="120"/>
        <v>1.588996542480282E-2</v>
      </c>
      <c r="AA262" s="284">
        <f t="shared" si="121"/>
        <v>4.0930850480246084E-3</v>
      </c>
      <c r="AB262" s="949">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0.38590462197335068</v>
      </c>
      <c r="AC262" s="950">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0.37356435793220782</v>
      </c>
      <c r="AD262" s="1228">
        <f t="shared" si="128"/>
        <v>0.37729941572363912</v>
      </c>
      <c r="AE262" s="1232">
        <f t="shared" si="125"/>
        <v>6.8969804375663439E-3</v>
      </c>
      <c r="AF262" s="1233">
        <f t="shared" si="126"/>
        <v>1.588996542480282E-2</v>
      </c>
      <c r="AG262" s="1233">
        <f t="shared" si="127"/>
        <v>2.2786945862369165E-2</v>
      </c>
      <c r="AH262" s="1174">
        <f t="shared" si="123"/>
        <v>0.3026724370709179</v>
      </c>
      <c r="AI262" s="1234">
        <f t="shared" si="124"/>
        <v>0.69732756292908205</v>
      </c>
    </row>
    <row r="263" spans="1:35" x14ac:dyDescent="0.2">
      <c r="A263" s="330">
        <v>2037</v>
      </c>
      <c r="B263" s="344">
        <v>0</v>
      </c>
      <c r="C263" s="345">
        <v>0</v>
      </c>
      <c r="D263" s="345">
        <v>1.0160874646304972E-4</v>
      </c>
      <c r="E263" s="345">
        <v>3.4182605490680973E-2</v>
      </c>
      <c r="F263" s="345">
        <v>8.7460478268030703E-2</v>
      </c>
      <c r="G263" s="345">
        <v>0.12649649302405522</v>
      </c>
      <c r="H263" s="345">
        <v>0.18013096411103513</v>
      </c>
      <c r="I263" s="345">
        <v>0.19153079003227669</v>
      </c>
      <c r="J263" s="345">
        <v>0.20190397944261212</v>
      </c>
      <c r="K263" s="345">
        <v>0.2108743379942728</v>
      </c>
      <c r="L263" s="380">
        <v>0.2108743379942728</v>
      </c>
      <c r="M263" s="296">
        <f t="shared" si="118"/>
        <v>6.9074655459729342E-3</v>
      </c>
      <c r="N263" s="298">
        <f t="shared" si="119"/>
        <v>1.8383848414151598E-3</v>
      </c>
      <c r="O263" s="344">
        <v>0</v>
      </c>
      <c r="P263" s="345">
        <v>0</v>
      </c>
      <c r="Q263" s="345">
        <v>2.9794911247600022E-3</v>
      </c>
      <c r="R263" s="345">
        <v>6.4778134024364734E-2</v>
      </c>
      <c r="S263" s="345">
        <v>0.11298910596511413</v>
      </c>
      <c r="T263" s="345">
        <v>0.15437143059801911</v>
      </c>
      <c r="U263" s="345">
        <v>0.18575131216979249</v>
      </c>
      <c r="V263" s="345">
        <v>0.19669711925655564</v>
      </c>
      <c r="W263" s="345">
        <v>0.20652732090469594</v>
      </c>
      <c r="X263" s="345">
        <v>0.2108743379942728</v>
      </c>
      <c r="Y263" s="380">
        <v>0.21805688873220028</v>
      </c>
      <c r="Z263" s="296">
        <f t="shared" si="120"/>
        <v>1.6368090205998245E-2</v>
      </c>
      <c r="AA263" s="298">
        <f t="shared" si="121"/>
        <v>4.2600755304558844E-3</v>
      </c>
      <c r="AB263" s="949">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0.38669406043313997</v>
      </c>
      <c r="AC263" s="950">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0.37815433887026689</v>
      </c>
      <c r="AD263" s="1228">
        <f t="shared" si="128"/>
        <v>0.38068866428429066</v>
      </c>
      <c r="AE263" s="1232">
        <f t="shared" si="125"/>
        <v>6.9074655459729342E-3</v>
      </c>
      <c r="AF263" s="1233">
        <f t="shared" si="126"/>
        <v>1.6368090205998245E-2</v>
      </c>
      <c r="AG263" s="1233">
        <f t="shared" si="127"/>
        <v>2.327555575197118E-2</v>
      </c>
      <c r="AH263" s="1174">
        <f t="shared" si="123"/>
        <v>0.29676909198561024</v>
      </c>
      <c r="AI263" s="1234">
        <f t="shared" si="124"/>
        <v>0.7032309080143897</v>
      </c>
    </row>
    <row r="264" spans="1:35" x14ac:dyDescent="0.2">
      <c r="A264" s="330">
        <v>2038</v>
      </c>
      <c r="B264" s="344">
        <v>0</v>
      </c>
      <c r="C264" s="345">
        <v>0</v>
      </c>
      <c r="D264" s="345">
        <v>3.6719676840299751E-4</v>
      </c>
      <c r="E264" s="345">
        <v>4.5892404070327013E-2</v>
      </c>
      <c r="F264" s="345">
        <v>0.10060173551274455</v>
      </c>
      <c r="G264" s="345">
        <v>0.13365053525398754</v>
      </c>
      <c r="H264" s="345">
        <v>0.17951997394518748</v>
      </c>
      <c r="I264" s="345">
        <v>0.19150266655667855</v>
      </c>
      <c r="J264" s="345">
        <v>0.20187472664535613</v>
      </c>
      <c r="K264" s="345">
        <v>0.21470121586734903</v>
      </c>
      <c r="L264" s="380">
        <v>0.21470121586734903</v>
      </c>
      <c r="M264" s="296">
        <f t="shared" si="118"/>
        <v>7.7470699891757384E-3</v>
      </c>
      <c r="N264" s="298">
        <f t="shared" si="119"/>
        <v>2.1440425494060359E-3</v>
      </c>
      <c r="O264" s="344">
        <v>0</v>
      </c>
      <c r="P264" s="345">
        <v>0</v>
      </c>
      <c r="Q264" s="345">
        <v>6.0249275752863396E-3</v>
      </c>
      <c r="R264" s="345">
        <v>7.588380026917961E-2</v>
      </c>
      <c r="S264" s="345">
        <v>0.12002035262028127</v>
      </c>
      <c r="T264" s="345">
        <v>0.16080187132377274</v>
      </c>
      <c r="U264" s="345">
        <v>0.18572383662978642</v>
      </c>
      <c r="V264" s="345">
        <v>0.20187472664535613</v>
      </c>
      <c r="W264" s="345">
        <v>0.21084414123024053</v>
      </c>
      <c r="X264" s="345">
        <v>0.21470121586734903</v>
      </c>
      <c r="Y264" s="380">
        <v>0.22077195733286606</v>
      </c>
      <c r="Z264" s="296">
        <f t="shared" si="120"/>
        <v>1.7592824070548792E-2</v>
      </c>
      <c r="AA264" s="298">
        <f t="shared" si="121"/>
        <v>4.7290480308863347E-3</v>
      </c>
      <c r="AB264" s="949">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0.40286207426660986</v>
      </c>
      <c r="AC264" s="950">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0.39128989225070238</v>
      </c>
      <c r="AD264" s="1228">
        <f t="shared" si="128"/>
        <v>0.39482781169872433</v>
      </c>
      <c r="AE264" s="1232">
        <f t="shared" si="125"/>
        <v>7.7470699891757384E-3</v>
      </c>
      <c r="AF264" s="1233">
        <f t="shared" si="126"/>
        <v>1.7592824070548792E-2</v>
      </c>
      <c r="AG264" s="1233">
        <f t="shared" si="127"/>
        <v>2.5339894059724533E-2</v>
      </c>
      <c r="AH264" s="1174">
        <f t="shared" si="123"/>
        <v>0.30572621854362858</v>
      </c>
      <c r="AI264" s="1234">
        <f t="shared" si="124"/>
        <v>0.69427378145637131</v>
      </c>
    </row>
    <row r="265" spans="1:35" x14ac:dyDescent="0.2">
      <c r="A265" s="330">
        <v>2039</v>
      </c>
      <c r="B265" s="344">
        <v>0</v>
      </c>
      <c r="C265" s="345">
        <v>0</v>
      </c>
      <c r="D265" s="345">
        <v>1.6541345207106586E-3</v>
      </c>
      <c r="E265" s="345">
        <v>5.5034168857229906E-2</v>
      </c>
      <c r="F265" s="345">
        <v>0.10744049242254913</v>
      </c>
      <c r="G265" s="345">
        <v>0.14800953890358506</v>
      </c>
      <c r="H265" s="345">
        <v>0.18569590953989229</v>
      </c>
      <c r="I265" s="345">
        <v>0.19705694936307133</v>
      </c>
      <c r="J265" s="345">
        <v>0.20664242356475521</v>
      </c>
      <c r="K265" s="345">
        <v>0.21467009995236139</v>
      </c>
      <c r="L265" s="380">
        <v>0.21467009995236139</v>
      </c>
      <c r="M265" s="296">
        <f t="shared" si="118"/>
        <v>8.5183172628435343E-3</v>
      </c>
      <c r="N265" s="298">
        <f t="shared" si="119"/>
        <v>2.4345908477370619E-3</v>
      </c>
      <c r="O265" s="344">
        <v>0</v>
      </c>
      <c r="P265" s="345">
        <v>0</v>
      </c>
      <c r="Q265" s="345">
        <v>1.1681847625480241E-2</v>
      </c>
      <c r="R265" s="345">
        <v>8.6742732260674221E-2</v>
      </c>
      <c r="S265" s="345">
        <v>0.13433697677987361</v>
      </c>
      <c r="T265" s="345">
        <v>0.16763986171924852</v>
      </c>
      <c r="U265" s="345">
        <v>0.19161046883739247</v>
      </c>
      <c r="V265" s="345">
        <v>0.20184498275272852</v>
      </c>
      <c r="W265" s="345">
        <v>0.21081343139302708</v>
      </c>
      <c r="X265" s="345">
        <v>0.21467009995236139</v>
      </c>
      <c r="Y265" s="380">
        <v>0.22074021361538529</v>
      </c>
      <c r="Z265" s="296">
        <f t="shared" si="120"/>
        <v>1.9142514346463746E-2</v>
      </c>
      <c r="AA265" s="298">
        <f t="shared" si="121"/>
        <v>5.3557999871074007E-3</v>
      </c>
      <c r="AB265" s="949">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0.41681351595557586</v>
      </c>
      <c r="AC265" s="950">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0.40803271786239215</v>
      </c>
      <c r="AD265" s="1228">
        <f t="shared" si="128"/>
        <v>0.41073681674977131</v>
      </c>
      <c r="AE265" s="1232">
        <f t="shared" si="125"/>
        <v>8.5183172628435343E-3</v>
      </c>
      <c r="AF265" s="1233">
        <f t="shared" si="126"/>
        <v>1.9142514346463746E-2</v>
      </c>
      <c r="AG265" s="1233">
        <f t="shared" si="127"/>
        <v>2.7660831609307282E-2</v>
      </c>
      <c r="AH265" s="1174">
        <f t="shared" si="123"/>
        <v>0.30795593506224528</v>
      </c>
      <c r="AI265" s="1234">
        <f t="shared" si="124"/>
        <v>0.69204406493775472</v>
      </c>
    </row>
    <row r="266" spans="1:35" ht="13.5" thickBot="1" x14ac:dyDescent="0.25">
      <c r="A266" s="328">
        <v>2040</v>
      </c>
      <c r="B266" s="346">
        <v>0</v>
      </c>
      <c r="C266" s="347">
        <v>0</v>
      </c>
      <c r="D266" s="347">
        <v>5.457496966477883E-3</v>
      </c>
      <c r="E266" s="347">
        <v>7.0376723108480532E-2</v>
      </c>
      <c r="F266" s="347">
        <v>0.12155605176115251</v>
      </c>
      <c r="G266" s="347">
        <v>0.15511730542110866</v>
      </c>
      <c r="H266" s="347">
        <v>0.19158165757351181</v>
      </c>
      <c r="I266" s="347">
        <v>0.20224091256026652</v>
      </c>
      <c r="J266" s="347">
        <v>0.20661193552862772</v>
      </c>
      <c r="K266" s="347">
        <v>0.21463875197353788</v>
      </c>
      <c r="L266" s="381">
        <v>0.21463875197353788</v>
      </c>
      <c r="M266" s="310">
        <f t="shared" si="118"/>
        <v>9.9399260522329714E-3</v>
      </c>
      <c r="N266" s="312">
        <f t="shared" si="119"/>
        <v>3.0075076541105136E-3</v>
      </c>
      <c r="O266" s="346">
        <v>0</v>
      </c>
      <c r="P266" s="347">
        <v>0</v>
      </c>
      <c r="Q266" s="347">
        <v>2.1303672534042639E-2</v>
      </c>
      <c r="R266" s="347">
        <v>9.7778316934216125E-2</v>
      </c>
      <c r="S266" s="347">
        <v>0.14153325336923847</v>
      </c>
      <c r="T266" s="347">
        <v>0.17430687201349013</v>
      </c>
      <c r="U266" s="347">
        <v>0.19158165757351181</v>
      </c>
      <c r="V266" s="347">
        <v>0.20661193552862772</v>
      </c>
      <c r="W266" s="347">
        <v>0.21463875197353788</v>
      </c>
      <c r="X266" s="347">
        <v>0.21463875197353788</v>
      </c>
      <c r="Y266" s="381">
        <v>0.22070823150503452</v>
      </c>
      <c r="Z266" s="310">
        <f t="shared" si="120"/>
        <v>2.0906821477959567E-2</v>
      </c>
      <c r="AA266" s="312">
        <f t="shared" si="121"/>
        <v>6.1288133202337305E-3</v>
      </c>
      <c r="AB266" s="949">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0.44207999013585875</v>
      </c>
      <c r="AC266" s="950">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0.42831733578284598</v>
      </c>
      <c r="AD266" s="1228">
        <f t="shared" si="128"/>
        <v>0.43275215557762303</v>
      </c>
      <c r="AE266" s="1232">
        <f t="shared" si="125"/>
        <v>9.9399260522329714E-3</v>
      </c>
      <c r="AF266" s="1233">
        <f t="shared" si="126"/>
        <v>2.0906821477959567E-2</v>
      </c>
      <c r="AG266" s="1233">
        <f t="shared" si="127"/>
        <v>3.0846747530192536E-2</v>
      </c>
      <c r="AH266" s="1174">
        <f t="shared" si="123"/>
        <v>0.32223578977018097</v>
      </c>
      <c r="AI266" s="1234">
        <f t="shared" si="124"/>
        <v>0.67776421022981903</v>
      </c>
    </row>
    <row r="267" spans="1:35" x14ac:dyDescent="0.2">
      <c r="A267" s="329">
        <v>2041</v>
      </c>
      <c r="B267" s="342">
        <v>0</v>
      </c>
      <c r="C267" s="343">
        <v>0</v>
      </c>
      <c r="D267" s="343">
        <v>1.5561412075602497E-2</v>
      </c>
      <c r="E267" s="343">
        <v>9.3045781967662625E-2</v>
      </c>
      <c r="F267" s="343">
        <v>0.13602673070465882</v>
      </c>
      <c r="G267" s="343">
        <v>0.16213251107450144</v>
      </c>
      <c r="H267" s="343">
        <v>0.19713712216427348</v>
      </c>
      <c r="I267" s="343">
        <v>0.20221081996727111</v>
      </c>
      <c r="J267" s="343">
        <v>0.21092921920092519</v>
      </c>
      <c r="K267" s="343">
        <v>0.21793101316237928</v>
      </c>
      <c r="L267" s="379">
        <v>0.21793101316237928</v>
      </c>
      <c r="M267" s="282">
        <f t="shared" si="118"/>
        <v>1.2269626110787173E-2</v>
      </c>
      <c r="N267" s="284">
        <f t="shared" si="119"/>
        <v>4.0319398179871806E-3</v>
      </c>
      <c r="O267" s="342">
        <v>0</v>
      </c>
      <c r="P267" s="343">
        <v>2.3314134632713334E-4</v>
      </c>
      <c r="Q267" s="343">
        <v>4.0013722041937351E-2</v>
      </c>
      <c r="R267" s="343">
        <v>0.10783858980769159</v>
      </c>
      <c r="S267" s="343">
        <v>0.15586158610943213</v>
      </c>
      <c r="T267" s="343">
        <v>0.18076253974287318</v>
      </c>
      <c r="U267" s="343">
        <v>0.19713712216427348</v>
      </c>
      <c r="V267" s="343">
        <v>0.20658136268914332</v>
      </c>
      <c r="W267" s="343">
        <v>0.2146073159729163</v>
      </c>
      <c r="X267" s="343">
        <v>0.21793101316237928</v>
      </c>
      <c r="Y267" s="379">
        <v>0.22067615894438197</v>
      </c>
      <c r="Z267" s="282">
        <f t="shared" si="120"/>
        <v>2.3555389972966103E-2</v>
      </c>
      <c r="AA267" s="284">
        <f t="shared" si="121"/>
        <v>7.4026177451695218E-3</v>
      </c>
      <c r="AB267" s="949">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0.48102332251606306</v>
      </c>
      <c r="AC267" s="950">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0.45898244015800715</v>
      </c>
      <c r="AD267" s="1228">
        <f t="shared" si="128"/>
        <v>0.46653117049361847</v>
      </c>
      <c r="AE267" s="1232">
        <f t="shared" si="125"/>
        <v>1.2269626110787173E-2</v>
      </c>
      <c r="AF267" s="1233">
        <f t="shared" si="126"/>
        <v>2.3555389972966103E-2</v>
      </c>
      <c r="AG267" s="1233">
        <f t="shared" si="127"/>
        <v>3.5825016083753276E-2</v>
      </c>
      <c r="AH267" s="1174">
        <f t="shared" si="123"/>
        <v>0.34248766510258388</v>
      </c>
      <c r="AI267" s="1234">
        <f t="shared" si="124"/>
        <v>0.65751233489741612</v>
      </c>
    </row>
    <row r="268" spans="1:35" x14ac:dyDescent="0.2">
      <c r="A268" s="330">
        <v>2042</v>
      </c>
      <c r="B268" s="344">
        <v>0</v>
      </c>
      <c r="C268" s="345">
        <v>5.8744328480621615E-4</v>
      </c>
      <c r="D268" s="345">
        <v>4.13336436638813E-2</v>
      </c>
      <c r="E268" s="345">
        <v>0.10812299218366236</v>
      </c>
      <c r="F268" s="345">
        <v>0.15779630989499288</v>
      </c>
      <c r="G268" s="345">
        <v>0.17575219963875288</v>
      </c>
      <c r="H268" s="345">
        <v>0.20232229059531415</v>
      </c>
      <c r="I268" s="345">
        <v>0.20698401999657162</v>
      </c>
      <c r="J268" s="345">
        <v>0.21089813353582068</v>
      </c>
      <c r="K268" s="345">
        <v>0.2178991832706634</v>
      </c>
      <c r="L268" s="380">
        <v>0.2178991832706634</v>
      </c>
      <c r="M268" s="296">
        <f t="shared" si="118"/>
        <v>1.587715298896079E-2</v>
      </c>
      <c r="N268" s="298">
        <f t="shared" si="119"/>
        <v>5.8493001337426879E-3</v>
      </c>
      <c r="O268" s="344">
        <v>0</v>
      </c>
      <c r="P268" s="345">
        <v>2.9442163234714874E-3</v>
      </c>
      <c r="Q268" s="345">
        <v>6.6893353235606995E-2</v>
      </c>
      <c r="R268" s="345">
        <v>0.1226711488799709</v>
      </c>
      <c r="S268" s="345">
        <v>0.16981567405702508</v>
      </c>
      <c r="T268" s="345">
        <v>0.18696637705915845</v>
      </c>
      <c r="U268" s="345">
        <v>0.20232229059531415</v>
      </c>
      <c r="V268" s="345">
        <v>0.21089813353582068</v>
      </c>
      <c r="W268" s="345">
        <v>0.2178991832706634</v>
      </c>
      <c r="X268" s="345">
        <v>0.2178991832706634</v>
      </c>
      <c r="Y268" s="380">
        <v>0.2227566022615079</v>
      </c>
      <c r="Z268" s="296">
        <f t="shared" si="120"/>
        <v>2.7930334145213905E-2</v>
      </c>
      <c r="AA268" s="298">
        <f t="shared" si="121"/>
        <v>9.814242066181764E-3</v>
      </c>
      <c r="AB268" s="949">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0.53817193555835952</v>
      </c>
      <c r="AC268" s="950">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0.50416693781216537</v>
      </c>
      <c r="AD268" s="1228">
        <f t="shared" si="128"/>
        <v>0.51649137335789685</v>
      </c>
      <c r="AE268" s="1232">
        <f t="shared" si="125"/>
        <v>1.587715298896079E-2</v>
      </c>
      <c r="AF268" s="1233">
        <f t="shared" si="126"/>
        <v>2.7930334145213905E-2</v>
      </c>
      <c r="AG268" s="1233">
        <f t="shared" si="127"/>
        <v>4.3807487134174691E-2</v>
      </c>
      <c r="AH268" s="1174">
        <f t="shared" si="123"/>
        <v>0.36243012388114937</v>
      </c>
      <c r="AI268" s="1234">
        <f t="shared" si="124"/>
        <v>0.63756987611885074</v>
      </c>
    </row>
    <row r="269" spans="1:35" x14ac:dyDescent="0.2">
      <c r="A269" s="330">
        <v>2043</v>
      </c>
      <c r="B269" s="344">
        <v>0</v>
      </c>
      <c r="C269" s="345">
        <v>5.4696488532356051E-3</v>
      </c>
      <c r="D269" s="345">
        <v>6.8334928778542831E-2</v>
      </c>
      <c r="E269" s="345">
        <v>0.1224955273200609</v>
      </c>
      <c r="F269" s="345">
        <v>0.17188754399284265</v>
      </c>
      <c r="G269" s="345">
        <v>0.18224938329335652</v>
      </c>
      <c r="H269" s="345">
        <v>0.2022921387982663</v>
      </c>
      <c r="I269" s="345">
        <v>0.21130693593691963</v>
      </c>
      <c r="J269" s="345">
        <v>0.21472442412936305</v>
      </c>
      <c r="K269" s="345">
        <v>0.22061192059597845</v>
      </c>
      <c r="L269" s="380">
        <v>0.22061192059597845</v>
      </c>
      <c r="M269" s="296">
        <f t="shared" si="118"/>
        <v>1.9976740979513612E-2</v>
      </c>
      <c r="N269" s="298">
        <f t="shared" si="119"/>
        <v>8.2590103107634746E-3</v>
      </c>
      <c r="O269" s="344">
        <v>0</v>
      </c>
      <c r="P269" s="345">
        <v>1.3737611112449016E-2</v>
      </c>
      <c r="Q269" s="345">
        <v>9.3392729864038126E-2</v>
      </c>
      <c r="R269" s="345">
        <v>0.13732969137506948</v>
      </c>
      <c r="S269" s="345">
        <v>0.1765386573014131</v>
      </c>
      <c r="T269" s="345">
        <v>0.19287798908284756</v>
      </c>
      <c r="U269" s="345">
        <v>0.2070971987984791</v>
      </c>
      <c r="V269" s="345">
        <v>0.21472442412936305</v>
      </c>
      <c r="W269" s="345">
        <v>0.2178673484062105</v>
      </c>
      <c r="X269" s="345">
        <v>0.22061192059597845</v>
      </c>
      <c r="Y269" s="380">
        <v>0.22272426170480916</v>
      </c>
      <c r="Z269" s="296">
        <f t="shared" si="120"/>
        <v>3.429132722248885E-2</v>
      </c>
      <c r="AA269" s="298">
        <f t="shared" si="121"/>
        <v>1.4231125408575145E-2</v>
      </c>
      <c r="AB269" s="949">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0.59171825882404161</v>
      </c>
      <c r="AC269" s="950">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0.56711447377557</v>
      </c>
      <c r="AD269" s="1228">
        <f t="shared" si="128"/>
        <v>0.57617142857999426</v>
      </c>
      <c r="AE269" s="1232">
        <f t="shared" si="125"/>
        <v>1.9976740979513612E-2</v>
      </c>
      <c r="AF269" s="1233">
        <f t="shared" si="126"/>
        <v>3.429132722248885E-2</v>
      </c>
      <c r="AG269" s="1233">
        <f t="shared" si="127"/>
        <v>5.4268068202002459E-2</v>
      </c>
      <c r="AH269" s="1174">
        <f t="shared" si="123"/>
        <v>0.36811225535344344</v>
      </c>
      <c r="AI269" s="1234">
        <f t="shared" si="124"/>
        <v>0.63188774464655662</v>
      </c>
    </row>
    <row r="270" spans="1:35" x14ac:dyDescent="0.2">
      <c r="A270" s="330">
        <v>2044</v>
      </c>
      <c r="B270" s="344">
        <v>0</v>
      </c>
      <c r="C270" s="345">
        <v>2.0214456533918831E-2</v>
      </c>
      <c r="D270" s="345">
        <v>9.5099083536470341E-2</v>
      </c>
      <c r="E270" s="345">
        <v>0.13801888878014285</v>
      </c>
      <c r="F270" s="345">
        <v>0.17867445730321047</v>
      </c>
      <c r="G270" s="345">
        <v>0.19446972535510573</v>
      </c>
      <c r="H270" s="345">
        <v>0.20706647799575206</v>
      </c>
      <c r="I270" s="345">
        <v>0.21127575707684401</v>
      </c>
      <c r="J270" s="345">
        <v>0.21801753078185498</v>
      </c>
      <c r="K270" s="345">
        <v>0.22057975624327747</v>
      </c>
      <c r="L270" s="380">
        <v>0.22057975624327747</v>
      </c>
      <c r="M270" s="296">
        <f t="shared" si="118"/>
        <v>2.5502156832117592E-2</v>
      </c>
      <c r="N270" s="298">
        <f t="shared" si="119"/>
        <v>1.2038117055609792E-2</v>
      </c>
      <c r="O270" s="344">
        <v>0</v>
      </c>
      <c r="P270" s="345">
        <v>3.0737872775539559E-2</v>
      </c>
      <c r="Q270" s="345">
        <v>0.10916175706358422</v>
      </c>
      <c r="R270" s="345">
        <v>0.14032402294126828</v>
      </c>
      <c r="S270" s="345">
        <v>0.18932679475746139</v>
      </c>
      <c r="T270" s="345">
        <v>0.19845709151108867</v>
      </c>
      <c r="U270" s="345">
        <v>0.21142158777119327</v>
      </c>
      <c r="V270" s="345">
        <v>0.21469287952443686</v>
      </c>
      <c r="W270" s="345">
        <v>0.21783547133282316</v>
      </c>
      <c r="X270" s="345">
        <v>0.22057975624327747</v>
      </c>
      <c r="Y270" s="380">
        <v>0.22269187818619993</v>
      </c>
      <c r="Z270" s="296">
        <f t="shared" si="120"/>
        <v>4.0735766690279757E-2</v>
      </c>
      <c r="AA270" s="298">
        <f t="shared" si="121"/>
        <v>1.9485683576434411E-2</v>
      </c>
      <c r="AB270" s="949">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0.64904003804636656</v>
      </c>
      <c r="AC270" s="950">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0.62328254034240449</v>
      </c>
      <c r="AD270" s="1228">
        <f t="shared" si="128"/>
        <v>0.6331993932737503</v>
      </c>
      <c r="AE270" s="1232">
        <f t="shared" si="125"/>
        <v>2.5502156832117592E-2</v>
      </c>
      <c r="AF270" s="1233">
        <f t="shared" si="126"/>
        <v>4.0735766690279757E-2</v>
      </c>
      <c r="AG270" s="1233">
        <f t="shared" si="127"/>
        <v>6.6237923522397352E-2</v>
      </c>
      <c r="AH270" s="1174">
        <f t="shared" si="123"/>
        <v>0.38500839814965548</v>
      </c>
      <c r="AI270" s="1234">
        <f t="shared" si="124"/>
        <v>0.6149916018503444</v>
      </c>
    </row>
    <row r="271" spans="1:35" ht="13.5" thickBot="1" x14ac:dyDescent="0.25">
      <c r="A271" s="328">
        <v>2045</v>
      </c>
      <c r="B271" s="346">
        <v>0</v>
      </c>
      <c r="C271" s="347">
        <v>3.817272059247518E-2</v>
      </c>
      <c r="D271" s="347">
        <v>0.11157332101428663</v>
      </c>
      <c r="E271" s="347">
        <v>0.14102905024759285</v>
      </c>
      <c r="F271" s="347">
        <v>0.19158046688720701</v>
      </c>
      <c r="G271" s="347">
        <v>0.20008328559274327</v>
      </c>
      <c r="H271" s="347">
        <v>0.21139037700520616</v>
      </c>
      <c r="I271" s="347">
        <v>0.21510694792482216</v>
      </c>
      <c r="J271" s="347">
        <v>0.21798561633861338</v>
      </c>
      <c r="K271" s="347">
        <v>0.22054757347850831</v>
      </c>
      <c r="L271" s="381">
        <v>0.22054757347850831</v>
      </c>
      <c r="M271" s="310">
        <f t="shared" si="118"/>
        <v>3.0146323378266414E-2</v>
      </c>
      <c r="N271" s="312">
        <f t="shared" si="119"/>
        <v>1.5567825983214502E-2</v>
      </c>
      <c r="O271" s="346">
        <v>0</v>
      </c>
      <c r="P271" s="347">
        <v>5.3793464726747051E-2</v>
      </c>
      <c r="Q271" s="347">
        <v>0.12505499289935101</v>
      </c>
      <c r="R271" s="347">
        <v>0.14903435276274865</v>
      </c>
      <c r="S271" s="347">
        <v>0.19528291730804184</v>
      </c>
      <c r="T271" s="347">
        <v>0.20366363248411667</v>
      </c>
      <c r="U271" s="347">
        <v>0.21139037700520616</v>
      </c>
      <c r="V271" s="347">
        <v>0.21798561633861338</v>
      </c>
      <c r="W271" s="347">
        <v>0.22054757347850831</v>
      </c>
      <c r="X271" s="347">
        <v>0.22054757347850831</v>
      </c>
      <c r="Y271" s="381">
        <v>0.22406810914049291</v>
      </c>
      <c r="Z271" s="310">
        <f t="shared" si="120"/>
        <v>4.9040373621857501E-2</v>
      </c>
      <c r="AA271" s="312">
        <f t="shared" si="121"/>
        <v>2.6386413087877786E-2</v>
      </c>
      <c r="AB271" s="949">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0.68790507586462057</v>
      </c>
      <c r="AC271" s="950">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0.67520643327707952</v>
      </c>
      <c r="AD271" s="1228">
        <f t="shared" si="128"/>
        <v>0.68004079814405249</v>
      </c>
      <c r="AE271" s="1232">
        <f t="shared" si="125"/>
        <v>3.0146323378266414E-2</v>
      </c>
      <c r="AF271" s="1233">
        <f t="shared" si="126"/>
        <v>4.9040373621857501E-2</v>
      </c>
      <c r="AG271" s="1233">
        <f t="shared" si="127"/>
        <v>7.9186697000123915E-2</v>
      </c>
      <c r="AH271" s="1174">
        <f t="shared" si="123"/>
        <v>0.38069934118124965</v>
      </c>
      <c r="AI271" s="1234">
        <f t="shared" si="124"/>
        <v>0.61930065881875029</v>
      </c>
    </row>
    <row r="272" spans="1:35" x14ac:dyDescent="0.2">
      <c r="A272" s="329">
        <v>2046</v>
      </c>
      <c r="B272" s="342">
        <v>0</v>
      </c>
      <c r="C272" s="343">
        <v>5.4426843391944014E-2</v>
      </c>
      <c r="D272" s="343">
        <v>0.12181683698216814</v>
      </c>
      <c r="E272" s="343">
        <v>0.14494059633355869</v>
      </c>
      <c r="F272" s="343">
        <v>0.19155152787232238</v>
      </c>
      <c r="G272" s="343">
        <v>0.20005332544655555</v>
      </c>
      <c r="H272" s="343">
        <v>0.21135914932592273</v>
      </c>
      <c r="I272" s="343">
        <v>0.21507532075657892</v>
      </c>
      <c r="J272" s="343">
        <v>0.21795368451751493</v>
      </c>
      <c r="K272" s="343">
        <v>0.22262705631114368</v>
      </c>
      <c r="L272" s="379">
        <v>0.22262705631114368</v>
      </c>
      <c r="M272" s="282">
        <f t="shared" si="118"/>
        <v>3.3688929692518771E-2</v>
      </c>
      <c r="N272" s="284">
        <f t="shared" si="119"/>
        <v>1.8457791297887369E-2</v>
      </c>
      <c r="O272" s="342">
        <v>0</v>
      </c>
      <c r="P272" s="343">
        <v>6.7590601984236373E-2</v>
      </c>
      <c r="Q272" s="343">
        <v>0.13581189370919561</v>
      </c>
      <c r="R272" s="343">
        <v>0.15354365231598688</v>
      </c>
      <c r="S272" s="343">
        <v>0.19525355726571614</v>
      </c>
      <c r="T272" s="343">
        <v>0.20845760155407722</v>
      </c>
      <c r="U272" s="343">
        <v>0.21522286266493729</v>
      </c>
      <c r="V272" s="343">
        <v>0.21795368451751493</v>
      </c>
      <c r="W272" s="343">
        <v>0.22051537315696387</v>
      </c>
      <c r="X272" s="343">
        <v>0.22262705631114368</v>
      </c>
      <c r="Y272" s="379">
        <v>0.2240355439040326</v>
      </c>
      <c r="Z272" s="282">
        <f t="shared" si="120"/>
        <v>5.4062286972235453E-2</v>
      </c>
      <c r="AA272" s="284">
        <f t="shared" si="121"/>
        <v>3.0552417077721186E-2</v>
      </c>
      <c r="AB272" s="949">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0.71488351522579208</v>
      </c>
      <c r="AC272" s="950">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0.69927680798466774</v>
      </c>
      <c r="AD272" s="1228">
        <f t="shared" si="128"/>
        <v>0.70526844300651181</v>
      </c>
      <c r="AE272" s="1232">
        <f t="shared" si="125"/>
        <v>3.3688929692518771E-2</v>
      </c>
      <c r="AF272" s="1233">
        <f t="shared" si="126"/>
        <v>5.4062286972235453E-2</v>
      </c>
      <c r="AG272" s="1233">
        <f t="shared" si="127"/>
        <v>8.7751216664754217E-2</v>
      </c>
      <c r="AH272" s="1174">
        <f t="shared" si="123"/>
        <v>0.38391410367817869</v>
      </c>
      <c r="AI272" s="1234">
        <f t="shared" si="124"/>
        <v>0.61608589632182142</v>
      </c>
    </row>
    <row r="273" spans="1:35" x14ac:dyDescent="0.2">
      <c r="A273" s="330">
        <v>2047</v>
      </c>
      <c r="B273" s="344">
        <v>0</v>
      </c>
      <c r="C273" s="345">
        <v>5.7069375672017558E-2</v>
      </c>
      <c r="D273" s="345">
        <v>0.12607940380395427</v>
      </c>
      <c r="E273" s="345">
        <v>0.14969842027425742</v>
      </c>
      <c r="F273" s="345">
        <v>0.19756016672697121</v>
      </c>
      <c r="G273" s="345">
        <v>0.20529085741008016</v>
      </c>
      <c r="H273" s="345">
        <v>0.21132792624147906</v>
      </c>
      <c r="I273" s="345">
        <v>0.21504369819666661</v>
      </c>
      <c r="J273" s="345">
        <v>0.21792175731334371</v>
      </c>
      <c r="K273" s="345">
        <v>0.22259464115024372</v>
      </c>
      <c r="L273" s="380">
        <v>0.22259464115024372</v>
      </c>
      <c r="M273" s="296">
        <f t="shared" si="118"/>
        <v>3.4810239120503704E-2</v>
      </c>
      <c r="N273" s="298">
        <f t="shared" si="119"/>
        <v>1.9171680223850688E-2</v>
      </c>
      <c r="O273" s="344">
        <v>0</v>
      </c>
      <c r="P273" s="345">
        <v>7.0076089311482334E-2</v>
      </c>
      <c r="Q273" s="345">
        <v>0.13448501791134143</v>
      </c>
      <c r="R273" s="345">
        <v>0.15332643600347057</v>
      </c>
      <c r="S273" s="345">
        <v>0.20087237449209891</v>
      </c>
      <c r="T273" s="345">
        <v>0.20842671974135649</v>
      </c>
      <c r="U273" s="345">
        <v>0.21519122599599208</v>
      </c>
      <c r="V273" s="345">
        <v>0.21792175731334371</v>
      </c>
      <c r="W273" s="345">
        <v>0.22048317745903798</v>
      </c>
      <c r="X273" s="345">
        <v>0.22259464115024372</v>
      </c>
      <c r="Y273" s="380">
        <v>0.22400298329892535</v>
      </c>
      <c r="Z273" s="296">
        <f t="shared" si="120"/>
        <v>5.469926775391374E-2</v>
      </c>
      <c r="AA273" s="298">
        <f t="shared" si="121"/>
        <v>3.1150411427455421E-2</v>
      </c>
      <c r="AB273" s="949">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0.71857609070594097</v>
      </c>
      <c r="AC273" s="950">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0.70301045341865631</v>
      </c>
      <c r="AD273" s="1228">
        <f t="shared" si="128"/>
        <v>0.70906392835058296</v>
      </c>
      <c r="AE273" s="1232">
        <f t="shared" si="125"/>
        <v>3.4810239120503704E-2</v>
      </c>
      <c r="AF273" s="1233">
        <f t="shared" si="126"/>
        <v>5.469926775391374E-2</v>
      </c>
      <c r="AG273" s="1233">
        <f t="shared" si="127"/>
        <v>8.9509506874417444E-2</v>
      </c>
      <c r="AH273" s="1174">
        <f t="shared" si="123"/>
        <v>0.38889990947378078</v>
      </c>
      <c r="AI273" s="1234">
        <f t="shared" si="124"/>
        <v>0.61110009052621916</v>
      </c>
    </row>
    <row r="274" spans="1:35" x14ac:dyDescent="0.2">
      <c r="A274" s="330">
        <v>2048</v>
      </c>
      <c r="B274" s="344">
        <v>0</v>
      </c>
      <c r="C274" s="345">
        <v>6.0847079575505079E-2</v>
      </c>
      <c r="D274" s="345">
        <v>0.13137447555535303</v>
      </c>
      <c r="E274" s="345">
        <v>0.14955081443413132</v>
      </c>
      <c r="F274" s="345">
        <v>0.19753051252554416</v>
      </c>
      <c r="G274" s="345">
        <v>0.20526028126007823</v>
      </c>
      <c r="H274" s="345">
        <v>0.21515955106148069</v>
      </c>
      <c r="I274" s="345">
        <v>0.21834024442073785</v>
      </c>
      <c r="J274" s="345">
        <v>0.22063456590502151</v>
      </c>
      <c r="K274" s="345">
        <v>0.22256218669174846</v>
      </c>
      <c r="L274" s="380">
        <v>0.22256218669174846</v>
      </c>
      <c r="M274" s="296">
        <f t="shared" si="118"/>
        <v>3.5899522026391427E-2</v>
      </c>
      <c r="N274" s="298">
        <f t="shared" si="119"/>
        <v>1.9984088754275597E-2</v>
      </c>
      <c r="O274" s="344">
        <v>0</v>
      </c>
      <c r="P274" s="345">
        <v>7.4001395293621833E-2</v>
      </c>
      <c r="Q274" s="345">
        <v>0.1395552550619813</v>
      </c>
      <c r="R274" s="345">
        <v>0.15766391726682988</v>
      </c>
      <c r="S274" s="345">
        <v>0.20084235049445773</v>
      </c>
      <c r="T274" s="345">
        <v>0.20839580064722327</v>
      </c>
      <c r="U274" s="345">
        <v>0.21515955106148069</v>
      </c>
      <c r="V274" s="345">
        <v>0.2178897914596456</v>
      </c>
      <c r="W274" s="345">
        <v>0.22045094275532454</v>
      </c>
      <c r="X274" s="345">
        <v>0.22256218669174846</v>
      </c>
      <c r="Y274" s="380">
        <v>0.22397038320252904</v>
      </c>
      <c r="Z274" s="296">
        <f t="shared" si="120"/>
        <v>5.6440970506046906E-2</v>
      </c>
      <c r="AA274" s="298">
        <f t="shared" si="121"/>
        <v>3.2490127492791149E-2</v>
      </c>
      <c r="AB274" s="949">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0.72492805652079784</v>
      </c>
      <c r="AC274" s="950">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0.70950627048705539</v>
      </c>
      <c r="AD274" s="1228">
        <f t="shared" si="128"/>
        <v>0.71550184980682285</v>
      </c>
      <c r="AE274" s="1232">
        <f t="shared" si="125"/>
        <v>3.5899522026391427E-2</v>
      </c>
      <c r="AF274" s="1233">
        <f t="shared" si="126"/>
        <v>5.6440970506046906E-2</v>
      </c>
      <c r="AG274" s="1233">
        <f t="shared" si="127"/>
        <v>9.234049253243834E-2</v>
      </c>
      <c r="AH274" s="1174">
        <f t="shared" si="123"/>
        <v>0.38877334354460225</v>
      </c>
      <c r="AI274" s="1234">
        <f t="shared" si="124"/>
        <v>0.61122665645539775</v>
      </c>
    </row>
    <row r="275" spans="1:35" x14ac:dyDescent="0.2">
      <c r="A275" s="330">
        <v>2049</v>
      </c>
      <c r="B275" s="344">
        <v>0</v>
      </c>
      <c r="C275" s="345">
        <v>6.0097410927737183E-2</v>
      </c>
      <c r="D275" s="345">
        <v>0.13125292307254163</v>
      </c>
      <c r="E275" s="345">
        <v>0.14844397486227234</v>
      </c>
      <c r="F275" s="345">
        <v>0.19750084287657835</v>
      </c>
      <c r="G275" s="345">
        <v>0.20522968911117939</v>
      </c>
      <c r="H275" s="345">
        <v>0.21512785944240631</v>
      </c>
      <c r="I275" s="345">
        <v>0.21830821420104693</v>
      </c>
      <c r="J275" s="345">
        <v>0.22060229496541892</v>
      </c>
      <c r="K275" s="345">
        <v>0.22252971504753652</v>
      </c>
      <c r="L275" s="380">
        <v>0.22252971504753652</v>
      </c>
      <c r="M275" s="296">
        <f t="shared" si="118"/>
        <v>3.5724428782552456E-2</v>
      </c>
      <c r="N275" s="298">
        <f t="shared" si="119"/>
        <v>1.9852158161935828E-2</v>
      </c>
      <c r="O275" s="344">
        <v>0</v>
      </c>
      <c r="P275" s="345">
        <v>7.3030795553816641E-2</v>
      </c>
      <c r="Q275" s="345">
        <v>0.13942302839671999</v>
      </c>
      <c r="R275" s="345">
        <v>0.15750460581307452</v>
      </c>
      <c r="S275" s="345">
        <v>0.20081231081853065</v>
      </c>
      <c r="T275" s="345">
        <v>0.20836486533789086</v>
      </c>
      <c r="U275" s="345">
        <v>0.21512785944240631</v>
      </c>
      <c r="V275" s="345">
        <v>0.21785780873555033</v>
      </c>
      <c r="W275" s="345">
        <v>0.22041869100804604</v>
      </c>
      <c r="X275" s="345">
        <v>0.22252971504753652</v>
      </c>
      <c r="Y275" s="380">
        <v>0.22393776582590302</v>
      </c>
      <c r="Z275" s="296">
        <f t="shared" si="120"/>
        <v>5.6156148335049817E-2</v>
      </c>
      <c r="AA275" s="298">
        <f t="shared" si="121"/>
        <v>3.2231255291014602E-2</v>
      </c>
      <c r="AB275" s="949">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0.72511172442468241</v>
      </c>
      <c r="AC275" s="950">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0.708822453871369</v>
      </c>
      <c r="AD275" s="1228">
        <f t="shared" si="128"/>
        <v>0.71515594571542584</v>
      </c>
      <c r="AE275" s="1232">
        <f t="shared" si="125"/>
        <v>3.5724428782552456E-2</v>
      </c>
      <c r="AF275" s="1233">
        <f t="shared" si="126"/>
        <v>5.6156148335049817E-2</v>
      </c>
      <c r="AG275" s="1233">
        <f t="shared" si="127"/>
        <v>9.188057711760228E-2</v>
      </c>
      <c r="AH275" s="1174">
        <f t="shared" si="123"/>
        <v>0.38881371779834467</v>
      </c>
      <c r="AI275" s="1234">
        <f t="shared" si="124"/>
        <v>0.61118628220165527</v>
      </c>
    </row>
    <row r="276" spans="1:35" ht="13.5" thickBot="1" x14ac:dyDescent="0.25">
      <c r="A276" s="328">
        <v>2050</v>
      </c>
      <c r="B276" s="346">
        <v>0</v>
      </c>
      <c r="C276" s="347">
        <v>6.4463428667073025E-2</v>
      </c>
      <c r="D276" s="347">
        <v>0.12989003444433403</v>
      </c>
      <c r="E276" s="347">
        <v>0.15395668379377436</v>
      </c>
      <c r="F276" s="347">
        <v>0.19747115778636687</v>
      </c>
      <c r="G276" s="347">
        <v>0.20519908096976119</v>
      </c>
      <c r="H276" s="347">
        <v>0.21509615114520145</v>
      </c>
      <c r="I276" s="347">
        <v>0.21827616708688583</v>
      </c>
      <c r="J276" s="347">
        <v>0.22057000697631113</v>
      </c>
      <c r="K276" s="347">
        <v>0.22249722622405513</v>
      </c>
      <c r="L276" s="381">
        <v>0.22249722622405513</v>
      </c>
      <c r="M276" s="310">
        <f t="shared" si="118"/>
        <v>3.6509082034152457E-2</v>
      </c>
      <c r="N276" s="312">
        <f t="shared" si="119"/>
        <v>2.0496783987294119E-2</v>
      </c>
      <c r="O276" s="346">
        <v>0</v>
      </c>
      <c r="P276" s="347">
        <v>7.2971618222283763E-2</v>
      </c>
      <c r="Q276" s="347">
        <v>0.13807789962041217</v>
      </c>
      <c r="R276" s="347">
        <v>0.15734751390412288</v>
      </c>
      <c r="S276" s="347">
        <v>0.20078225547062975</v>
      </c>
      <c r="T276" s="347">
        <v>0.20833391381975044</v>
      </c>
      <c r="U276" s="347">
        <v>0.21509615114520145</v>
      </c>
      <c r="V276" s="347">
        <v>0.21782580914749777</v>
      </c>
      <c r="W276" s="347">
        <v>0.22038642222364699</v>
      </c>
      <c r="X276" s="347">
        <v>0.22249722622405513</v>
      </c>
      <c r="Y276" s="381">
        <v>0.22390513117549576</v>
      </c>
      <c r="Z276" s="310">
        <f t="shared" si="120"/>
        <v>5.6015740280664798E-2</v>
      </c>
      <c r="AA276" s="312">
        <f t="shared" si="121"/>
        <v>3.2149365339667932E-2</v>
      </c>
      <c r="AB276" s="951">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0.72946569275911277</v>
      </c>
      <c r="AC276" s="952">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0.70919664269356775</v>
      </c>
      <c r="AD276" s="1229">
        <f t="shared" si="128"/>
        <v>0.71719454415485817</v>
      </c>
      <c r="AE276" s="1235">
        <f t="shared" si="125"/>
        <v>3.6509082034152457E-2</v>
      </c>
      <c r="AF276" s="1236">
        <f t="shared" si="126"/>
        <v>5.6015740280664798E-2</v>
      </c>
      <c r="AG276" s="1236">
        <f t="shared" si="127"/>
        <v>9.2524822314817262E-2</v>
      </c>
      <c r="AH276" s="1237">
        <f t="shared" si="123"/>
        <v>0.39458689161195781</v>
      </c>
      <c r="AI276" s="1238">
        <f t="shared" si="124"/>
        <v>0.60541310838804208</v>
      </c>
    </row>
    <row r="277" spans="1:35" x14ac:dyDescent="0.2">
      <c r="B277" s="227" t="s">
        <v>241</v>
      </c>
      <c r="U277" s="227" t="s">
        <v>241</v>
      </c>
      <c r="AI277" s="227"/>
    </row>
    <row r="278" spans="1:35" x14ac:dyDescent="0.2">
      <c r="AI278" s="227"/>
    </row>
    <row r="279" spans="1:35" ht="13.5" thickBot="1" x14ac:dyDescent="0.25">
      <c r="AI279" s="227"/>
    </row>
    <row r="280" spans="1:35" ht="15" x14ac:dyDescent="0.25">
      <c r="A280" s="333"/>
      <c r="B280" s="1559" t="s">
        <v>220</v>
      </c>
      <c r="C280" s="1560"/>
      <c r="D280" s="1560"/>
      <c r="E280" s="1560"/>
      <c r="F280" s="1560"/>
      <c r="G280" s="1560"/>
      <c r="H280" s="1560"/>
      <c r="I280" s="1560"/>
      <c r="J280" s="1560"/>
      <c r="K280" s="1560"/>
      <c r="L280" s="1560"/>
      <c r="M280" s="1560"/>
      <c r="N280" s="1561"/>
      <c r="O280" s="1559" t="s">
        <v>219</v>
      </c>
      <c r="P280" s="1560"/>
      <c r="Q280" s="1560"/>
      <c r="R280" s="1560"/>
      <c r="S280" s="1560"/>
      <c r="T280" s="1560"/>
      <c r="U280" s="1560"/>
      <c r="V280" s="1560"/>
      <c r="W280" s="1560"/>
      <c r="X280" s="1560"/>
      <c r="Y280" s="1560"/>
      <c r="Z280" s="1560"/>
      <c r="AA280" s="1561"/>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5" t="s">
        <v>268</v>
      </c>
      <c r="AD281" s="234" t="b">
        <f>INDEX(TECH_OPT_FUEL2_Cls3,MATCH(RIGHT(O280),TECH_OPT_ROWS_Cls3,0))&lt;&gt;"N/A"</f>
        <v>0</v>
      </c>
    </row>
    <row r="282" spans="1:35"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7"/>
      <c r="AC282" s="955" t="s">
        <v>269</v>
      </c>
      <c r="AD282" s="234">
        <f>MATCH(RIGHT(O280),TECH_OPT_ROWS_Cls3,0)</f>
        <v>6</v>
      </c>
    </row>
    <row r="283" spans="1:35" ht="14.25"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11">
        <v>1.1022999100839563E-4</v>
      </c>
      <c r="Z283" s="1216"/>
      <c r="AA283" s="1217"/>
    </row>
    <row r="284" spans="1:35" x14ac:dyDescent="0.2">
      <c r="A284" s="331" t="s">
        <v>125</v>
      </c>
      <c r="B284" s="924">
        <f t="array" ref="B284:L284">TRANSPOSE(Cls3CentVMTShr)</f>
        <v>7.4407503791532936E-2</v>
      </c>
      <c r="C284" s="925">
        <v>0.15052192967997111</v>
      </c>
      <c r="D284" s="925">
        <v>8.9028098283245441E-2</v>
      </c>
      <c r="E284" s="925">
        <v>4.5356257743642811E-2</v>
      </c>
      <c r="F284" s="925">
        <v>2.1016507050137231E-2</v>
      </c>
      <c r="G284" s="925">
        <v>4.9007047894213725E-4</v>
      </c>
      <c r="H284" s="925">
        <v>1.4797621296467818E-2</v>
      </c>
      <c r="I284" s="925">
        <v>0</v>
      </c>
      <c r="J284" s="925">
        <v>0</v>
      </c>
      <c r="K284" s="925">
        <v>3.7103078033661591E-3</v>
      </c>
      <c r="L284" s="1212">
        <v>0</v>
      </c>
      <c r="M284" s="1213"/>
      <c r="N284" s="1214"/>
      <c r="O284" s="924">
        <f t="array" ref="O284:Y284">TRANSPOSE(Cls3NCentVMTShr)</f>
        <v>0.11481596497083862</v>
      </c>
      <c r="P284" s="925">
        <v>0.26987209279577573</v>
      </c>
      <c r="Q284" s="925">
        <v>8.3836105982992667E-2</v>
      </c>
      <c r="R284" s="925">
        <v>5.9842896537765707E-2</v>
      </c>
      <c r="S284" s="925">
        <v>1.6413649143963899E-2</v>
      </c>
      <c r="T284" s="925">
        <v>1.0165768727376887E-2</v>
      </c>
      <c r="U284" s="925">
        <v>2.0700108148562976E-2</v>
      </c>
      <c r="V284" s="925">
        <v>2.0956833812228508E-2</v>
      </c>
      <c r="W284" s="925">
        <v>3.1584958359553582E-3</v>
      </c>
      <c r="X284" s="925">
        <v>0</v>
      </c>
      <c r="Y284" s="926">
        <v>9.0978791723388369E-4</v>
      </c>
      <c r="Z284" s="1213"/>
      <c r="AA284" s="1214"/>
      <c r="AB284" s="1572" t="str">
        <f>"% of miles on f2 for Tech "&amp; RIGHT(O279)&amp;" adopters"</f>
        <v>% of miles on f2 for Tech  adopters</v>
      </c>
      <c r="AC284" s="1573"/>
      <c r="AD284" s="1574"/>
      <c r="AE284" s="1239" t="s">
        <v>299</v>
      </c>
      <c r="AF284" s="1240"/>
      <c r="AG284" s="1240"/>
      <c r="AH284" s="1230" t="s">
        <v>298</v>
      </c>
      <c r="AI284" s="1231"/>
    </row>
    <row r="285" spans="1:35" ht="13.5" thickBot="1" x14ac:dyDescent="0.25">
      <c r="A285" s="943" t="s">
        <v>267</v>
      </c>
      <c r="B285" s="934">
        <f t="array" ref="B285:L285">TRANSPOSE(Cls3CentVMT/OPDAYS_Cls3)</f>
        <v>49.202805162026571</v>
      </c>
      <c r="C285" s="935">
        <v>115.99623692884222</v>
      </c>
      <c r="D285" s="935">
        <v>190.94140758026836</v>
      </c>
      <c r="E285" s="935">
        <v>282.72824571583544</v>
      </c>
      <c r="F285" s="935">
        <v>349.10577157713089</v>
      </c>
      <c r="G285" s="935">
        <v>408.92399999999998</v>
      </c>
      <c r="H285" s="935">
        <v>540.31926836851005</v>
      </c>
      <c r="I285" s="935">
        <v>600</v>
      </c>
      <c r="J285" s="935">
        <v>680</v>
      </c>
      <c r="K285" s="935">
        <v>800.00000000000011</v>
      </c>
      <c r="L285" s="936">
        <v>800</v>
      </c>
      <c r="M285" s="932"/>
      <c r="N285" s="933"/>
      <c r="O285" s="934">
        <f t="array" ref="O285:Y285">TRANSPOSE(Cls3NCentVMT/OPDAYS_Cls3)</f>
        <v>45.820527909508108</v>
      </c>
      <c r="P285" s="935">
        <v>114.90604343518244</v>
      </c>
      <c r="Q285" s="935">
        <v>196.29405935940918</v>
      </c>
      <c r="R285" s="935">
        <v>286.46435582159182</v>
      </c>
      <c r="S285" s="935">
        <v>352.24339419308075</v>
      </c>
      <c r="T285" s="935">
        <v>427.07804424634116</v>
      </c>
      <c r="U285" s="935">
        <v>519.59880241076587</v>
      </c>
      <c r="V285" s="935">
        <v>608.4346682070543</v>
      </c>
      <c r="W285" s="935">
        <v>703.2</v>
      </c>
      <c r="X285" s="935">
        <v>760</v>
      </c>
      <c r="Y285" s="1215">
        <v>900</v>
      </c>
      <c r="Z285" s="944"/>
      <c r="AA285" s="933"/>
      <c r="AB285" s="946" t="s">
        <v>187</v>
      </c>
      <c r="AC285" s="947" t="s">
        <v>15</v>
      </c>
      <c r="AD285" s="948" t="s">
        <v>18</v>
      </c>
      <c r="AE285" s="330" t="s">
        <v>187</v>
      </c>
      <c r="AF285" s="1241" t="s">
        <v>15</v>
      </c>
      <c r="AG285" s="1241" t="s">
        <v>18</v>
      </c>
      <c r="AH285" s="1242" t="s">
        <v>187</v>
      </c>
      <c r="AI285" s="1243" t="s">
        <v>15</v>
      </c>
    </row>
    <row r="286" spans="1:35" ht="13.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9">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50">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8">
        <f>AB286*AH286+AC286*AI286</f>
        <v>0</v>
      </c>
      <c r="AE286" s="1232">
        <f t="shared" ref="AE286:AE300" si="129">SUMPRODUCT($B$74:$L$74,B286:L286)</f>
        <v>0</v>
      </c>
      <c r="AF286" s="1233">
        <f t="shared" ref="AF286:AF300" si="130">SUMPRODUCT($O$74:$Y$74,O286:Y286)</f>
        <v>0</v>
      </c>
      <c r="AG286" s="1233">
        <f t="shared" ref="AG286:AG300" si="131">SUM(AE286:AF286)</f>
        <v>0</v>
      </c>
      <c r="AH286" s="1174">
        <f>IF(AG286&gt;0,AE286/AG286,0)</f>
        <v>0</v>
      </c>
      <c r="AI286" s="1234">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32">SUMPRODUCT(B287:L287,$B$284:$L$284)</f>
        <v>0</v>
      </c>
      <c r="N287" s="298">
        <f t="shared" ref="N287:N329" si="133">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34">SUMPRODUCT(O287:Y287,$O$284:$Y$284)</f>
        <v>0</v>
      </c>
      <c r="AA287" s="298">
        <f t="shared" ref="AA287:AA329" si="135">SUMPRODUCT(O287:Y287,$O$283:$Y$283)</f>
        <v>0</v>
      </c>
      <c r="AB287" s="949">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50">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8">
        <f t="shared" ref="AD287:AD311" si="136">AB287*AH287+AC287*AI287</f>
        <v>0</v>
      </c>
      <c r="AE287" s="1232">
        <f t="shared" si="129"/>
        <v>0</v>
      </c>
      <c r="AF287" s="1233">
        <f t="shared" si="130"/>
        <v>0</v>
      </c>
      <c r="AG287" s="1233">
        <f t="shared" si="131"/>
        <v>0</v>
      </c>
      <c r="AH287" s="1174">
        <f t="shared" ref="AH287:AH329" si="137">IF(AG287&gt;0,AE287/AG287,0)</f>
        <v>0</v>
      </c>
      <c r="AI287" s="1234">
        <f t="shared" ref="AI287:AI329" si="138">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32"/>
        <v>0</v>
      </c>
      <c r="N288" s="298">
        <f t="shared" si="133"/>
        <v>0</v>
      </c>
      <c r="O288" s="344">
        <v>0</v>
      </c>
      <c r="P288" s="345">
        <v>0</v>
      </c>
      <c r="Q288" s="345">
        <v>0</v>
      </c>
      <c r="R288" s="345">
        <v>0</v>
      </c>
      <c r="S288" s="345">
        <v>0</v>
      </c>
      <c r="T288" s="345">
        <v>0</v>
      </c>
      <c r="U288" s="345">
        <v>0</v>
      </c>
      <c r="V288" s="345">
        <v>0</v>
      </c>
      <c r="W288" s="345">
        <v>0</v>
      </c>
      <c r="X288" s="345">
        <v>0</v>
      </c>
      <c r="Y288" s="380">
        <v>0</v>
      </c>
      <c r="Z288" s="296">
        <f t="shared" si="134"/>
        <v>0</v>
      </c>
      <c r="AA288" s="298">
        <f t="shared" si="135"/>
        <v>0</v>
      </c>
      <c r="AB288" s="949">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50">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8">
        <f t="shared" si="136"/>
        <v>0</v>
      </c>
      <c r="AE288" s="1232">
        <f t="shared" si="129"/>
        <v>0</v>
      </c>
      <c r="AF288" s="1233">
        <f t="shared" si="130"/>
        <v>0</v>
      </c>
      <c r="AG288" s="1233">
        <f t="shared" si="131"/>
        <v>0</v>
      </c>
      <c r="AH288" s="1174">
        <f t="shared" si="137"/>
        <v>0</v>
      </c>
      <c r="AI288" s="1234">
        <f t="shared" si="138"/>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2"/>
        <v>0</v>
      </c>
      <c r="N289" s="312">
        <f t="shared" si="133"/>
        <v>0</v>
      </c>
      <c r="O289" s="346">
        <v>0</v>
      </c>
      <c r="P289" s="347">
        <v>0</v>
      </c>
      <c r="Q289" s="347">
        <v>0</v>
      </c>
      <c r="R289" s="347">
        <v>0</v>
      </c>
      <c r="S289" s="347">
        <v>0</v>
      </c>
      <c r="T289" s="347">
        <v>0</v>
      </c>
      <c r="U289" s="347">
        <v>0</v>
      </c>
      <c r="V289" s="347">
        <v>0</v>
      </c>
      <c r="W289" s="347">
        <v>0</v>
      </c>
      <c r="X289" s="347">
        <v>0</v>
      </c>
      <c r="Y289" s="381">
        <v>0</v>
      </c>
      <c r="Z289" s="310">
        <f t="shared" si="134"/>
        <v>0</v>
      </c>
      <c r="AA289" s="312">
        <f t="shared" si="135"/>
        <v>0</v>
      </c>
      <c r="AB289" s="949">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50">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8">
        <f t="shared" si="136"/>
        <v>0</v>
      </c>
      <c r="AE289" s="1232">
        <f t="shared" si="129"/>
        <v>0</v>
      </c>
      <c r="AF289" s="1233">
        <f t="shared" si="130"/>
        <v>0</v>
      </c>
      <c r="AG289" s="1233">
        <f t="shared" si="131"/>
        <v>0</v>
      </c>
      <c r="AH289" s="1174">
        <f t="shared" si="137"/>
        <v>0</v>
      </c>
      <c r="AI289" s="1234">
        <f t="shared" si="138"/>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2"/>
        <v>0</v>
      </c>
      <c r="N290" s="284">
        <f t="shared" si="133"/>
        <v>0</v>
      </c>
      <c r="O290" s="342">
        <v>0</v>
      </c>
      <c r="P290" s="343">
        <v>0</v>
      </c>
      <c r="Q290" s="343">
        <v>0</v>
      </c>
      <c r="R290" s="343">
        <v>0</v>
      </c>
      <c r="S290" s="343">
        <v>0</v>
      </c>
      <c r="T290" s="343">
        <v>0</v>
      </c>
      <c r="U290" s="343">
        <v>0</v>
      </c>
      <c r="V290" s="343">
        <v>0</v>
      </c>
      <c r="W290" s="343">
        <v>0</v>
      </c>
      <c r="X290" s="343">
        <v>0</v>
      </c>
      <c r="Y290" s="379">
        <v>0</v>
      </c>
      <c r="Z290" s="282">
        <f t="shared" si="134"/>
        <v>0</v>
      </c>
      <c r="AA290" s="284">
        <f t="shared" si="135"/>
        <v>0</v>
      </c>
      <c r="AB290" s="949">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50">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8">
        <f t="shared" si="136"/>
        <v>0</v>
      </c>
      <c r="AE290" s="1232">
        <f t="shared" si="129"/>
        <v>0</v>
      </c>
      <c r="AF290" s="1233">
        <f t="shared" si="130"/>
        <v>0</v>
      </c>
      <c r="AG290" s="1233">
        <f t="shared" si="131"/>
        <v>0</v>
      </c>
      <c r="AH290" s="1174">
        <f t="shared" si="137"/>
        <v>0</v>
      </c>
      <c r="AI290" s="1234">
        <f t="shared" si="138"/>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2"/>
        <v>0</v>
      </c>
      <c r="N291" s="298">
        <f t="shared" si="133"/>
        <v>0</v>
      </c>
      <c r="O291" s="344">
        <v>0</v>
      </c>
      <c r="P291" s="345">
        <v>0</v>
      </c>
      <c r="Q291" s="345">
        <v>0</v>
      </c>
      <c r="R291" s="345">
        <v>0</v>
      </c>
      <c r="S291" s="345">
        <v>0</v>
      </c>
      <c r="T291" s="345">
        <v>0</v>
      </c>
      <c r="U291" s="345">
        <v>0</v>
      </c>
      <c r="V291" s="345">
        <v>0</v>
      </c>
      <c r="W291" s="345">
        <v>0</v>
      </c>
      <c r="X291" s="345">
        <v>0</v>
      </c>
      <c r="Y291" s="380">
        <v>0</v>
      </c>
      <c r="Z291" s="296">
        <f t="shared" si="134"/>
        <v>0</v>
      </c>
      <c r="AA291" s="298">
        <f t="shared" si="135"/>
        <v>0</v>
      </c>
      <c r="AB291" s="949">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50">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8">
        <f t="shared" si="136"/>
        <v>0</v>
      </c>
      <c r="AE291" s="1232">
        <f t="shared" si="129"/>
        <v>0</v>
      </c>
      <c r="AF291" s="1233">
        <f t="shared" si="130"/>
        <v>0</v>
      </c>
      <c r="AG291" s="1233">
        <f t="shared" si="131"/>
        <v>0</v>
      </c>
      <c r="AH291" s="1174">
        <f t="shared" si="137"/>
        <v>0</v>
      </c>
      <c r="AI291" s="1234">
        <f t="shared" si="138"/>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2"/>
        <v>0</v>
      </c>
      <c r="N292" s="298">
        <f t="shared" si="133"/>
        <v>0</v>
      </c>
      <c r="O292" s="344">
        <v>0</v>
      </c>
      <c r="P292" s="345">
        <v>0</v>
      </c>
      <c r="Q292" s="345">
        <v>0</v>
      </c>
      <c r="R292" s="345">
        <v>0</v>
      </c>
      <c r="S292" s="345">
        <v>0</v>
      </c>
      <c r="T292" s="345">
        <v>0</v>
      </c>
      <c r="U292" s="345">
        <v>0</v>
      </c>
      <c r="V292" s="345">
        <v>0</v>
      </c>
      <c r="W292" s="345">
        <v>0</v>
      </c>
      <c r="X292" s="345">
        <v>0</v>
      </c>
      <c r="Y292" s="380">
        <v>0</v>
      </c>
      <c r="Z292" s="296">
        <f t="shared" si="134"/>
        <v>0</v>
      </c>
      <c r="AA292" s="298">
        <f t="shared" si="135"/>
        <v>0</v>
      </c>
      <c r="AB292" s="949">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50">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8">
        <f t="shared" si="136"/>
        <v>0</v>
      </c>
      <c r="AE292" s="1232">
        <f t="shared" si="129"/>
        <v>0</v>
      </c>
      <c r="AF292" s="1233">
        <f t="shared" si="130"/>
        <v>0</v>
      </c>
      <c r="AG292" s="1233">
        <f t="shared" si="131"/>
        <v>0</v>
      </c>
      <c r="AH292" s="1174">
        <f t="shared" si="137"/>
        <v>0</v>
      </c>
      <c r="AI292" s="1234">
        <f t="shared" si="138"/>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2"/>
        <v>0</v>
      </c>
      <c r="N293" s="298">
        <f t="shared" si="133"/>
        <v>0</v>
      </c>
      <c r="O293" s="344">
        <v>0</v>
      </c>
      <c r="P293" s="345">
        <v>0</v>
      </c>
      <c r="Q293" s="345">
        <v>0</v>
      </c>
      <c r="R293" s="345">
        <v>0</v>
      </c>
      <c r="S293" s="345">
        <v>0</v>
      </c>
      <c r="T293" s="345">
        <v>0</v>
      </c>
      <c r="U293" s="345">
        <v>0</v>
      </c>
      <c r="V293" s="345">
        <v>0</v>
      </c>
      <c r="W293" s="345">
        <v>0</v>
      </c>
      <c r="X293" s="345">
        <v>0</v>
      </c>
      <c r="Y293" s="380">
        <v>0</v>
      </c>
      <c r="Z293" s="296">
        <f t="shared" si="134"/>
        <v>0</v>
      </c>
      <c r="AA293" s="298">
        <f t="shared" si="135"/>
        <v>0</v>
      </c>
      <c r="AB293" s="949">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50">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8">
        <f t="shared" si="136"/>
        <v>0</v>
      </c>
      <c r="AE293" s="1232">
        <f t="shared" si="129"/>
        <v>0</v>
      </c>
      <c r="AF293" s="1233">
        <f t="shared" si="130"/>
        <v>0</v>
      </c>
      <c r="AG293" s="1233">
        <f t="shared" si="131"/>
        <v>0</v>
      </c>
      <c r="AH293" s="1174">
        <f t="shared" si="137"/>
        <v>0</v>
      </c>
      <c r="AI293" s="1234">
        <f t="shared" si="138"/>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2"/>
        <v>0</v>
      </c>
      <c r="N294" s="312">
        <f t="shared" si="133"/>
        <v>0</v>
      </c>
      <c r="O294" s="346">
        <v>0</v>
      </c>
      <c r="P294" s="347">
        <v>0</v>
      </c>
      <c r="Q294" s="347">
        <v>0</v>
      </c>
      <c r="R294" s="347">
        <v>0</v>
      </c>
      <c r="S294" s="347">
        <v>0</v>
      </c>
      <c r="T294" s="347">
        <v>0</v>
      </c>
      <c r="U294" s="347">
        <v>0</v>
      </c>
      <c r="V294" s="347">
        <v>0</v>
      </c>
      <c r="W294" s="347">
        <v>0</v>
      </c>
      <c r="X294" s="347">
        <v>0</v>
      </c>
      <c r="Y294" s="381">
        <v>0</v>
      </c>
      <c r="Z294" s="310">
        <f t="shared" si="134"/>
        <v>0</v>
      </c>
      <c r="AA294" s="312">
        <f t="shared" si="135"/>
        <v>0</v>
      </c>
      <c r="AB294" s="949">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50">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8">
        <f t="shared" si="136"/>
        <v>0</v>
      </c>
      <c r="AE294" s="1232">
        <f t="shared" si="129"/>
        <v>0</v>
      </c>
      <c r="AF294" s="1233">
        <f t="shared" si="130"/>
        <v>0</v>
      </c>
      <c r="AG294" s="1233">
        <f t="shared" si="131"/>
        <v>0</v>
      </c>
      <c r="AH294" s="1174">
        <f t="shared" si="137"/>
        <v>0</v>
      </c>
      <c r="AI294" s="1234">
        <f t="shared" si="138"/>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2"/>
        <v>0</v>
      </c>
      <c r="N295" s="284">
        <f t="shared" si="133"/>
        <v>0</v>
      </c>
      <c r="O295" s="342">
        <v>0</v>
      </c>
      <c r="P295" s="343">
        <v>0</v>
      </c>
      <c r="Q295" s="343">
        <v>0</v>
      </c>
      <c r="R295" s="343">
        <v>0</v>
      </c>
      <c r="S295" s="343">
        <v>0</v>
      </c>
      <c r="T295" s="343">
        <v>0</v>
      </c>
      <c r="U295" s="343">
        <v>0</v>
      </c>
      <c r="V295" s="343">
        <v>0</v>
      </c>
      <c r="W295" s="343">
        <v>0</v>
      </c>
      <c r="X295" s="343">
        <v>0</v>
      </c>
      <c r="Y295" s="379">
        <v>0</v>
      </c>
      <c r="Z295" s="282">
        <f t="shared" si="134"/>
        <v>0</v>
      </c>
      <c r="AA295" s="284">
        <f t="shared" si="135"/>
        <v>0</v>
      </c>
      <c r="AB295" s="949">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50">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8">
        <f t="shared" si="136"/>
        <v>0</v>
      </c>
      <c r="AE295" s="1232">
        <f t="shared" si="129"/>
        <v>0</v>
      </c>
      <c r="AF295" s="1233">
        <f t="shared" si="130"/>
        <v>0</v>
      </c>
      <c r="AG295" s="1233">
        <f t="shared" si="131"/>
        <v>0</v>
      </c>
      <c r="AH295" s="1174">
        <f t="shared" si="137"/>
        <v>0</v>
      </c>
      <c r="AI295" s="1234">
        <f t="shared" si="138"/>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2"/>
        <v>0</v>
      </c>
      <c r="N296" s="298">
        <f t="shared" si="133"/>
        <v>0</v>
      </c>
      <c r="O296" s="344">
        <v>0</v>
      </c>
      <c r="P296" s="345">
        <v>0</v>
      </c>
      <c r="Q296" s="345">
        <v>0</v>
      </c>
      <c r="R296" s="345">
        <v>0</v>
      </c>
      <c r="S296" s="345">
        <v>0</v>
      </c>
      <c r="T296" s="345">
        <v>0</v>
      </c>
      <c r="U296" s="345">
        <v>0</v>
      </c>
      <c r="V296" s="345">
        <v>0</v>
      </c>
      <c r="W296" s="345">
        <v>0</v>
      </c>
      <c r="X296" s="345">
        <v>0</v>
      </c>
      <c r="Y296" s="380">
        <v>0</v>
      </c>
      <c r="Z296" s="296">
        <f t="shared" si="134"/>
        <v>0</v>
      </c>
      <c r="AA296" s="298">
        <f t="shared" si="135"/>
        <v>0</v>
      </c>
      <c r="AB296" s="949">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50">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8">
        <f t="shared" si="136"/>
        <v>0</v>
      </c>
      <c r="AE296" s="1232">
        <f t="shared" si="129"/>
        <v>0</v>
      </c>
      <c r="AF296" s="1233">
        <f t="shared" si="130"/>
        <v>0</v>
      </c>
      <c r="AG296" s="1233">
        <f t="shared" si="131"/>
        <v>0</v>
      </c>
      <c r="AH296" s="1174">
        <f t="shared" si="137"/>
        <v>0</v>
      </c>
      <c r="AI296" s="1234">
        <f t="shared" si="138"/>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2"/>
        <v>0</v>
      </c>
      <c r="N297" s="298">
        <f t="shared" si="133"/>
        <v>0</v>
      </c>
      <c r="O297" s="344">
        <v>0</v>
      </c>
      <c r="P297" s="345">
        <v>0</v>
      </c>
      <c r="Q297" s="345">
        <v>0</v>
      </c>
      <c r="R297" s="345">
        <v>0</v>
      </c>
      <c r="S297" s="345">
        <v>0</v>
      </c>
      <c r="T297" s="345">
        <v>0</v>
      </c>
      <c r="U297" s="345">
        <v>0</v>
      </c>
      <c r="V297" s="345">
        <v>0</v>
      </c>
      <c r="W297" s="345">
        <v>0</v>
      </c>
      <c r="X297" s="345">
        <v>0</v>
      </c>
      <c r="Y297" s="380">
        <v>0</v>
      </c>
      <c r="Z297" s="296">
        <f t="shared" si="134"/>
        <v>0</v>
      </c>
      <c r="AA297" s="298">
        <f t="shared" si="135"/>
        <v>0</v>
      </c>
      <c r="AB297" s="949">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50">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8">
        <f t="shared" si="136"/>
        <v>0</v>
      </c>
      <c r="AE297" s="1232">
        <f t="shared" si="129"/>
        <v>0</v>
      </c>
      <c r="AF297" s="1233">
        <f t="shared" si="130"/>
        <v>0</v>
      </c>
      <c r="AG297" s="1233">
        <f t="shared" si="131"/>
        <v>0</v>
      </c>
      <c r="AH297" s="1174">
        <f t="shared" si="137"/>
        <v>0</v>
      </c>
      <c r="AI297" s="1234">
        <f t="shared" si="138"/>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2"/>
        <v>0</v>
      </c>
      <c r="N298" s="298">
        <f t="shared" si="133"/>
        <v>0</v>
      </c>
      <c r="O298" s="344">
        <v>0</v>
      </c>
      <c r="P298" s="345">
        <v>0</v>
      </c>
      <c r="Q298" s="345">
        <v>0</v>
      </c>
      <c r="R298" s="345">
        <v>0</v>
      </c>
      <c r="S298" s="345">
        <v>0</v>
      </c>
      <c r="T298" s="345">
        <v>0</v>
      </c>
      <c r="U298" s="345">
        <v>0</v>
      </c>
      <c r="V298" s="345">
        <v>0</v>
      </c>
      <c r="W298" s="345">
        <v>0</v>
      </c>
      <c r="X298" s="345">
        <v>0</v>
      </c>
      <c r="Y298" s="380">
        <v>0</v>
      </c>
      <c r="Z298" s="296">
        <f t="shared" si="134"/>
        <v>0</v>
      </c>
      <c r="AA298" s="298">
        <f t="shared" si="135"/>
        <v>0</v>
      </c>
      <c r="AB298" s="949">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50">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8">
        <f t="shared" si="136"/>
        <v>0</v>
      </c>
      <c r="AE298" s="1232">
        <f t="shared" si="129"/>
        <v>0</v>
      </c>
      <c r="AF298" s="1233">
        <f t="shared" si="130"/>
        <v>0</v>
      </c>
      <c r="AG298" s="1233">
        <f t="shared" si="131"/>
        <v>0</v>
      </c>
      <c r="AH298" s="1174">
        <f t="shared" si="137"/>
        <v>0</v>
      </c>
      <c r="AI298" s="1234">
        <f t="shared" si="138"/>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2"/>
        <v>0</v>
      </c>
      <c r="N299" s="312">
        <f t="shared" si="133"/>
        <v>0</v>
      </c>
      <c r="O299" s="346">
        <v>0</v>
      </c>
      <c r="P299" s="347">
        <v>0</v>
      </c>
      <c r="Q299" s="347">
        <v>0</v>
      </c>
      <c r="R299" s="347">
        <v>0</v>
      </c>
      <c r="S299" s="347">
        <v>0</v>
      </c>
      <c r="T299" s="347">
        <v>0</v>
      </c>
      <c r="U299" s="347">
        <v>0</v>
      </c>
      <c r="V299" s="347">
        <v>0</v>
      </c>
      <c r="W299" s="347">
        <v>0</v>
      </c>
      <c r="X299" s="347">
        <v>0</v>
      </c>
      <c r="Y299" s="381">
        <v>0</v>
      </c>
      <c r="Z299" s="310">
        <f t="shared" si="134"/>
        <v>0</v>
      </c>
      <c r="AA299" s="312">
        <f t="shared" si="135"/>
        <v>0</v>
      </c>
      <c r="AB299" s="949">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50">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8">
        <f t="shared" si="136"/>
        <v>0</v>
      </c>
      <c r="AE299" s="1232">
        <f t="shared" si="129"/>
        <v>0</v>
      </c>
      <c r="AF299" s="1233">
        <f t="shared" si="130"/>
        <v>0</v>
      </c>
      <c r="AG299" s="1233">
        <f t="shared" si="131"/>
        <v>0</v>
      </c>
      <c r="AH299" s="1174">
        <f t="shared" si="137"/>
        <v>0</v>
      </c>
      <c r="AI299" s="1234">
        <f t="shared" si="138"/>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2"/>
        <v>0</v>
      </c>
      <c r="N300" s="284">
        <f t="shared" si="133"/>
        <v>0</v>
      </c>
      <c r="O300" s="342">
        <v>0</v>
      </c>
      <c r="P300" s="343">
        <v>0</v>
      </c>
      <c r="Q300" s="343">
        <v>0</v>
      </c>
      <c r="R300" s="343">
        <v>0</v>
      </c>
      <c r="S300" s="343">
        <v>0</v>
      </c>
      <c r="T300" s="343">
        <v>0</v>
      </c>
      <c r="U300" s="343">
        <v>0</v>
      </c>
      <c r="V300" s="343">
        <v>0</v>
      </c>
      <c r="W300" s="343">
        <v>0</v>
      </c>
      <c r="X300" s="343">
        <v>0</v>
      </c>
      <c r="Y300" s="379">
        <v>0</v>
      </c>
      <c r="Z300" s="282">
        <f t="shared" si="134"/>
        <v>0</v>
      </c>
      <c r="AA300" s="284">
        <f t="shared" si="135"/>
        <v>0</v>
      </c>
      <c r="AB300" s="949">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50">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8">
        <f t="shared" si="136"/>
        <v>0</v>
      </c>
      <c r="AE300" s="1232">
        <f t="shared" si="129"/>
        <v>0</v>
      </c>
      <c r="AF300" s="1233">
        <f t="shared" si="130"/>
        <v>0</v>
      </c>
      <c r="AG300" s="1233">
        <f t="shared" si="131"/>
        <v>0</v>
      </c>
      <c r="AH300" s="1174">
        <f t="shared" si="137"/>
        <v>0</v>
      </c>
      <c r="AI300" s="1234">
        <f t="shared" si="138"/>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2"/>
        <v>0</v>
      </c>
      <c r="N301" s="298">
        <f t="shared" si="133"/>
        <v>0</v>
      </c>
      <c r="O301" s="344">
        <v>0</v>
      </c>
      <c r="P301" s="345">
        <v>0</v>
      </c>
      <c r="Q301" s="345">
        <v>0</v>
      </c>
      <c r="R301" s="345">
        <v>0</v>
      </c>
      <c r="S301" s="345">
        <v>0</v>
      </c>
      <c r="T301" s="345">
        <v>0</v>
      </c>
      <c r="U301" s="345">
        <v>0</v>
      </c>
      <c r="V301" s="345">
        <v>0</v>
      </c>
      <c r="W301" s="345">
        <v>0</v>
      </c>
      <c r="X301" s="345">
        <v>0</v>
      </c>
      <c r="Y301" s="380">
        <v>0</v>
      </c>
      <c r="Z301" s="296">
        <f t="shared" si="134"/>
        <v>0</v>
      </c>
      <c r="AA301" s="298">
        <f t="shared" si="135"/>
        <v>0</v>
      </c>
      <c r="AB301" s="949">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50">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8">
        <f t="shared" si="136"/>
        <v>0</v>
      </c>
      <c r="AE301" s="1232">
        <f>SUMPRODUCT($B$74:$L$74,B301:L301)</f>
        <v>0</v>
      </c>
      <c r="AF301" s="1233">
        <f>SUMPRODUCT($O$74:$Y$74,O301:Y301)</f>
        <v>0</v>
      </c>
      <c r="AG301" s="1233">
        <f>SUM(AE301:AF301)</f>
        <v>0</v>
      </c>
      <c r="AH301" s="1174">
        <f t="shared" si="137"/>
        <v>0</v>
      </c>
      <c r="AI301" s="1234">
        <f t="shared" si="138"/>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2"/>
        <v>0</v>
      </c>
      <c r="N302" s="298">
        <f t="shared" si="133"/>
        <v>0</v>
      </c>
      <c r="O302" s="344">
        <v>0</v>
      </c>
      <c r="P302" s="345">
        <v>0</v>
      </c>
      <c r="Q302" s="345">
        <v>0</v>
      </c>
      <c r="R302" s="345">
        <v>0</v>
      </c>
      <c r="S302" s="345">
        <v>0</v>
      </c>
      <c r="T302" s="345">
        <v>0</v>
      </c>
      <c r="U302" s="345">
        <v>0</v>
      </c>
      <c r="V302" s="345">
        <v>0</v>
      </c>
      <c r="W302" s="345">
        <v>0</v>
      </c>
      <c r="X302" s="345">
        <v>0</v>
      </c>
      <c r="Y302" s="380">
        <v>0</v>
      </c>
      <c r="Z302" s="296">
        <f t="shared" si="134"/>
        <v>0</v>
      </c>
      <c r="AA302" s="298">
        <f t="shared" si="135"/>
        <v>0</v>
      </c>
      <c r="AB302" s="949">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50">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8">
        <f t="shared" si="136"/>
        <v>0</v>
      </c>
      <c r="AE302" s="1232">
        <f t="shared" ref="AE302:AE329" si="139">SUMPRODUCT($B$74:$L$74,B302:L302)</f>
        <v>0</v>
      </c>
      <c r="AF302" s="1233">
        <f t="shared" ref="AF302:AF329" si="140">SUMPRODUCT($O$74:$Y$74,O302:Y302)</f>
        <v>0</v>
      </c>
      <c r="AG302" s="1233">
        <f t="shared" ref="AG302:AG329" si="141">SUM(AE302:AF302)</f>
        <v>0</v>
      </c>
      <c r="AH302" s="1174">
        <f t="shared" si="137"/>
        <v>0</v>
      </c>
      <c r="AI302" s="1234">
        <f t="shared" si="138"/>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2"/>
        <v>0</v>
      </c>
      <c r="N303" s="298">
        <f t="shared" si="133"/>
        <v>0</v>
      </c>
      <c r="O303" s="344">
        <v>0</v>
      </c>
      <c r="P303" s="345">
        <v>0</v>
      </c>
      <c r="Q303" s="345">
        <v>0</v>
      </c>
      <c r="R303" s="345">
        <v>0</v>
      </c>
      <c r="S303" s="345">
        <v>0</v>
      </c>
      <c r="T303" s="345">
        <v>0</v>
      </c>
      <c r="U303" s="345">
        <v>0</v>
      </c>
      <c r="V303" s="345">
        <v>0</v>
      </c>
      <c r="W303" s="345">
        <v>0</v>
      </c>
      <c r="X303" s="345">
        <v>0</v>
      </c>
      <c r="Y303" s="380">
        <v>0</v>
      </c>
      <c r="Z303" s="296">
        <f t="shared" si="134"/>
        <v>0</v>
      </c>
      <c r="AA303" s="298">
        <f t="shared" si="135"/>
        <v>0</v>
      </c>
      <c r="AB303" s="949">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50">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8">
        <f t="shared" si="136"/>
        <v>0</v>
      </c>
      <c r="AE303" s="1232">
        <f t="shared" si="139"/>
        <v>0</v>
      </c>
      <c r="AF303" s="1233">
        <f t="shared" si="140"/>
        <v>0</v>
      </c>
      <c r="AG303" s="1233">
        <f t="shared" si="141"/>
        <v>0</v>
      </c>
      <c r="AH303" s="1174">
        <f t="shared" si="137"/>
        <v>0</v>
      </c>
      <c r="AI303" s="1234">
        <f t="shared" si="138"/>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2"/>
        <v>0</v>
      </c>
      <c r="N304" s="312">
        <f t="shared" si="133"/>
        <v>0</v>
      </c>
      <c r="O304" s="346">
        <v>0</v>
      </c>
      <c r="P304" s="347">
        <v>0</v>
      </c>
      <c r="Q304" s="347">
        <v>0</v>
      </c>
      <c r="R304" s="347">
        <v>0</v>
      </c>
      <c r="S304" s="347">
        <v>0</v>
      </c>
      <c r="T304" s="347">
        <v>0</v>
      </c>
      <c r="U304" s="347">
        <v>0</v>
      </c>
      <c r="V304" s="347">
        <v>0</v>
      </c>
      <c r="W304" s="347">
        <v>0</v>
      </c>
      <c r="X304" s="347">
        <v>0</v>
      </c>
      <c r="Y304" s="381">
        <v>0</v>
      </c>
      <c r="Z304" s="310">
        <f t="shared" si="134"/>
        <v>0</v>
      </c>
      <c r="AA304" s="312">
        <f t="shared" si="135"/>
        <v>0</v>
      </c>
      <c r="AB304" s="949">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50">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8">
        <f t="shared" si="136"/>
        <v>0</v>
      </c>
      <c r="AE304" s="1232">
        <f t="shared" si="139"/>
        <v>0</v>
      </c>
      <c r="AF304" s="1233">
        <f t="shared" si="140"/>
        <v>0</v>
      </c>
      <c r="AG304" s="1233">
        <f t="shared" si="141"/>
        <v>0</v>
      </c>
      <c r="AH304" s="1174">
        <f t="shared" si="137"/>
        <v>0</v>
      </c>
      <c r="AI304" s="1234">
        <f t="shared" si="138"/>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2"/>
        <v>0</v>
      </c>
      <c r="N305" s="284">
        <f t="shared" si="133"/>
        <v>0</v>
      </c>
      <c r="O305" s="342">
        <v>0</v>
      </c>
      <c r="P305" s="343">
        <v>0</v>
      </c>
      <c r="Q305" s="343">
        <v>0</v>
      </c>
      <c r="R305" s="343">
        <v>0</v>
      </c>
      <c r="S305" s="343">
        <v>0</v>
      </c>
      <c r="T305" s="343">
        <v>0</v>
      </c>
      <c r="U305" s="343">
        <v>0</v>
      </c>
      <c r="V305" s="343">
        <v>0</v>
      </c>
      <c r="W305" s="343">
        <v>0</v>
      </c>
      <c r="X305" s="343">
        <v>0</v>
      </c>
      <c r="Y305" s="379">
        <v>0</v>
      </c>
      <c r="Z305" s="282">
        <f t="shared" si="134"/>
        <v>0</v>
      </c>
      <c r="AA305" s="284">
        <f t="shared" si="135"/>
        <v>0</v>
      </c>
      <c r="AB305" s="949">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50">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8">
        <f t="shared" si="136"/>
        <v>0</v>
      </c>
      <c r="AE305" s="1232">
        <f t="shared" si="139"/>
        <v>0</v>
      </c>
      <c r="AF305" s="1233">
        <f t="shared" si="140"/>
        <v>0</v>
      </c>
      <c r="AG305" s="1233">
        <f t="shared" si="141"/>
        <v>0</v>
      </c>
      <c r="AH305" s="1174">
        <f t="shared" si="137"/>
        <v>0</v>
      </c>
      <c r="AI305" s="1234">
        <f t="shared" si="138"/>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2"/>
        <v>0</v>
      </c>
      <c r="N306" s="298">
        <f t="shared" si="133"/>
        <v>0</v>
      </c>
      <c r="O306" s="344">
        <v>0</v>
      </c>
      <c r="P306" s="345">
        <v>0</v>
      </c>
      <c r="Q306" s="345">
        <v>0</v>
      </c>
      <c r="R306" s="345">
        <v>0</v>
      </c>
      <c r="S306" s="345">
        <v>0</v>
      </c>
      <c r="T306" s="345">
        <v>0</v>
      </c>
      <c r="U306" s="345">
        <v>0</v>
      </c>
      <c r="V306" s="345">
        <v>0</v>
      </c>
      <c r="W306" s="345">
        <v>0</v>
      </c>
      <c r="X306" s="345">
        <v>0</v>
      </c>
      <c r="Y306" s="380">
        <v>0</v>
      </c>
      <c r="Z306" s="296">
        <f t="shared" si="134"/>
        <v>0</v>
      </c>
      <c r="AA306" s="298">
        <f t="shared" si="135"/>
        <v>0</v>
      </c>
      <c r="AB306" s="949">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50">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8">
        <f t="shared" si="136"/>
        <v>0</v>
      </c>
      <c r="AE306" s="1232">
        <f t="shared" si="139"/>
        <v>0</v>
      </c>
      <c r="AF306" s="1233">
        <f t="shared" si="140"/>
        <v>0</v>
      </c>
      <c r="AG306" s="1233">
        <f t="shared" si="141"/>
        <v>0</v>
      </c>
      <c r="AH306" s="1174">
        <f t="shared" si="137"/>
        <v>0</v>
      </c>
      <c r="AI306" s="1234">
        <f t="shared" si="138"/>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2"/>
        <v>0</v>
      </c>
      <c r="N307" s="298">
        <f t="shared" si="133"/>
        <v>0</v>
      </c>
      <c r="O307" s="344">
        <v>0</v>
      </c>
      <c r="P307" s="345">
        <v>0</v>
      </c>
      <c r="Q307" s="345">
        <v>0</v>
      </c>
      <c r="R307" s="345">
        <v>0</v>
      </c>
      <c r="S307" s="345">
        <v>0</v>
      </c>
      <c r="T307" s="345">
        <v>0</v>
      </c>
      <c r="U307" s="345">
        <v>0</v>
      </c>
      <c r="V307" s="345">
        <v>0</v>
      </c>
      <c r="W307" s="345">
        <v>0</v>
      </c>
      <c r="X307" s="345">
        <v>0</v>
      </c>
      <c r="Y307" s="380">
        <v>0</v>
      </c>
      <c r="Z307" s="296">
        <f t="shared" si="134"/>
        <v>0</v>
      </c>
      <c r="AA307" s="298">
        <f t="shared" si="135"/>
        <v>0</v>
      </c>
      <c r="AB307" s="949">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50">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8">
        <f t="shared" si="136"/>
        <v>0</v>
      </c>
      <c r="AE307" s="1232">
        <f t="shared" si="139"/>
        <v>0</v>
      </c>
      <c r="AF307" s="1233">
        <f t="shared" si="140"/>
        <v>0</v>
      </c>
      <c r="AG307" s="1233">
        <f t="shared" si="141"/>
        <v>0</v>
      </c>
      <c r="AH307" s="1174">
        <f t="shared" si="137"/>
        <v>0</v>
      </c>
      <c r="AI307" s="1234">
        <f t="shared" si="138"/>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2"/>
        <v>0</v>
      </c>
      <c r="N308" s="298">
        <f t="shared" si="133"/>
        <v>0</v>
      </c>
      <c r="O308" s="344">
        <v>0</v>
      </c>
      <c r="P308" s="345">
        <v>0</v>
      </c>
      <c r="Q308" s="345">
        <v>0</v>
      </c>
      <c r="R308" s="345">
        <v>0</v>
      </c>
      <c r="S308" s="345">
        <v>0</v>
      </c>
      <c r="T308" s="345">
        <v>0</v>
      </c>
      <c r="U308" s="345">
        <v>0</v>
      </c>
      <c r="V308" s="345">
        <v>0</v>
      </c>
      <c r="W308" s="345">
        <v>0</v>
      </c>
      <c r="X308" s="345">
        <v>0</v>
      </c>
      <c r="Y308" s="380">
        <v>0</v>
      </c>
      <c r="Z308" s="296">
        <f t="shared" si="134"/>
        <v>0</v>
      </c>
      <c r="AA308" s="298">
        <f t="shared" si="135"/>
        <v>0</v>
      </c>
      <c r="AB308" s="949">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50">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8">
        <f t="shared" si="136"/>
        <v>0</v>
      </c>
      <c r="AE308" s="1232">
        <f t="shared" si="139"/>
        <v>0</v>
      </c>
      <c r="AF308" s="1233">
        <f t="shared" si="140"/>
        <v>0</v>
      </c>
      <c r="AG308" s="1233">
        <f t="shared" si="141"/>
        <v>0</v>
      </c>
      <c r="AH308" s="1174">
        <f t="shared" si="137"/>
        <v>0</v>
      </c>
      <c r="AI308" s="1234">
        <f t="shared" si="138"/>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2"/>
        <v>0</v>
      </c>
      <c r="N309" s="312">
        <f t="shared" si="133"/>
        <v>0</v>
      </c>
      <c r="O309" s="346">
        <v>0</v>
      </c>
      <c r="P309" s="347">
        <v>0</v>
      </c>
      <c r="Q309" s="347">
        <v>0</v>
      </c>
      <c r="R309" s="347">
        <v>0</v>
      </c>
      <c r="S309" s="347">
        <v>0</v>
      </c>
      <c r="T309" s="347">
        <v>0</v>
      </c>
      <c r="U309" s="347">
        <v>0</v>
      </c>
      <c r="V309" s="347">
        <v>0</v>
      </c>
      <c r="W309" s="347">
        <v>0</v>
      </c>
      <c r="X309" s="347">
        <v>0</v>
      </c>
      <c r="Y309" s="381">
        <v>0</v>
      </c>
      <c r="Z309" s="310">
        <f t="shared" si="134"/>
        <v>0</v>
      </c>
      <c r="AA309" s="312">
        <f t="shared" si="135"/>
        <v>0</v>
      </c>
      <c r="AB309" s="949">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50">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8">
        <f t="shared" si="136"/>
        <v>0</v>
      </c>
      <c r="AE309" s="1232">
        <f t="shared" si="139"/>
        <v>0</v>
      </c>
      <c r="AF309" s="1233">
        <f t="shared" si="140"/>
        <v>0</v>
      </c>
      <c r="AG309" s="1233">
        <f t="shared" si="141"/>
        <v>0</v>
      </c>
      <c r="AH309" s="1174">
        <f t="shared" si="137"/>
        <v>0</v>
      </c>
      <c r="AI309" s="1234">
        <f t="shared" si="138"/>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2"/>
        <v>0</v>
      </c>
      <c r="N310" s="284">
        <f t="shared" si="133"/>
        <v>0</v>
      </c>
      <c r="O310" s="342">
        <v>0</v>
      </c>
      <c r="P310" s="343">
        <v>0</v>
      </c>
      <c r="Q310" s="343">
        <v>0</v>
      </c>
      <c r="R310" s="343">
        <v>0</v>
      </c>
      <c r="S310" s="343">
        <v>0</v>
      </c>
      <c r="T310" s="343">
        <v>0</v>
      </c>
      <c r="U310" s="343">
        <v>0</v>
      </c>
      <c r="V310" s="343">
        <v>0</v>
      </c>
      <c r="W310" s="343">
        <v>0</v>
      </c>
      <c r="X310" s="343">
        <v>0</v>
      </c>
      <c r="Y310" s="379">
        <v>0</v>
      </c>
      <c r="Z310" s="282">
        <f t="shared" si="134"/>
        <v>0</v>
      </c>
      <c r="AA310" s="284">
        <f t="shared" si="135"/>
        <v>0</v>
      </c>
      <c r="AB310" s="949">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50">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8">
        <f t="shared" si="136"/>
        <v>0</v>
      </c>
      <c r="AE310" s="1232">
        <f t="shared" si="139"/>
        <v>0</v>
      </c>
      <c r="AF310" s="1233">
        <f t="shared" si="140"/>
        <v>0</v>
      </c>
      <c r="AG310" s="1233">
        <f t="shared" si="141"/>
        <v>0</v>
      </c>
      <c r="AH310" s="1174">
        <f t="shared" si="137"/>
        <v>0</v>
      </c>
      <c r="AI310" s="1234">
        <f t="shared" si="138"/>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2"/>
        <v>0</v>
      </c>
      <c r="N311" s="298">
        <f t="shared" si="133"/>
        <v>0</v>
      </c>
      <c r="O311" s="344">
        <v>0</v>
      </c>
      <c r="P311" s="345">
        <v>0</v>
      </c>
      <c r="Q311" s="345">
        <v>0</v>
      </c>
      <c r="R311" s="345">
        <v>0</v>
      </c>
      <c r="S311" s="345">
        <v>0</v>
      </c>
      <c r="T311" s="345">
        <v>0</v>
      </c>
      <c r="U311" s="345">
        <v>0</v>
      </c>
      <c r="V311" s="345">
        <v>0</v>
      </c>
      <c r="W311" s="345">
        <v>0</v>
      </c>
      <c r="X311" s="345">
        <v>0</v>
      </c>
      <c r="Y311" s="380">
        <v>0</v>
      </c>
      <c r="Z311" s="296">
        <f t="shared" si="134"/>
        <v>0</v>
      </c>
      <c r="AA311" s="298">
        <f t="shared" si="135"/>
        <v>0</v>
      </c>
      <c r="AB311" s="949">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50">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8">
        <f t="shared" si="136"/>
        <v>0</v>
      </c>
      <c r="AE311" s="1232">
        <f t="shared" si="139"/>
        <v>0</v>
      </c>
      <c r="AF311" s="1233">
        <f t="shared" si="140"/>
        <v>0</v>
      </c>
      <c r="AG311" s="1233">
        <f t="shared" si="141"/>
        <v>0</v>
      </c>
      <c r="AH311" s="1174">
        <f t="shared" si="137"/>
        <v>0</v>
      </c>
      <c r="AI311" s="1234">
        <f t="shared" si="138"/>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2"/>
        <v>0</v>
      </c>
      <c r="N312" s="298">
        <f t="shared" si="133"/>
        <v>0</v>
      </c>
      <c r="O312" s="344">
        <v>0</v>
      </c>
      <c r="P312" s="345">
        <v>0</v>
      </c>
      <c r="Q312" s="345">
        <v>0</v>
      </c>
      <c r="R312" s="345">
        <v>0</v>
      </c>
      <c r="S312" s="345">
        <v>0</v>
      </c>
      <c r="T312" s="345">
        <v>0</v>
      </c>
      <c r="U312" s="345">
        <v>0</v>
      </c>
      <c r="V312" s="345">
        <v>0</v>
      </c>
      <c r="W312" s="345">
        <v>0</v>
      </c>
      <c r="X312" s="345">
        <v>0</v>
      </c>
      <c r="Y312" s="380">
        <v>0</v>
      </c>
      <c r="Z312" s="296">
        <f t="shared" si="134"/>
        <v>0</v>
      </c>
      <c r="AA312" s="298">
        <f t="shared" si="135"/>
        <v>0</v>
      </c>
      <c r="AB312" s="949">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50">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8">
        <f>AB312*AH312+AC312*AI312</f>
        <v>0</v>
      </c>
      <c r="AE312" s="1232">
        <f t="shared" si="139"/>
        <v>0</v>
      </c>
      <c r="AF312" s="1233">
        <f t="shared" si="140"/>
        <v>0</v>
      </c>
      <c r="AG312" s="1233">
        <f t="shared" si="141"/>
        <v>0</v>
      </c>
      <c r="AH312" s="1174">
        <f t="shared" si="137"/>
        <v>0</v>
      </c>
      <c r="AI312" s="1234">
        <f t="shared" si="138"/>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2"/>
        <v>0</v>
      </c>
      <c r="N313" s="298">
        <f t="shared" si="133"/>
        <v>0</v>
      </c>
      <c r="O313" s="344">
        <v>0</v>
      </c>
      <c r="P313" s="345">
        <v>0</v>
      </c>
      <c r="Q313" s="345">
        <v>0</v>
      </c>
      <c r="R313" s="345">
        <v>0</v>
      </c>
      <c r="S313" s="345">
        <v>0</v>
      </c>
      <c r="T313" s="345">
        <v>0</v>
      </c>
      <c r="U313" s="345">
        <v>0</v>
      </c>
      <c r="V313" s="345">
        <v>0</v>
      </c>
      <c r="W313" s="345">
        <v>0</v>
      </c>
      <c r="X313" s="345">
        <v>0</v>
      </c>
      <c r="Y313" s="380">
        <v>0</v>
      </c>
      <c r="Z313" s="296">
        <f t="shared" si="134"/>
        <v>0</v>
      </c>
      <c r="AA313" s="298">
        <f t="shared" si="135"/>
        <v>0</v>
      </c>
      <c r="AB313" s="949">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50">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8">
        <f t="shared" ref="AD313:AD329" si="142">AB313*AH313+AC313*AI313</f>
        <v>0</v>
      </c>
      <c r="AE313" s="1232">
        <f t="shared" si="139"/>
        <v>0</v>
      </c>
      <c r="AF313" s="1233">
        <f t="shared" si="140"/>
        <v>0</v>
      </c>
      <c r="AG313" s="1233">
        <f t="shared" si="141"/>
        <v>0</v>
      </c>
      <c r="AH313" s="1174">
        <f t="shared" si="137"/>
        <v>0</v>
      </c>
      <c r="AI313" s="1234">
        <f t="shared" si="138"/>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2"/>
        <v>0</v>
      </c>
      <c r="N314" s="312">
        <f t="shared" si="133"/>
        <v>0</v>
      </c>
      <c r="O314" s="346">
        <v>0</v>
      </c>
      <c r="P314" s="347">
        <v>0</v>
      </c>
      <c r="Q314" s="347">
        <v>0</v>
      </c>
      <c r="R314" s="347">
        <v>1.4613898898194533E-4</v>
      </c>
      <c r="S314" s="347">
        <v>0</v>
      </c>
      <c r="T314" s="347">
        <v>0</v>
      </c>
      <c r="U314" s="347">
        <v>0</v>
      </c>
      <c r="V314" s="347">
        <v>0</v>
      </c>
      <c r="W314" s="347">
        <v>0</v>
      </c>
      <c r="X314" s="347">
        <v>0</v>
      </c>
      <c r="Y314" s="381">
        <v>0</v>
      </c>
      <c r="Z314" s="310">
        <f t="shared" si="134"/>
        <v>8.7453803977802377E-6</v>
      </c>
      <c r="AA314" s="312">
        <f t="shared" si="135"/>
        <v>3.3289726732154916E-6</v>
      </c>
      <c r="AB314" s="949">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50">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8">
        <f t="shared" si="142"/>
        <v>0</v>
      </c>
      <c r="AE314" s="1232">
        <f t="shared" si="139"/>
        <v>0</v>
      </c>
      <c r="AF314" s="1233">
        <f t="shared" si="140"/>
        <v>8.7453803977802377E-6</v>
      </c>
      <c r="AG314" s="1233">
        <f t="shared" si="141"/>
        <v>8.7453803977802377E-6</v>
      </c>
      <c r="AH314" s="1174">
        <f t="shared" si="137"/>
        <v>0</v>
      </c>
      <c r="AI314" s="1234">
        <f t="shared" si="138"/>
        <v>1</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2"/>
        <v>0</v>
      </c>
      <c r="N315" s="284">
        <f t="shared" si="133"/>
        <v>0</v>
      </c>
      <c r="O315" s="342">
        <v>0</v>
      </c>
      <c r="P315" s="343">
        <v>0</v>
      </c>
      <c r="Q315" s="343">
        <v>0</v>
      </c>
      <c r="R315" s="343">
        <v>8.6573708454254267E-4</v>
      </c>
      <c r="S315" s="343">
        <v>0</v>
      </c>
      <c r="T315" s="343">
        <v>0</v>
      </c>
      <c r="U315" s="343">
        <v>0</v>
      </c>
      <c r="V315" s="343">
        <v>0</v>
      </c>
      <c r="W315" s="343">
        <v>0</v>
      </c>
      <c r="X315" s="343">
        <v>0</v>
      </c>
      <c r="Y315" s="379">
        <v>0</v>
      </c>
      <c r="Z315" s="282">
        <f t="shared" si="134"/>
        <v>5.1808214779186301E-5</v>
      </c>
      <c r="AA315" s="284">
        <f t="shared" si="135"/>
        <v>1.9721055391914827E-5</v>
      </c>
      <c r="AB315" s="949">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50">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8">
        <f t="shared" si="142"/>
        <v>0</v>
      </c>
      <c r="AE315" s="1232">
        <f t="shared" si="139"/>
        <v>0</v>
      </c>
      <c r="AF315" s="1233">
        <f t="shared" si="140"/>
        <v>5.1808214779186301E-5</v>
      </c>
      <c r="AG315" s="1233">
        <f t="shared" si="141"/>
        <v>5.1808214779186301E-5</v>
      </c>
      <c r="AH315" s="1174">
        <f t="shared" si="137"/>
        <v>0</v>
      </c>
      <c r="AI315" s="1234">
        <f t="shared" si="138"/>
        <v>1</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2"/>
        <v>0</v>
      </c>
      <c r="N316" s="298">
        <f t="shared" si="133"/>
        <v>0</v>
      </c>
      <c r="O316" s="344">
        <v>0</v>
      </c>
      <c r="P316" s="345">
        <v>0</v>
      </c>
      <c r="Q316" s="345">
        <v>0</v>
      </c>
      <c r="R316" s="345">
        <v>1.2981926360060227E-3</v>
      </c>
      <c r="S316" s="345">
        <v>0</v>
      </c>
      <c r="T316" s="345">
        <v>0</v>
      </c>
      <c r="U316" s="345">
        <v>0</v>
      </c>
      <c r="V316" s="345">
        <v>0</v>
      </c>
      <c r="W316" s="345">
        <v>0</v>
      </c>
      <c r="X316" s="345">
        <v>0</v>
      </c>
      <c r="Y316" s="380">
        <v>0</v>
      </c>
      <c r="Z316" s="296">
        <f t="shared" si="134"/>
        <v>7.7687607602597755E-5</v>
      </c>
      <c r="AA316" s="298">
        <f t="shared" si="135"/>
        <v>2.9572175364970884E-5</v>
      </c>
      <c r="AB316" s="949">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50">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8">
        <f t="shared" si="142"/>
        <v>0</v>
      </c>
      <c r="AE316" s="1232">
        <f t="shared" si="139"/>
        <v>0</v>
      </c>
      <c r="AF316" s="1233">
        <f t="shared" si="140"/>
        <v>7.7687607602597755E-5</v>
      </c>
      <c r="AG316" s="1233">
        <f t="shared" si="141"/>
        <v>7.7687607602597755E-5</v>
      </c>
      <c r="AH316" s="1174">
        <f t="shared" si="137"/>
        <v>0</v>
      </c>
      <c r="AI316" s="1234">
        <f t="shared" si="138"/>
        <v>1</v>
      </c>
    </row>
    <row r="317" spans="1:35" x14ac:dyDescent="0.2">
      <c r="A317" s="330">
        <v>2038</v>
      </c>
      <c r="B317" s="344">
        <v>0</v>
      </c>
      <c r="C317" s="345">
        <v>0</v>
      </c>
      <c r="D317" s="345">
        <v>0</v>
      </c>
      <c r="E317" s="345">
        <v>1.4290752427129568E-4</v>
      </c>
      <c r="F317" s="345">
        <v>0</v>
      </c>
      <c r="G317" s="345">
        <v>0</v>
      </c>
      <c r="H317" s="345">
        <v>0</v>
      </c>
      <c r="I317" s="345">
        <v>0</v>
      </c>
      <c r="J317" s="345">
        <v>0</v>
      </c>
      <c r="K317" s="345">
        <v>0</v>
      </c>
      <c r="L317" s="380">
        <v>0</v>
      </c>
      <c r="M317" s="296">
        <f t="shared" si="132"/>
        <v>6.4817505043547776E-6</v>
      </c>
      <c r="N317" s="298">
        <f t="shared" si="133"/>
        <v>2.4999149192640477E-6</v>
      </c>
      <c r="O317" s="344">
        <v>0</v>
      </c>
      <c r="P317" s="345">
        <v>0</v>
      </c>
      <c r="Q317" s="345">
        <v>0</v>
      </c>
      <c r="R317" s="345">
        <v>4.3704326547713912E-3</v>
      </c>
      <c r="S317" s="345">
        <v>0</v>
      </c>
      <c r="T317" s="345">
        <v>0</v>
      </c>
      <c r="U317" s="345">
        <v>0</v>
      </c>
      <c r="V317" s="345">
        <v>0</v>
      </c>
      <c r="W317" s="345">
        <v>0</v>
      </c>
      <c r="X317" s="345">
        <v>0</v>
      </c>
      <c r="Y317" s="380">
        <v>0</v>
      </c>
      <c r="Z317" s="296">
        <f t="shared" si="134"/>
        <v>2.615393491847571E-4</v>
      </c>
      <c r="AA317" s="298">
        <f t="shared" si="135"/>
        <v>9.9556257910474885E-5</v>
      </c>
      <c r="AB317" s="949">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50">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8">
        <f t="shared" si="142"/>
        <v>0</v>
      </c>
      <c r="AE317" s="1232">
        <f t="shared" si="139"/>
        <v>6.4817505043547776E-6</v>
      </c>
      <c r="AF317" s="1233">
        <f t="shared" si="140"/>
        <v>2.615393491847571E-4</v>
      </c>
      <c r="AG317" s="1233">
        <f t="shared" si="141"/>
        <v>2.6802109968911185E-4</v>
      </c>
      <c r="AH317" s="1174">
        <f t="shared" si="137"/>
        <v>2.4183732220609547E-2</v>
      </c>
      <c r="AI317" s="1234">
        <f t="shared" si="138"/>
        <v>0.97581626777939057</v>
      </c>
    </row>
    <row r="318" spans="1:35" x14ac:dyDescent="0.2">
      <c r="A318" s="330">
        <v>2039</v>
      </c>
      <c r="B318" s="344">
        <v>0</v>
      </c>
      <c r="C318" s="345">
        <v>0</v>
      </c>
      <c r="D318" s="345">
        <v>0</v>
      </c>
      <c r="E318" s="345">
        <v>1.5442645388519024E-3</v>
      </c>
      <c r="F318" s="345">
        <v>0</v>
      </c>
      <c r="G318" s="345">
        <v>0</v>
      </c>
      <c r="H318" s="345">
        <v>0</v>
      </c>
      <c r="I318" s="345">
        <v>0</v>
      </c>
      <c r="J318" s="345">
        <v>0</v>
      </c>
      <c r="K318" s="345">
        <v>0</v>
      </c>
      <c r="L318" s="380">
        <v>0</v>
      </c>
      <c r="M318" s="296">
        <f t="shared" si="132"/>
        <v>7.0042060448534597E-5</v>
      </c>
      <c r="N318" s="298">
        <f t="shared" si="133"/>
        <v>2.7014182630702173E-5</v>
      </c>
      <c r="O318" s="344">
        <v>0</v>
      </c>
      <c r="P318" s="345">
        <v>0</v>
      </c>
      <c r="Q318" s="345">
        <v>1.8080710425490189E-4</v>
      </c>
      <c r="R318" s="345">
        <v>1.2500400766119512E-2</v>
      </c>
      <c r="S318" s="345">
        <v>0</v>
      </c>
      <c r="T318" s="345">
        <v>0</v>
      </c>
      <c r="U318" s="345">
        <v>0</v>
      </c>
      <c r="V318" s="345">
        <v>0</v>
      </c>
      <c r="W318" s="345">
        <v>0</v>
      </c>
      <c r="X318" s="345">
        <v>0</v>
      </c>
      <c r="Y318" s="380">
        <v>0</v>
      </c>
      <c r="Z318" s="296">
        <f t="shared" si="134"/>
        <v>7.6321835328228903E-4</v>
      </c>
      <c r="AA318" s="298">
        <f t="shared" si="135"/>
        <v>2.9317341392408195E-4</v>
      </c>
      <c r="AB318" s="949">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50">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8">
        <f t="shared" si="142"/>
        <v>0</v>
      </c>
      <c r="AE318" s="1232">
        <f t="shared" si="139"/>
        <v>7.0042060448534597E-5</v>
      </c>
      <c r="AF318" s="1233">
        <f t="shared" si="140"/>
        <v>7.6321835328228903E-4</v>
      </c>
      <c r="AG318" s="1233">
        <f t="shared" si="141"/>
        <v>8.3326041373082364E-4</v>
      </c>
      <c r="AH318" s="1174">
        <f t="shared" si="137"/>
        <v>8.4057827894318982E-2</v>
      </c>
      <c r="AI318" s="1234">
        <f t="shared" si="138"/>
        <v>0.91594217210568096</v>
      </c>
    </row>
    <row r="319" spans="1:35" ht="13.5" thickBot="1" x14ac:dyDescent="0.25">
      <c r="A319" s="328">
        <v>2040</v>
      </c>
      <c r="B319" s="346">
        <v>0</v>
      </c>
      <c r="C319" s="347">
        <v>0</v>
      </c>
      <c r="D319" s="347">
        <v>0</v>
      </c>
      <c r="E319" s="347">
        <v>9.6225448137856311E-3</v>
      </c>
      <c r="F319" s="347">
        <v>0</v>
      </c>
      <c r="G319" s="347">
        <v>0</v>
      </c>
      <c r="H319" s="347">
        <v>0</v>
      </c>
      <c r="I319" s="347">
        <v>0</v>
      </c>
      <c r="J319" s="347">
        <v>0</v>
      </c>
      <c r="K319" s="347">
        <v>0</v>
      </c>
      <c r="L319" s="381">
        <v>0</v>
      </c>
      <c r="M319" s="310">
        <f t="shared" si="132"/>
        <v>4.3644262272381451E-4</v>
      </c>
      <c r="N319" s="312">
        <f t="shared" si="133"/>
        <v>1.6832943866274344E-4</v>
      </c>
      <c r="O319" s="346">
        <v>0</v>
      </c>
      <c r="P319" s="347">
        <v>0</v>
      </c>
      <c r="Q319" s="347">
        <v>1.9566343563425233E-3</v>
      </c>
      <c r="R319" s="347">
        <v>3.0891501994014043E-2</v>
      </c>
      <c r="S319" s="347">
        <v>0</v>
      </c>
      <c r="T319" s="347">
        <v>0</v>
      </c>
      <c r="U319" s="347">
        <v>0</v>
      </c>
      <c r="V319" s="347">
        <v>0</v>
      </c>
      <c r="W319" s="347">
        <v>0</v>
      </c>
      <c r="X319" s="347">
        <v>0</v>
      </c>
      <c r="Y319" s="381">
        <v>0</v>
      </c>
      <c r="Z319" s="310">
        <f t="shared" si="134"/>
        <v>2.0126735629922617E-3</v>
      </c>
      <c r="AA319" s="312">
        <f t="shared" si="135"/>
        <v>7.9481750021211149E-4</v>
      </c>
      <c r="AB319" s="949">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50">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8">
        <f t="shared" si="142"/>
        <v>0</v>
      </c>
      <c r="AE319" s="1232">
        <f t="shared" si="139"/>
        <v>4.3644262272381451E-4</v>
      </c>
      <c r="AF319" s="1233">
        <f t="shared" si="140"/>
        <v>2.0126735629922617E-3</v>
      </c>
      <c r="AG319" s="1233">
        <f t="shared" si="141"/>
        <v>2.4491161857160761E-3</v>
      </c>
      <c r="AH319" s="1174">
        <f t="shared" si="137"/>
        <v>0.17820413146149161</v>
      </c>
      <c r="AI319" s="1234">
        <f t="shared" si="138"/>
        <v>0.8217958685385085</v>
      </c>
    </row>
    <row r="320" spans="1:35" x14ac:dyDescent="0.2">
      <c r="A320" s="329">
        <v>2041</v>
      </c>
      <c r="B320" s="342">
        <v>0</v>
      </c>
      <c r="C320" s="343">
        <v>0</v>
      </c>
      <c r="D320" s="343">
        <v>1.3334238986902503E-3</v>
      </c>
      <c r="E320" s="343">
        <v>2.9731060581262823E-2</v>
      </c>
      <c r="F320" s="343">
        <v>0</v>
      </c>
      <c r="G320" s="343">
        <v>0</v>
      </c>
      <c r="H320" s="343">
        <v>0</v>
      </c>
      <c r="I320" s="343">
        <v>0</v>
      </c>
      <c r="J320" s="343">
        <v>0</v>
      </c>
      <c r="K320" s="343">
        <v>0</v>
      </c>
      <c r="L320" s="379">
        <v>0</v>
      </c>
      <c r="M320" s="282">
        <f t="shared" si="132"/>
        <v>1.4672018406214394E-3</v>
      </c>
      <c r="N320" s="284">
        <f t="shared" si="133"/>
        <v>5.8788737984598555E-4</v>
      </c>
      <c r="O320" s="342">
        <v>0</v>
      </c>
      <c r="P320" s="343">
        <v>0</v>
      </c>
      <c r="Q320" s="343">
        <v>1.0510333856722343E-2</v>
      </c>
      <c r="R320" s="343">
        <v>5.8611228549510667E-2</v>
      </c>
      <c r="S320" s="343">
        <v>0</v>
      </c>
      <c r="T320" s="343">
        <v>0</v>
      </c>
      <c r="U320" s="343">
        <v>0</v>
      </c>
      <c r="V320" s="343">
        <v>0</v>
      </c>
      <c r="W320" s="343">
        <v>0</v>
      </c>
      <c r="X320" s="343">
        <v>0</v>
      </c>
      <c r="Y320" s="379">
        <v>0</v>
      </c>
      <c r="Z320" s="282">
        <f t="shared" si="134"/>
        <v>4.3886111491685167E-3</v>
      </c>
      <c r="AA320" s="284">
        <f t="shared" si="135"/>
        <v>1.8246228963928199E-3</v>
      </c>
      <c r="AB320" s="949">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50">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8">
        <f t="shared" si="142"/>
        <v>0</v>
      </c>
      <c r="AE320" s="1232">
        <f t="shared" si="139"/>
        <v>1.4672018406214394E-3</v>
      </c>
      <c r="AF320" s="1233">
        <f t="shared" si="140"/>
        <v>4.3886111491685167E-3</v>
      </c>
      <c r="AG320" s="1233">
        <f t="shared" si="141"/>
        <v>5.8558129897899559E-3</v>
      </c>
      <c r="AH320" s="1174">
        <f t="shared" si="137"/>
        <v>0.25055476381838265</v>
      </c>
      <c r="AI320" s="1234">
        <f t="shared" si="138"/>
        <v>0.7494452361816174</v>
      </c>
    </row>
    <row r="321" spans="1:35" x14ac:dyDescent="0.2">
      <c r="A321" s="330">
        <v>2042</v>
      </c>
      <c r="B321" s="344">
        <v>0</v>
      </c>
      <c r="C321" s="345">
        <v>0</v>
      </c>
      <c r="D321" s="345">
        <v>1.4352331995218496E-2</v>
      </c>
      <c r="E321" s="345">
        <v>7.1515982016872176E-2</v>
      </c>
      <c r="F321" s="345">
        <v>0</v>
      </c>
      <c r="G321" s="345">
        <v>0</v>
      </c>
      <c r="H321" s="345">
        <v>0</v>
      </c>
      <c r="I321" s="345">
        <v>0</v>
      </c>
      <c r="J321" s="345">
        <v>0</v>
      </c>
      <c r="K321" s="345">
        <v>0</v>
      </c>
      <c r="L321" s="380">
        <v>0</v>
      </c>
      <c r="M321" s="296">
        <f t="shared" si="132"/>
        <v>4.5214581366110592E-3</v>
      </c>
      <c r="N321" s="298">
        <f t="shared" si="133"/>
        <v>1.9807580162086742E-3</v>
      </c>
      <c r="O321" s="344">
        <v>0</v>
      </c>
      <c r="P321" s="345">
        <v>2.2234440705586606E-4</v>
      </c>
      <c r="Q321" s="345">
        <v>3.5902452794880767E-2</v>
      </c>
      <c r="R321" s="345">
        <v>9.6480476782659461E-2</v>
      </c>
      <c r="S321" s="345">
        <v>0</v>
      </c>
      <c r="T321" s="345">
        <v>0</v>
      </c>
      <c r="U321" s="345">
        <v>0</v>
      </c>
      <c r="V321" s="345">
        <v>0</v>
      </c>
      <c r="W321" s="345">
        <v>0</v>
      </c>
      <c r="X321" s="345">
        <v>0</v>
      </c>
      <c r="Y321" s="380">
        <v>0</v>
      </c>
      <c r="Z321" s="296">
        <f t="shared" si="134"/>
        <v>8.8435975780336139E-3</v>
      </c>
      <c r="AA321" s="298">
        <f t="shared" si="135"/>
        <v>3.926773678959064E-3</v>
      </c>
      <c r="AB321" s="949">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50">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8">
        <f t="shared" si="142"/>
        <v>0</v>
      </c>
      <c r="AE321" s="1232">
        <f t="shared" si="139"/>
        <v>4.5214581366110592E-3</v>
      </c>
      <c r="AF321" s="1233">
        <f t="shared" si="140"/>
        <v>8.8435975780336139E-3</v>
      </c>
      <c r="AG321" s="1233">
        <f t="shared" si="141"/>
        <v>1.3365055714644674E-2</v>
      </c>
      <c r="AH321" s="1174">
        <f t="shared" si="137"/>
        <v>0.33830447348279291</v>
      </c>
      <c r="AI321" s="1234">
        <f t="shared" si="138"/>
        <v>0.66169552651720698</v>
      </c>
    </row>
    <row r="322" spans="1:35" x14ac:dyDescent="0.2">
      <c r="A322" s="330">
        <v>2043</v>
      </c>
      <c r="B322" s="344">
        <v>0</v>
      </c>
      <c r="C322" s="345">
        <v>9.4556357361022839E-4</v>
      </c>
      <c r="D322" s="345">
        <v>4.5596663027790169E-2</v>
      </c>
      <c r="E322" s="345">
        <v>0.11189527509182828</v>
      </c>
      <c r="F322" s="345">
        <v>0</v>
      </c>
      <c r="G322" s="345">
        <v>0</v>
      </c>
      <c r="H322" s="345">
        <v>0</v>
      </c>
      <c r="I322" s="345">
        <v>0</v>
      </c>
      <c r="J322" s="345">
        <v>0</v>
      </c>
      <c r="K322" s="345">
        <v>0</v>
      </c>
      <c r="L322" s="380">
        <v>0</v>
      </c>
      <c r="M322" s="296">
        <f t="shared" si="132"/>
        <v>9.2768631885218056E-3</v>
      </c>
      <c r="N322" s="298">
        <f t="shared" si="133"/>
        <v>4.409468141080685E-3</v>
      </c>
      <c r="O322" s="344">
        <v>0</v>
      </c>
      <c r="P322" s="345">
        <v>3.2367247325173956E-3</v>
      </c>
      <c r="Q322" s="345">
        <v>7.0874904193554272E-2</v>
      </c>
      <c r="R322" s="345">
        <v>0.12577006822252196</v>
      </c>
      <c r="S322" s="345">
        <v>0</v>
      </c>
      <c r="T322" s="345">
        <v>0</v>
      </c>
      <c r="U322" s="345">
        <v>0</v>
      </c>
      <c r="V322" s="345">
        <v>0</v>
      </c>
      <c r="W322" s="345">
        <v>0</v>
      </c>
      <c r="X322" s="345">
        <v>0</v>
      </c>
      <c r="Y322" s="380">
        <v>0</v>
      </c>
      <c r="Z322" s="296">
        <f t="shared" si="134"/>
        <v>1.4341822837061702E-2</v>
      </c>
      <c r="AA322" s="298">
        <f t="shared" si="135"/>
        <v>6.9947136243302521E-3</v>
      </c>
      <c r="AB322" s="949">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50">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8">
        <f t="shared" si="142"/>
        <v>0</v>
      </c>
      <c r="AE322" s="1232">
        <f t="shared" si="139"/>
        <v>9.2768631885218056E-3</v>
      </c>
      <c r="AF322" s="1233">
        <f t="shared" si="140"/>
        <v>1.4341822837061702E-2</v>
      </c>
      <c r="AG322" s="1233">
        <f t="shared" si="141"/>
        <v>2.3618686025583507E-2</v>
      </c>
      <c r="AH322" s="1174">
        <f t="shared" si="137"/>
        <v>0.39277643042772181</v>
      </c>
      <c r="AI322" s="1234">
        <f t="shared" si="138"/>
        <v>0.60722356957227819</v>
      </c>
    </row>
    <row r="323" spans="1:35" x14ac:dyDescent="0.2">
      <c r="A323" s="330">
        <v>2044</v>
      </c>
      <c r="B323" s="344">
        <v>0</v>
      </c>
      <c r="C323" s="345">
        <v>6.8395041469207999E-3</v>
      </c>
      <c r="D323" s="345">
        <v>7.9294625755918599E-2</v>
      </c>
      <c r="E323" s="345">
        <v>0.13503777950871254</v>
      </c>
      <c r="F323" s="345">
        <v>0</v>
      </c>
      <c r="G323" s="345">
        <v>0</v>
      </c>
      <c r="H323" s="345">
        <v>0</v>
      </c>
      <c r="I323" s="345">
        <v>0</v>
      </c>
      <c r="J323" s="345">
        <v>0</v>
      </c>
      <c r="K323" s="345">
        <v>0</v>
      </c>
      <c r="L323" s="380">
        <v>0</v>
      </c>
      <c r="M323" s="296">
        <f t="shared" si="132"/>
        <v>1.4213753429906143E-2</v>
      </c>
      <c r="N323" s="298">
        <f t="shared" si="133"/>
        <v>7.361598320515572E-3</v>
      </c>
      <c r="O323" s="344">
        <v>0</v>
      </c>
      <c r="P323" s="345">
        <v>1.4441214729613861E-2</v>
      </c>
      <c r="Q323" s="345">
        <v>9.9178159676228284E-2</v>
      </c>
      <c r="R323" s="345">
        <v>0.14393788394245507</v>
      </c>
      <c r="S323" s="345">
        <v>0</v>
      </c>
      <c r="T323" s="345">
        <v>0</v>
      </c>
      <c r="U323" s="345">
        <v>0</v>
      </c>
      <c r="V323" s="345">
        <v>0</v>
      </c>
      <c r="W323" s="345">
        <v>0</v>
      </c>
      <c r="X323" s="345">
        <v>0</v>
      </c>
      <c r="Y323" s="380">
        <v>0</v>
      </c>
      <c r="Z323" s="296">
        <f t="shared" si="134"/>
        <v>2.0825651444041787E-2</v>
      </c>
      <c r="AA323" s="298">
        <f t="shared" si="135"/>
        <v>1.1596230490039165E-2</v>
      </c>
      <c r="AB323" s="949">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50">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8">
        <f t="shared" si="142"/>
        <v>0</v>
      </c>
      <c r="AE323" s="1232">
        <f t="shared" si="139"/>
        <v>1.4213753429906143E-2</v>
      </c>
      <c r="AF323" s="1233">
        <f t="shared" si="140"/>
        <v>2.0825651444041787E-2</v>
      </c>
      <c r="AG323" s="1233">
        <f t="shared" si="141"/>
        <v>3.5039404873947931E-2</v>
      </c>
      <c r="AH323" s="1174">
        <f t="shared" si="137"/>
        <v>0.40565053775996573</v>
      </c>
      <c r="AI323" s="1234">
        <f t="shared" si="138"/>
        <v>0.59434946224003427</v>
      </c>
    </row>
    <row r="324" spans="1:35" ht="13.5" thickBot="1" x14ac:dyDescent="0.25">
      <c r="A324" s="328">
        <v>2045</v>
      </c>
      <c r="B324" s="346">
        <v>0</v>
      </c>
      <c r="C324" s="347">
        <v>2.0994450350681731E-2</v>
      </c>
      <c r="D324" s="347">
        <v>0.10217677593355791</v>
      </c>
      <c r="E324" s="347">
        <v>0.15288098027255584</v>
      </c>
      <c r="F324" s="347">
        <v>0</v>
      </c>
      <c r="G324" s="347">
        <v>0</v>
      </c>
      <c r="H324" s="347">
        <v>0</v>
      </c>
      <c r="I324" s="347">
        <v>0</v>
      </c>
      <c r="J324" s="347">
        <v>0</v>
      </c>
      <c r="K324" s="347">
        <v>0</v>
      </c>
      <c r="L324" s="381">
        <v>0</v>
      </c>
      <c r="M324" s="310">
        <f t="shared" si="132"/>
        <v>1.9190838374775716E-2</v>
      </c>
      <c r="N324" s="312">
        <f t="shared" si="133"/>
        <v>1.0840057283673285E-2</v>
      </c>
      <c r="O324" s="346">
        <v>0</v>
      </c>
      <c r="P324" s="347">
        <v>3.4580168505218119E-2</v>
      </c>
      <c r="Q324" s="347">
        <v>0.12285357459984121</v>
      </c>
      <c r="R324" s="347">
        <v>0.15958119539194471</v>
      </c>
      <c r="S324" s="347">
        <v>0</v>
      </c>
      <c r="T324" s="347">
        <v>0</v>
      </c>
      <c r="U324" s="347">
        <v>0</v>
      </c>
      <c r="V324" s="347">
        <v>0</v>
      </c>
      <c r="W324" s="347">
        <v>0</v>
      </c>
      <c r="X324" s="347">
        <v>0</v>
      </c>
      <c r="Y324" s="381">
        <v>0</v>
      </c>
      <c r="Z324" s="310">
        <f t="shared" si="134"/>
        <v>2.9181588709488691E-2</v>
      </c>
      <c r="AA324" s="312">
        <f t="shared" si="135"/>
        <v>1.8212868495905598E-2</v>
      </c>
      <c r="AB324" s="949">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50">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8">
        <f t="shared" si="142"/>
        <v>0</v>
      </c>
      <c r="AE324" s="1232">
        <f t="shared" si="139"/>
        <v>1.9190838374775716E-2</v>
      </c>
      <c r="AF324" s="1233">
        <f t="shared" si="140"/>
        <v>2.9181588709488691E-2</v>
      </c>
      <c r="AG324" s="1233">
        <f t="shared" si="141"/>
        <v>4.8372427084264411E-2</v>
      </c>
      <c r="AH324" s="1174">
        <f t="shared" si="137"/>
        <v>0.39673093808887067</v>
      </c>
      <c r="AI324" s="1234">
        <f t="shared" si="138"/>
        <v>0.60326906191112928</v>
      </c>
    </row>
    <row r="325" spans="1:35" x14ac:dyDescent="0.2">
      <c r="A325" s="329">
        <v>2046</v>
      </c>
      <c r="B325" s="342">
        <v>0</v>
      </c>
      <c r="C325" s="343">
        <v>3.5198567696360705E-2</v>
      </c>
      <c r="D325" s="343">
        <v>0.12039496825228427</v>
      </c>
      <c r="E325" s="343">
        <v>0.16370242476355223</v>
      </c>
      <c r="F325" s="343">
        <v>0</v>
      </c>
      <c r="G325" s="343">
        <v>0</v>
      </c>
      <c r="H325" s="343">
        <v>0</v>
      </c>
      <c r="I325" s="343">
        <v>0</v>
      </c>
      <c r="J325" s="343">
        <v>0</v>
      </c>
      <c r="K325" s="343">
        <v>0</v>
      </c>
      <c r="L325" s="379">
        <v>0</v>
      </c>
      <c r="M325" s="282">
        <f t="shared" si="132"/>
        <v>2.344162076883486E-2</v>
      </c>
      <c r="N325" s="284">
        <f t="shared" si="133"/>
        <v>1.3965512278444803E-2</v>
      </c>
      <c r="O325" s="342">
        <v>0</v>
      </c>
      <c r="P325" s="343">
        <v>4.977304646961353E-2</v>
      </c>
      <c r="Q325" s="343">
        <v>0.13416335124263162</v>
      </c>
      <c r="R325" s="343">
        <v>0.16436898837569008</v>
      </c>
      <c r="S325" s="343">
        <v>0</v>
      </c>
      <c r="T325" s="343">
        <v>0</v>
      </c>
      <c r="U325" s="343">
        <v>0</v>
      </c>
      <c r="V325" s="343">
        <v>0</v>
      </c>
      <c r="W325" s="343">
        <v>0</v>
      </c>
      <c r="X325" s="343">
        <v>0</v>
      </c>
      <c r="Y325" s="379">
        <v>0</v>
      </c>
      <c r="Z325" s="282">
        <f t="shared" si="134"/>
        <v>3.4516405514770372E-2</v>
      </c>
      <c r="AA325" s="284">
        <f t="shared" si="135"/>
        <v>2.2739616882233325E-2</v>
      </c>
      <c r="AB325" s="949">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50">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8">
        <f t="shared" si="142"/>
        <v>0</v>
      </c>
      <c r="AE325" s="1232">
        <f t="shared" si="139"/>
        <v>2.344162076883486E-2</v>
      </c>
      <c r="AF325" s="1233">
        <f t="shared" si="140"/>
        <v>3.4516405514770372E-2</v>
      </c>
      <c r="AG325" s="1233">
        <f t="shared" si="141"/>
        <v>5.7958026283605232E-2</v>
      </c>
      <c r="AH325" s="1174">
        <f t="shared" si="137"/>
        <v>0.4044585758343166</v>
      </c>
      <c r="AI325" s="1234">
        <f t="shared" si="138"/>
        <v>0.59554142416568345</v>
      </c>
    </row>
    <row r="326" spans="1:35" x14ac:dyDescent="0.2">
      <c r="A326" s="330">
        <v>2047</v>
      </c>
      <c r="B326" s="344">
        <v>0</v>
      </c>
      <c r="C326" s="345">
        <v>4.6275864040136172E-2</v>
      </c>
      <c r="D326" s="345">
        <v>0.13308815154525105</v>
      </c>
      <c r="E326" s="345">
        <v>0.16845487229389444</v>
      </c>
      <c r="F326" s="345">
        <v>0</v>
      </c>
      <c r="G326" s="345">
        <v>0</v>
      </c>
      <c r="H326" s="345">
        <v>0</v>
      </c>
      <c r="I326" s="345">
        <v>0</v>
      </c>
      <c r="J326" s="345">
        <v>0</v>
      </c>
      <c r="K326" s="345">
        <v>0</v>
      </c>
      <c r="L326" s="380">
        <v>0</v>
      </c>
      <c r="M326" s="296">
        <f t="shared" si="132"/>
        <v>2.6454599994969664E-2</v>
      </c>
      <c r="N326" s="298">
        <f t="shared" si="133"/>
        <v>1.6261447435952432E-2</v>
      </c>
      <c r="O326" s="344">
        <v>0</v>
      </c>
      <c r="P326" s="345">
        <v>5.7617837087300998E-2</v>
      </c>
      <c r="Q326" s="345">
        <v>0.14118760938345767</v>
      </c>
      <c r="R326" s="345">
        <v>0.17100699615658779</v>
      </c>
      <c r="S326" s="345">
        <v>0</v>
      </c>
      <c r="T326" s="345">
        <v>0</v>
      </c>
      <c r="U326" s="345">
        <v>0</v>
      </c>
      <c r="V326" s="345">
        <v>0</v>
      </c>
      <c r="W326" s="345">
        <v>0</v>
      </c>
      <c r="X326" s="345">
        <v>0</v>
      </c>
      <c r="Y326" s="380">
        <v>0</v>
      </c>
      <c r="Z326" s="296">
        <f t="shared" si="134"/>
        <v>3.7619619639105692E-2</v>
      </c>
      <c r="AA326" s="298">
        <f t="shared" si="135"/>
        <v>2.5227048232484992E-2</v>
      </c>
      <c r="AB326" s="949">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50">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8">
        <f t="shared" si="142"/>
        <v>0</v>
      </c>
      <c r="AE326" s="1232">
        <f t="shared" si="139"/>
        <v>2.6454599994969664E-2</v>
      </c>
      <c r="AF326" s="1233">
        <f t="shared" si="140"/>
        <v>3.7619619639105692E-2</v>
      </c>
      <c r="AG326" s="1233">
        <f t="shared" si="141"/>
        <v>6.4074219634075363E-2</v>
      </c>
      <c r="AH326" s="1174">
        <f t="shared" si="137"/>
        <v>0.41287432209163921</v>
      </c>
      <c r="AI326" s="1234">
        <f t="shared" si="138"/>
        <v>0.58712567790836068</v>
      </c>
    </row>
    <row r="327" spans="1:35" x14ac:dyDescent="0.2">
      <c r="A327" s="330">
        <v>2048</v>
      </c>
      <c r="B327" s="344">
        <v>0</v>
      </c>
      <c r="C327" s="345">
        <v>5.5064184776123487E-2</v>
      </c>
      <c r="D327" s="345">
        <v>0.13898583796202874</v>
      </c>
      <c r="E327" s="345">
        <v>0.1691101046828572</v>
      </c>
      <c r="F327" s="345">
        <v>0</v>
      </c>
      <c r="G327" s="345">
        <v>0</v>
      </c>
      <c r="H327" s="345">
        <v>0</v>
      </c>
      <c r="I327" s="345">
        <v>0</v>
      </c>
      <c r="J327" s="345">
        <v>0</v>
      </c>
      <c r="K327" s="345">
        <v>0</v>
      </c>
      <c r="L327" s="380">
        <v>0</v>
      </c>
      <c r="M327" s="296">
        <f t="shared" si="132"/>
        <v>2.8332213685869401E-2</v>
      </c>
      <c r="N327" s="298">
        <f t="shared" si="133"/>
        <v>1.781631604135649E-2</v>
      </c>
      <c r="O327" s="344">
        <v>0</v>
      </c>
      <c r="P327" s="345">
        <v>6.7440502661063814E-2</v>
      </c>
      <c r="Q327" s="345">
        <v>0.14683882167001033</v>
      </c>
      <c r="R327" s="345">
        <v>0.17514360654021136</v>
      </c>
      <c r="S327" s="345">
        <v>0</v>
      </c>
      <c r="T327" s="345">
        <v>0</v>
      </c>
      <c r="U327" s="345">
        <v>0</v>
      </c>
      <c r="V327" s="345">
        <v>0</v>
      </c>
      <c r="W327" s="345">
        <v>0</v>
      </c>
      <c r="X327" s="345">
        <v>0</v>
      </c>
      <c r="Y327" s="380">
        <v>0</v>
      </c>
      <c r="Z327" s="296">
        <f t="shared" si="134"/>
        <v>4.0991805333722132E-2</v>
      </c>
      <c r="AA327" s="298">
        <f t="shared" si="135"/>
        <v>2.8100096036472601E-2</v>
      </c>
      <c r="AB327" s="949">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50">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8">
        <f t="shared" si="142"/>
        <v>0</v>
      </c>
      <c r="AE327" s="1232">
        <f t="shared" si="139"/>
        <v>2.8332213685869401E-2</v>
      </c>
      <c r="AF327" s="1233">
        <f t="shared" si="140"/>
        <v>4.0991805333722132E-2</v>
      </c>
      <c r="AG327" s="1233">
        <f t="shared" si="141"/>
        <v>6.9324019019591537E-2</v>
      </c>
      <c r="AH327" s="1174">
        <f t="shared" si="137"/>
        <v>0.40869260159112364</v>
      </c>
      <c r="AI327" s="1234">
        <f t="shared" si="138"/>
        <v>0.59130739840887636</v>
      </c>
    </row>
    <row r="328" spans="1:35" x14ac:dyDescent="0.2">
      <c r="A328" s="330">
        <v>2049</v>
      </c>
      <c r="B328" s="344">
        <v>0</v>
      </c>
      <c r="C328" s="345">
        <v>6.0269823412067831E-2</v>
      </c>
      <c r="D328" s="345">
        <v>0.13952492682861398</v>
      </c>
      <c r="E328" s="345">
        <v>0.17480110486472353</v>
      </c>
      <c r="F328" s="345">
        <v>0</v>
      </c>
      <c r="G328" s="345">
        <v>0</v>
      </c>
      <c r="H328" s="345">
        <v>0</v>
      </c>
      <c r="I328" s="345">
        <v>0</v>
      </c>
      <c r="J328" s="345">
        <v>0</v>
      </c>
      <c r="K328" s="345">
        <v>0</v>
      </c>
      <c r="L328" s="380">
        <v>0</v>
      </c>
      <c r="M328" s="296">
        <f t="shared" si="132"/>
        <v>2.9421892986233961E-2</v>
      </c>
      <c r="N328" s="298">
        <f t="shared" si="133"/>
        <v>1.867987931209961E-2</v>
      </c>
      <c r="O328" s="344">
        <v>0</v>
      </c>
      <c r="P328" s="345">
        <v>7.3238771531551616E-2</v>
      </c>
      <c r="Q328" s="345">
        <v>0.14741012385035293</v>
      </c>
      <c r="R328" s="345">
        <v>0.17581395237818409</v>
      </c>
      <c r="S328" s="345">
        <v>0</v>
      </c>
      <c r="T328" s="345">
        <v>0</v>
      </c>
      <c r="U328" s="345">
        <v>0</v>
      </c>
      <c r="V328" s="345">
        <v>0</v>
      </c>
      <c r="W328" s="345">
        <v>0</v>
      </c>
      <c r="X328" s="345">
        <v>0</v>
      </c>
      <c r="Y328" s="380">
        <v>0</v>
      </c>
      <c r="Z328" s="296">
        <f t="shared" si="134"/>
        <v>4.2644607475159121E-2</v>
      </c>
      <c r="AA328" s="298">
        <f t="shared" si="135"/>
        <v>2.962693572971287E-2</v>
      </c>
      <c r="AB328" s="949">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50">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8">
        <f t="shared" si="142"/>
        <v>0</v>
      </c>
      <c r="AE328" s="1232">
        <f t="shared" si="139"/>
        <v>2.9421892986233961E-2</v>
      </c>
      <c r="AF328" s="1233">
        <f t="shared" si="140"/>
        <v>4.2644607475159121E-2</v>
      </c>
      <c r="AG328" s="1233">
        <f t="shared" si="141"/>
        <v>7.2066500461393082E-2</v>
      </c>
      <c r="AH328" s="1174">
        <f t="shared" si="137"/>
        <v>0.40826032619685249</v>
      </c>
      <c r="AI328" s="1234">
        <f t="shared" si="138"/>
        <v>0.59173967380314751</v>
      </c>
    </row>
    <row r="329" spans="1:35" ht="13.5" thickBot="1" x14ac:dyDescent="0.25">
      <c r="A329" s="328">
        <v>2050</v>
      </c>
      <c r="B329" s="346">
        <v>0</v>
      </c>
      <c r="C329" s="347">
        <v>6.4954580421263383E-2</v>
      </c>
      <c r="D329" s="347">
        <v>0.14665814842446459</v>
      </c>
      <c r="E329" s="347">
        <v>0.17422256720157084</v>
      </c>
      <c r="F329" s="347">
        <v>0</v>
      </c>
      <c r="G329" s="347">
        <v>0</v>
      </c>
      <c r="H329" s="347">
        <v>0</v>
      </c>
      <c r="I329" s="347">
        <v>0</v>
      </c>
      <c r="J329" s="347">
        <v>0</v>
      </c>
      <c r="K329" s="347">
        <v>0</v>
      </c>
      <c r="L329" s="381">
        <v>0</v>
      </c>
      <c r="M329" s="310">
        <f t="shared" si="132"/>
        <v>3.0735868501287046E-2</v>
      </c>
      <c r="N329" s="312">
        <f t="shared" si="133"/>
        <v>1.9695326958180843E-2</v>
      </c>
      <c r="O329" s="346">
        <v>0</v>
      </c>
      <c r="P329" s="347">
        <v>7.3527272625827825E-2</v>
      </c>
      <c r="Q329" s="347">
        <v>0.15422023418027142</v>
      </c>
      <c r="R329" s="347">
        <v>0.17647346969713298</v>
      </c>
      <c r="S329" s="347">
        <v>0</v>
      </c>
      <c r="T329" s="347">
        <v>0</v>
      </c>
      <c r="U329" s="347">
        <v>0</v>
      </c>
      <c r="V329" s="347">
        <v>0</v>
      </c>
      <c r="W329" s="347">
        <v>0</v>
      </c>
      <c r="X329" s="347">
        <v>0</v>
      </c>
      <c r="Y329" s="381">
        <v>0</v>
      </c>
      <c r="Z329" s="310">
        <f t="shared" si="134"/>
        <v>4.3332866427302948E-2</v>
      </c>
      <c r="AA329" s="312">
        <f t="shared" si="135"/>
        <v>3.0033006945751811E-2</v>
      </c>
      <c r="AB329" s="951">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2">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9">
        <f t="shared" si="142"/>
        <v>0</v>
      </c>
      <c r="AE329" s="1235">
        <f t="shared" si="139"/>
        <v>3.0735868501287046E-2</v>
      </c>
      <c r="AF329" s="1236">
        <f t="shared" si="140"/>
        <v>4.3332866427302948E-2</v>
      </c>
      <c r="AG329" s="1236">
        <f t="shared" si="141"/>
        <v>7.4068734928589994E-2</v>
      </c>
      <c r="AH329" s="1237">
        <f t="shared" si="137"/>
        <v>0.41496413474483718</v>
      </c>
      <c r="AI329" s="1238">
        <f t="shared" si="138"/>
        <v>0.58503586525516282</v>
      </c>
    </row>
    <row r="330" spans="1:35" x14ac:dyDescent="0.2">
      <c r="B330" s="227" t="s">
        <v>241</v>
      </c>
      <c r="U330" s="227" t="s">
        <v>241</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R52" sqref="R52:S52"/>
    </sheetView>
  </sheetViews>
  <sheetFormatPr defaultColWidth="9.140625" defaultRowHeight="12.75" x14ac:dyDescent="0.2"/>
  <cols>
    <col min="1" max="1" width="9.140625" style="397"/>
    <col min="2" max="2" width="14" style="397" customWidth="1"/>
    <col min="3" max="7" width="10.42578125" style="397" customWidth="1"/>
    <col min="8" max="8" width="13.5703125" style="397" customWidth="1"/>
    <col min="9" max="13" width="10.42578125" style="397" customWidth="1"/>
    <col min="14" max="14" width="13.140625" style="397" customWidth="1"/>
    <col min="15" max="15" width="11.28515625" style="397" bestFit="1" customWidth="1"/>
    <col min="16" max="16" width="11.5703125" style="397" customWidth="1"/>
    <col min="17" max="17" width="9.140625" style="397"/>
    <col min="18" max="18" width="13.28515625" style="397" customWidth="1"/>
    <col min="19" max="20" width="9.140625" style="397"/>
    <col min="21" max="21" width="11.42578125" style="397" customWidth="1"/>
    <col min="22" max="22" width="11.140625" style="397" customWidth="1"/>
    <col min="23" max="23" width="10.28515625" style="397" customWidth="1"/>
    <col min="24" max="24" width="13" style="397" customWidth="1"/>
    <col min="25" max="27" width="9.140625" style="397"/>
    <col min="28" max="28" width="10.42578125" style="397" customWidth="1"/>
    <col min="29" max="29" width="10.7109375" style="397" customWidth="1"/>
    <col min="30" max="30" width="13.28515625" style="397" customWidth="1"/>
    <col min="31" max="31" width="11.28515625" style="397" bestFit="1" customWidth="1"/>
    <col min="32" max="34" width="9.140625" style="397"/>
    <col min="35" max="35" width="10.140625" style="397" customWidth="1"/>
    <col min="36" max="36" width="14" style="397" customWidth="1"/>
    <col min="37" max="39" width="9.140625" style="397"/>
    <col min="40" max="40" width="10.140625" style="397" customWidth="1"/>
    <col min="41" max="41" width="10.42578125" style="397" customWidth="1"/>
    <col min="42" max="42" width="9.140625" style="397"/>
    <col min="43" max="43" width="12.140625" style="397" customWidth="1"/>
    <col min="44" max="16384" width="9.140625" style="397"/>
  </cols>
  <sheetData>
    <row r="1" spans="1:43" x14ac:dyDescent="0.2">
      <c r="A1" s="862" t="s">
        <v>262</v>
      </c>
    </row>
    <row r="2" spans="1:43" ht="13.5" thickBot="1" x14ac:dyDescent="0.25"/>
    <row r="3" spans="1:43" ht="19.5" customHeight="1" thickBot="1" x14ac:dyDescent="0.35">
      <c r="A3" s="1594" t="s">
        <v>151</v>
      </c>
      <c r="B3" s="1595"/>
      <c r="C3" s="1595"/>
      <c r="D3" s="1595"/>
      <c r="E3" s="1595"/>
      <c r="F3" s="1595"/>
      <c r="G3" s="1595"/>
      <c r="H3" s="1595"/>
      <c r="I3" s="1595"/>
      <c r="J3" s="1595"/>
      <c r="K3" s="1595"/>
      <c r="L3" s="1595"/>
      <c r="M3" s="1595"/>
      <c r="N3" s="1595"/>
      <c r="O3" s="1595"/>
      <c r="P3" s="1595"/>
      <c r="Q3" s="1595"/>
      <c r="R3" s="1595"/>
      <c r="S3" s="1595"/>
      <c r="T3" s="1595"/>
      <c r="U3" s="1596"/>
      <c r="V3" s="850"/>
      <c r="W3" s="1597" t="s">
        <v>186</v>
      </c>
      <c r="X3" s="1598"/>
      <c r="Y3" s="1598"/>
      <c r="Z3" s="1598"/>
      <c r="AA3" s="1598"/>
      <c r="AB3" s="1598"/>
      <c r="AC3" s="1598"/>
      <c r="AD3" s="1598"/>
      <c r="AE3" s="1598"/>
      <c r="AF3" s="1598"/>
      <c r="AG3" s="1598"/>
      <c r="AH3" s="1598"/>
      <c r="AI3" s="1598"/>
      <c r="AJ3" s="1598"/>
      <c r="AK3" s="1598"/>
      <c r="AL3" s="1598"/>
      <c r="AM3" s="1598"/>
      <c r="AN3" s="1598"/>
      <c r="AO3" s="1598"/>
      <c r="AP3" s="1598"/>
      <c r="AQ3" s="1599"/>
    </row>
    <row r="4" spans="1:43" ht="15" x14ac:dyDescent="0.25">
      <c r="A4" s="400"/>
      <c r="B4" s="1592" t="s">
        <v>250</v>
      </c>
      <c r="C4" s="1603"/>
      <c r="D4" s="1603"/>
      <c r="E4" s="1603"/>
      <c r="F4" s="1603"/>
      <c r="G4" s="1593"/>
      <c r="H4" s="1592" t="s">
        <v>251</v>
      </c>
      <c r="I4" s="1603"/>
      <c r="J4" s="1603"/>
      <c r="K4" s="1603"/>
      <c r="L4" s="1603"/>
      <c r="M4" s="1593"/>
      <c r="N4" s="1592" t="s">
        <v>155</v>
      </c>
      <c r="O4" s="1603"/>
      <c r="P4" s="1603"/>
      <c r="Q4" s="1603"/>
      <c r="R4" s="1603"/>
      <c r="S4" s="1593"/>
      <c r="T4" s="1592" t="s">
        <v>154</v>
      </c>
      <c r="U4" s="1593"/>
      <c r="W4" s="400"/>
      <c r="X4" s="1592" t="s">
        <v>250</v>
      </c>
      <c r="Y4" s="1603"/>
      <c r="Z4" s="1603"/>
      <c r="AA4" s="1603"/>
      <c r="AB4" s="1603"/>
      <c r="AC4" s="1593"/>
      <c r="AD4" s="1592" t="s">
        <v>251</v>
      </c>
      <c r="AE4" s="1603"/>
      <c r="AF4" s="1603"/>
      <c r="AG4" s="1603"/>
      <c r="AH4" s="1603"/>
      <c r="AI4" s="1593"/>
      <c r="AJ4" s="1592" t="s">
        <v>155</v>
      </c>
      <c r="AK4" s="1603"/>
      <c r="AL4" s="1603"/>
      <c r="AM4" s="1603"/>
      <c r="AN4" s="1603"/>
      <c r="AO4" s="1593"/>
      <c r="AP4" s="1592" t="s">
        <v>154</v>
      </c>
      <c r="AQ4" s="1593"/>
    </row>
    <row r="5" spans="1:43" ht="15" x14ac:dyDescent="0.25">
      <c r="A5" s="401"/>
      <c r="B5" s="1600" t="s">
        <v>129</v>
      </c>
      <c r="C5" s="1601"/>
      <c r="D5" s="1601"/>
      <c r="E5" s="1601"/>
      <c r="F5" s="1601"/>
      <c r="G5" s="1602"/>
      <c r="H5" s="1600" t="s">
        <v>129</v>
      </c>
      <c r="I5" s="1601"/>
      <c r="J5" s="1601"/>
      <c r="K5" s="1601"/>
      <c r="L5" s="1601"/>
      <c r="M5" s="1602"/>
      <c r="N5" s="1600" t="s">
        <v>129</v>
      </c>
      <c r="O5" s="1601"/>
      <c r="P5" s="1601"/>
      <c r="Q5" s="1601"/>
      <c r="R5" s="1601"/>
      <c r="S5" s="1602"/>
      <c r="T5" s="1590" t="s">
        <v>129</v>
      </c>
      <c r="U5" s="1591"/>
      <c r="W5" s="401"/>
      <c r="X5" s="1600" t="s">
        <v>129</v>
      </c>
      <c r="Y5" s="1601"/>
      <c r="Z5" s="1601"/>
      <c r="AA5" s="1601"/>
      <c r="AB5" s="1601"/>
      <c r="AC5" s="1602"/>
      <c r="AD5" s="1600" t="s">
        <v>129</v>
      </c>
      <c r="AE5" s="1601"/>
      <c r="AF5" s="1601"/>
      <c r="AG5" s="1601"/>
      <c r="AH5" s="1601"/>
      <c r="AI5" s="1602"/>
      <c r="AJ5" s="1600" t="s">
        <v>129</v>
      </c>
      <c r="AK5" s="1601"/>
      <c r="AL5" s="1601"/>
      <c r="AM5" s="1601"/>
      <c r="AN5" s="1601"/>
      <c r="AO5" s="1602"/>
      <c r="AP5" s="1590" t="s">
        <v>129</v>
      </c>
      <c r="AQ5" s="1591"/>
    </row>
    <row r="6" spans="1:43" ht="15" x14ac:dyDescent="0.25">
      <c r="A6" s="401"/>
      <c r="B6" s="1101" t="s">
        <v>69</v>
      </c>
      <c r="C6" s="1102" t="s">
        <v>65</v>
      </c>
      <c r="D6" s="1102" t="s">
        <v>66</v>
      </c>
      <c r="E6" s="1102" t="s">
        <v>67</v>
      </c>
      <c r="F6" s="1102" t="s">
        <v>206</v>
      </c>
      <c r="G6" s="1103" t="s">
        <v>207</v>
      </c>
      <c r="H6" s="1101" t="s">
        <v>69</v>
      </c>
      <c r="I6" s="1102" t="s">
        <v>65</v>
      </c>
      <c r="J6" s="1102" t="s">
        <v>66</v>
      </c>
      <c r="K6" s="1102" t="s">
        <v>67</v>
      </c>
      <c r="L6" s="1102" t="s">
        <v>206</v>
      </c>
      <c r="M6" s="1103" t="s">
        <v>207</v>
      </c>
      <c r="N6" s="1101" t="s">
        <v>69</v>
      </c>
      <c r="O6" s="1102" t="s">
        <v>65</v>
      </c>
      <c r="P6" s="1102" t="s">
        <v>66</v>
      </c>
      <c r="Q6" s="1102" t="s">
        <v>67</v>
      </c>
      <c r="R6" s="1102" t="s">
        <v>206</v>
      </c>
      <c r="S6" s="1103" t="s">
        <v>207</v>
      </c>
      <c r="T6" s="648"/>
      <c r="U6" s="650"/>
      <c r="W6" s="401"/>
      <c r="X6" s="671" t="s">
        <v>69</v>
      </c>
      <c r="Y6" s="668" t="s">
        <v>65</v>
      </c>
      <c r="Z6" s="668" t="s">
        <v>66</v>
      </c>
      <c r="AA6" s="668" t="s">
        <v>67</v>
      </c>
      <c r="AB6" s="668" t="s">
        <v>206</v>
      </c>
      <c r="AC6" s="851" t="s">
        <v>207</v>
      </c>
      <c r="AD6" s="671" t="s">
        <v>69</v>
      </c>
      <c r="AE6" s="668" t="s">
        <v>65</v>
      </c>
      <c r="AF6" s="668" t="s">
        <v>66</v>
      </c>
      <c r="AG6" s="668" t="s">
        <v>67</v>
      </c>
      <c r="AH6" s="668" t="s">
        <v>206</v>
      </c>
      <c r="AI6" s="851" t="s">
        <v>207</v>
      </c>
      <c r="AJ6" s="671" t="s">
        <v>69</v>
      </c>
      <c r="AK6" s="668" t="s">
        <v>65</v>
      </c>
      <c r="AL6" s="668" t="s">
        <v>66</v>
      </c>
      <c r="AM6" s="668" t="s">
        <v>67</v>
      </c>
      <c r="AN6" s="668" t="s">
        <v>206</v>
      </c>
      <c r="AO6" s="670" t="s">
        <v>207</v>
      </c>
      <c r="AP6" s="648"/>
      <c r="AQ6" s="650"/>
    </row>
    <row r="7" spans="1:43" s="849" customFormat="1" ht="30" x14ac:dyDescent="0.2">
      <c r="A7" s="843"/>
      <c r="B7" s="1104" t="str">
        <f t="shared" ref="B7:G7" si="0">INDEX(TECH_OPT_DESC_Cls1,MATCH(B6,TECH_OPT_ROWS_Cls1,0))</f>
        <v>Conventional Diesel ICE</v>
      </c>
      <c r="C7" s="1105" t="str">
        <f t="shared" si="0"/>
        <v>Adv Conv</v>
      </c>
      <c r="D7" s="1105" t="str">
        <f t="shared" si="0"/>
        <v>ISG</v>
      </c>
      <c r="E7" s="1105" t="str">
        <f t="shared" si="0"/>
        <v>HEV</v>
      </c>
      <c r="F7" s="1105" t="str">
        <f t="shared" si="0"/>
        <v>PHEV</v>
      </c>
      <c r="G7" s="1106" t="str">
        <f t="shared" si="0"/>
        <v>FCHEV</v>
      </c>
      <c r="H7" s="1104" t="str">
        <f t="shared" ref="H7:M7" si="1">INDEX(TECH_OPT_DESC_Cls2,MATCH(H6,TECH_OPT_ROWS_Cls2,0))</f>
        <v>Conventional Diesel ICE</v>
      </c>
      <c r="I7" s="1105" t="str">
        <f t="shared" si="1"/>
        <v>Adv Conv</v>
      </c>
      <c r="J7" s="1105" t="str">
        <f t="shared" si="1"/>
        <v>ISG</v>
      </c>
      <c r="K7" s="1105" t="str">
        <f t="shared" si="1"/>
        <v>PHEV</v>
      </c>
      <c r="L7" s="1105" t="str">
        <f t="shared" si="1"/>
        <v>BEV</v>
      </c>
      <c r="M7" s="1106" t="str">
        <f t="shared" si="1"/>
        <v>FCHEV</v>
      </c>
      <c r="N7" s="1104" t="str">
        <f t="shared" ref="N7:S7" si="2">INDEX(TECH_OPT_DESC_Cls3,MATCH(N6,TECH_OPT_ROWS_Cls3,0))</f>
        <v>Conventional Diesel ICE</v>
      </c>
      <c r="O7" s="1105" t="str">
        <f t="shared" si="2"/>
        <v>Adv Conv</v>
      </c>
      <c r="P7" s="1105" t="str">
        <f t="shared" si="2"/>
        <v>ISG</v>
      </c>
      <c r="Q7" s="1105" t="str">
        <f t="shared" si="2"/>
        <v>HEV</v>
      </c>
      <c r="R7" s="1105" t="str">
        <f t="shared" si="2"/>
        <v>PHEV</v>
      </c>
      <c r="S7" s="1106" t="str">
        <f t="shared" si="2"/>
        <v>BEV</v>
      </c>
      <c r="T7" s="860" t="s">
        <v>70</v>
      </c>
      <c r="U7" s="848" t="s">
        <v>139</v>
      </c>
      <c r="W7" s="843"/>
      <c r="X7" s="844" t="str">
        <f t="shared" ref="X7:AC7" si="3">INDEX(TECH_OPT_DESC_Cls1,MATCH(X6,TECH_OPT_ROWS_Cls1,0))</f>
        <v>Conventional Diesel ICE</v>
      </c>
      <c r="Y7" s="845" t="str">
        <f t="shared" si="3"/>
        <v>Adv Conv</v>
      </c>
      <c r="Z7" s="845" t="str">
        <f t="shared" si="3"/>
        <v>ISG</v>
      </c>
      <c r="AA7" s="858" t="str">
        <f t="shared" si="3"/>
        <v>HEV</v>
      </c>
      <c r="AB7" s="845" t="str">
        <f t="shared" si="3"/>
        <v>PHEV</v>
      </c>
      <c r="AC7" s="846" t="str">
        <f t="shared" si="3"/>
        <v>FCHEV</v>
      </c>
      <c r="AD7" s="844" t="str">
        <f t="shared" ref="AD7:AI7" si="4">INDEX(TECH_OPT_DESC_Cls2,MATCH(AD6,TECH_OPT_ROWS_Cls2,0))</f>
        <v>Conventional Diesel ICE</v>
      </c>
      <c r="AE7" s="845" t="str">
        <f t="shared" si="4"/>
        <v>Adv Conv</v>
      </c>
      <c r="AF7" s="845" t="str">
        <f t="shared" si="4"/>
        <v>ISG</v>
      </c>
      <c r="AG7" s="858" t="str">
        <f t="shared" si="4"/>
        <v>PHEV</v>
      </c>
      <c r="AH7" s="845" t="str">
        <f t="shared" si="4"/>
        <v>BEV</v>
      </c>
      <c r="AI7" s="846" t="str">
        <f t="shared" si="4"/>
        <v>FCHEV</v>
      </c>
      <c r="AJ7" s="844" t="str">
        <f t="shared" ref="AJ7:AO7" si="5">INDEX(TECH_OPT_DESC_Cls3,MATCH(AJ6,TECH_OPT_ROWS_Cls3,0))</f>
        <v>Conventional Diesel ICE</v>
      </c>
      <c r="AK7" s="845" t="str">
        <f t="shared" si="5"/>
        <v>Adv Conv</v>
      </c>
      <c r="AL7" s="845" t="str">
        <f t="shared" si="5"/>
        <v>ISG</v>
      </c>
      <c r="AM7" s="858" t="str">
        <f t="shared" si="5"/>
        <v>HEV</v>
      </c>
      <c r="AN7" s="845" t="str">
        <f t="shared" si="5"/>
        <v>PHEV</v>
      </c>
      <c r="AO7" s="859" t="str">
        <f t="shared" si="5"/>
        <v>BEV</v>
      </c>
      <c r="AP7" s="860"/>
      <c r="AQ7" s="848"/>
    </row>
    <row r="8" spans="1:43" ht="30.75" thickBot="1" x14ac:dyDescent="0.3">
      <c r="A8" s="405" t="s">
        <v>3</v>
      </c>
      <c r="B8" s="1107" t="str">
        <f t="shared" ref="B8:G8" si="6">INDEX(TECH_OPT_FUEL1_Cls1,MATCH(B6,TECH_OPT_ROWS_Cls1,0))</f>
        <v>Diesel</v>
      </c>
      <c r="C8" s="1108" t="str">
        <f t="shared" si="6"/>
        <v>Diesel</v>
      </c>
      <c r="D8" s="1108" t="str">
        <f t="shared" si="6"/>
        <v>Diesel</v>
      </c>
      <c r="E8" s="1108" t="str">
        <f t="shared" si="6"/>
        <v>Diesel</v>
      </c>
      <c r="F8" s="1108" t="str">
        <f t="shared" si="6"/>
        <v>Diesel</v>
      </c>
      <c r="G8" s="1109" t="str">
        <f t="shared" si="6"/>
        <v>Hydrogen</v>
      </c>
      <c r="H8" s="1107" t="str">
        <f t="shared" ref="H8:M8" si="7">INDEX(TECH_OPT_FUEL1_Cls2,MATCH(H6,TECH_OPT_ROWS_Cls2,0))</f>
        <v>Diesel</v>
      </c>
      <c r="I8" s="1108" t="str">
        <f t="shared" si="7"/>
        <v>Diesel</v>
      </c>
      <c r="J8" s="1108" t="str">
        <f t="shared" si="7"/>
        <v>Diesel</v>
      </c>
      <c r="K8" s="1108" t="str">
        <f t="shared" si="7"/>
        <v>Diesel</v>
      </c>
      <c r="L8" s="1108" t="str">
        <f t="shared" si="7"/>
        <v>Electricity</v>
      </c>
      <c r="M8" s="1109" t="str">
        <f t="shared" si="7"/>
        <v>Hydrogen</v>
      </c>
      <c r="N8" s="1107" t="str">
        <f t="shared" ref="N8:S8" si="8">INDEX(TECH_OPT_FUEL1_Cls3,MATCH(N6,TECH_OPT_ROWS_Cls3,0))</f>
        <v>Diesel</v>
      </c>
      <c r="O8" s="1108" t="str">
        <f t="shared" si="8"/>
        <v>Diesel</v>
      </c>
      <c r="P8" s="1108" t="str">
        <f t="shared" si="8"/>
        <v>Diesel</v>
      </c>
      <c r="Q8" s="1108" t="str">
        <f t="shared" si="8"/>
        <v>Diesel</v>
      </c>
      <c r="R8" s="1108" t="str">
        <f t="shared" si="8"/>
        <v>Diesel</v>
      </c>
      <c r="S8" s="1109" t="str">
        <f t="shared" si="8"/>
        <v>Electricity</v>
      </c>
      <c r="T8" s="419"/>
      <c r="U8" s="418"/>
      <c r="W8" s="405" t="s">
        <v>3</v>
      </c>
      <c r="X8" s="681" t="str">
        <f t="shared" ref="X8:AC8" si="9">INDEX(TECH_OPT_FUEL1_Cls1,MATCH(X6,TECH_OPT_ROWS_Cls1,0))</f>
        <v>Diesel</v>
      </c>
      <c r="Y8" s="669" t="str">
        <f t="shared" si="9"/>
        <v>Diesel</v>
      </c>
      <c r="Z8" s="669" t="str">
        <f t="shared" si="9"/>
        <v>Diesel</v>
      </c>
      <c r="AA8" s="669" t="str">
        <f t="shared" si="9"/>
        <v>Diesel</v>
      </c>
      <c r="AB8" s="669" t="str">
        <f t="shared" si="9"/>
        <v>Diesel</v>
      </c>
      <c r="AC8" s="852" t="str">
        <f t="shared" si="9"/>
        <v>Hydrogen</v>
      </c>
      <c r="AD8" s="681" t="str">
        <f t="shared" ref="AD8:AI8" si="10">INDEX(TECH_OPT_FUEL1_Cls2,MATCH(AD6,TECH_OPT_ROWS_Cls2,0))</f>
        <v>Diesel</v>
      </c>
      <c r="AE8" s="669" t="str">
        <f t="shared" si="10"/>
        <v>Diesel</v>
      </c>
      <c r="AF8" s="669" t="str">
        <f t="shared" si="10"/>
        <v>Diesel</v>
      </c>
      <c r="AG8" s="669" t="str">
        <f t="shared" si="10"/>
        <v>Diesel</v>
      </c>
      <c r="AH8" s="669" t="str">
        <f t="shared" si="10"/>
        <v>Electricity</v>
      </c>
      <c r="AI8" s="852" t="str">
        <f t="shared" si="10"/>
        <v>Hydrogen</v>
      </c>
      <c r="AJ8" s="681" t="str">
        <f t="shared" ref="AJ8:AO8" si="11">INDEX(TECH_OPT_FUEL1_Cls3,MATCH(AJ6,TECH_OPT_ROWS_Cls3,0))</f>
        <v>Diesel</v>
      </c>
      <c r="AK8" s="669" t="str">
        <f t="shared" si="11"/>
        <v>Diesel</v>
      </c>
      <c r="AL8" s="669" t="str">
        <f t="shared" si="11"/>
        <v>Diesel</v>
      </c>
      <c r="AM8" s="669" t="str">
        <f t="shared" si="11"/>
        <v>Diesel</v>
      </c>
      <c r="AN8" s="669" t="str">
        <f t="shared" si="11"/>
        <v>Diesel</v>
      </c>
      <c r="AO8" s="682" t="str">
        <f t="shared" si="11"/>
        <v>Electricity</v>
      </c>
      <c r="AP8" s="419" t="s">
        <v>70</v>
      </c>
      <c r="AQ8" s="418" t="s">
        <v>139</v>
      </c>
    </row>
    <row r="9" spans="1:43" ht="15.75" thickTop="1" x14ac:dyDescent="0.25">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3">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5">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4">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5">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4">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5">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5">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5">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6">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1">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5">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4">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5">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4">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5">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4">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5">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5">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5">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6">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1">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5">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4">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5">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4">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5">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4">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5">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5">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5">
      <c r="A23" s="429">
        <v>2021</v>
      </c>
      <c r="B23" s="430">
        <f t="shared" si="12"/>
        <v>0.95489350867560285</v>
      </c>
      <c r="C23" s="431">
        <f>'7&amp;8 Sleep'!$M90+'7&amp;8 Sleep'!$Z90</f>
        <v>2.9064884230796759E-2</v>
      </c>
      <c r="D23" s="431">
        <f>'7&amp;8 Sleep'!$M142+'7&amp;8 Sleep'!$Z142</f>
        <v>1.6041607093600356E-2</v>
      </c>
      <c r="E23" s="702">
        <f>'7&amp;8 Sleep'!$M194+'7&amp;8 Sleep'!$Z194</f>
        <v>0</v>
      </c>
      <c r="F23" s="431">
        <f>'7&amp;8 Sleep'!$M247+'7&amp;8 Sleep'!$Z247</f>
        <v>0</v>
      </c>
      <c r="G23" s="660">
        <f>'7&amp;8 Sleep'!$M300+'7&amp;8 Sleep'!$Z300</f>
        <v>0</v>
      </c>
      <c r="H23" s="856">
        <f t="shared" si="13"/>
        <v>0.9627858070650559</v>
      </c>
      <c r="I23" s="660">
        <f>'7&amp;8 Day'!$M90+'7&amp;8 Day'!$Z90</f>
        <v>2.2579552340475866E-2</v>
      </c>
      <c r="J23" s="660">
        <f>'7&amp;8 Day'!$M142+'7&amp;8 Day'!$Z142</f>
        <v>1.4634640594468198E-2</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0.96084767354055312</v>
      </c>
      <c r="U23" s="434">
        <f>SUM(C23:G23)*'Market Data'!$E$52+SUM(I23:M23)*'Market Data'!$O$52+SUM(O23:S23)*+N23*'Market Data'!$Y$52</f>
        <v>3.9152326459446767E-2</v>
      </c>
      <c r="W23" s="429">
        <v>2021</v>
      </c>
      <c r="X23" s="466">
        <f>IF('Market Penetration'!B23=0,0,1000*B23*'Market Data'!$E$51/('Market Penetration'!B23*'Market Data'!$C$51))</f>
        <v>114093.56016862109</v>
      </c>
      <c r="Y23" s="467">
        <f>IF('Market Penetration'!C23=0,0,1000*C23*'Market Data'!$E$51/('Market Penetration'!C23*'Market Data'!$C$51))</f>
        <v>118352.937304336</v>
      </c>
      <c r="Z23" s="467">
        <f>IF('Market Penetration'!D23=0,0,1000*D23*'Market Data'!$E$51/('Market Penetration'!D23*'Market Data'!$C$51))</f>
        <v>119114.55508410733</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76619.892231657039</v>
      </c>
      <c r="AE23" s="467">
        <f>IF('Market Penetration'!I23=0,0,1000*I23*'Market Data'!$O$51/('Market Penetration'!I23*'Market Data'!$M$51))</f>
        <v>90532.901112181164</v>
      </c>
      <c r="AF23" s="467">
        <f>IF('Market Penetration'!J23=0,0,1000*J23*'Market Data'!$O$51/('Market Penetration'!J23*'Market Data'!$M$51))</f>
        <v>83900.875526986332</v>
      </c>
      <c r="AG23" s="467">
        <f>IF('Market Penetration'!K23=0,0,1000*K23*'Market Data'!$O$51/('Market Penetration'!K23*'Market Data'!$M$51))</f>
        <v>0</v>
      </c>
      <c r="AH23" s="467">
        <f>IF('Market Penetration'!L23=0,0,1000*L23*'Market Data'!$O$51/('Market Penetration'!L23*'Market Data'!$M$51))</f>
        <v>0</v>
      </c>
      <c r="AI23" s="861">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80584.215146704606</v>
      </c>
      <c r="AQ23" s="469">
        <f>IF('Market Penetration'!U23=0,0,1000*U23*('Market Data'!$E$51+'Market Data'!$O$51+'Market Data'!$Y$51)/('Market Penetration'!U23*('Market Data'!$C$51+'Market Data'!$M$51+'Market Data'!$W$51)))</f>
        <v>109764.50842881924</v>
      </c>
    </row>
    <row r="24" spans="1:43" ht="15" x14ac:dyDescent="0.25">
      <c r="A24" s="403">
        <v>2022</v>
      </c>
      <c r="B24" s="423">
        <f t="shared" si="12"/>
        <v>0.88787660925468415</v>
      </c>
      <c r="C24" s="424">
        <f>'7&amp;8 Sleep'!$M91+'7&amp;8 Sleep'!$Z91</f>
        <v>6.4015629127708779E-2</v>
      </c>
      <c r="D24" s="424">
        <f>'7&amp;8 Sleep'!$M143+'7&amp;8 Sleep'!$Z143</f>
        <v>4.8100959801496222E-2</v>
      </c>
      <c r="E24" s="700">
        <f>'7&amp;8 Sleep'!$M195+'7&amp;8 Sleep'!$Z195</f>
        <v>6.8018161108623473E-6</v>
      </c>
      <c r="F24" s="424">
        <f>'7&amp;8 Sleep'!$M248+'7&amp;8 Sleep'!$Z248</f>
        <v>0</v>
      </c>
      <c r="G24" s="658">
        <f>'7&amp;8 Sleep'!$M301+'7&amp;8 Sleep'!$Z301</f>
        <v>0</v>
      </c>
      <c r="H24" s="854">
        <f t="shared" si="13"/>
        <v>0.90862705919977138</v>
      </c>
      <c r="I24" s="658">
        <f>'7&amp;8 Day'!$M91+'7&amp;8 Day'!$Z91</f>
        <v>5.337000174188733E-2</v>
      </c>
      <c r="J24" s="658">
        <f>'7&amp;8 Day'!$M143+'7&amp;8 Day'!$Z143</f>
        <v>3.8002939058341324E-2</v>
      </c>
      <c r="K24" s="658">
        <f>'7&amp;8 Day'!$M195+'7&amp;8 Day'!$Z195</f>
        <v>0</v>
      </c>
      <c r="L24" s="658">
        <f>'7&amp;8 Day'!$M248+'7&amp;8 Day'!$Z248</f>
        <v>0</v>
      </c>
      <c r="M24" s="705">
        <f>'7&amp;8 Day'!$M301+'7&amp;8 Day'!$Z301</f>
        <v>0</v>
      </c>
      <c r="N24" s="423">
        <f t="shared" si="14"/>
        <v>0.96897228775302935</v>
      </c>
      <c r="O24" s="424">
        <f>'7&amp;8 SU'!$M91+'7&amp;8 SU'!$Z91</f>
        <v>1.3515518599748401E-2</v>
      </c>
      <c r="P24" s="424">
        <f>'7&amp;8 SU'!$M143+'7&amp;8 SU'!$Z143</f>
        <v>1.541905612259044E-2</v>
      </c>
      <c r="Q24" s="700">
        <f>'7&amp;8 SU'!$M195+'7&amp;8 SU'!$Z195</f>
        <v>2.0931375246318511E-3</v>
      </c>
      <c r="R24" s="424">
        <f>'7&amp;8 SU'!$M248+'7&amp;8 SU'!$Z248</f>
        <v>0</v>
      </c>
      <c r="S24" s="658">
        <f>'7&amp;8 SU'!$M301+'7&amp;8 SU'!$Z301</f>
        <v>0</v>
      </c>
      <c r="T24" s="423">
        <f>B24*'Market Data'!$E$52+H24*'Market Data'!$O$52+N24*+N24*'Market Data'!$Y$52</f>
        <v>0.89747233482075117</v>
      </c>
      <c r="U24" s="425">
        <f>SUM(C24:G24)*'Market Data'!$E$52+SUM(I24:M24)*'Market Data'!$O$52+SUM(O24:S24)*+N24*'Market Data'!$Y$52</f>
        <v>9.9745149363163074E-2</v>
      </c>
      <c r="W24" s="403">
        <v>2022</v>
      </c>
      <c r="X24" s="460">
        <f>IF('Market Penetration'!B24=0,0,1000*B24*'Market Data'!$E$51/('Market Penetration'!B24*'Market Data'!$C$51))</f>
        <v>113715.47549622052</v>
      </c>
      <c r="Y24" s="461">
        <f>IF('Market Penetration'!C24=0,0,1000*C24*'Market Data'!$E$51/('Market Penetration'!C24*'Market Data'!$C$51))</f>
        <v>117311.00825313355</v>
      </c>
      <c r="Z24" s="461">
        <f>IF('Market Penetration'!D24=0,0,1000*D24*'Market Data'!$E$51/('Market Penetration'!D24*'Market Data'!$C$51))</f>
        <v>121454.09169631115</v>
      </c>
      <c r="AA24" s="695">
        <f>IF('Market Penetration'!E24=0,0,1000*E24*'Market Data'!$E$51/('Market Penetration'!E24*'Market Data'!$C$51))</f>
        <v>230073.60545896069</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76032.474145082335</v>
      </c>
      <c r="AE24" s="461">
        <f>IF('Market Penetration'!I24=0,0,1000*I24*'Market Data'!$O$51/('Market Penetration'!I24*'Market Data'!$M$51))</f>
        <v>86192.610935490244</v>
      </c>
      <c r="AF24" s="461">
        <f>IF('Market Penetration'!J24=0,0,1000*J24*'Market Data'!$O$51/('Market Penetration'!J24*'Market Data'!$M$51))</f>
        <v>90511.304323235861</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27135.531627089549</v>
      </c>
      <c r="AK24" s="461">
        <f>IF('Market Penetration'!O24=0,0,1000*O24*'Market Data'!$Y$51/('Market Penetration'!O24*'Market Data'!$W$51))</f>
        <v>29413.498074128485</v>
      </c>
      <c r="AL24" s="461">
        <f>IF('Market Penetration'!P24=0,0,1000*P24*'Market Data'!$Y$51/('Market Penetration'!P24*'Market Data'!$W$51))</f>
        <v>31392.171602355473</v>
      </c>
      <c r="AM24" s="695">
        <f>IF('Market Penetration'!Q24=0,0,1000*Q24*'Market Data'!$Y$51/('Market Penetration'!Q24*'Market Data'!$W$51))</f>
        <v>90537.158263561883</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79337.771008889467</v>
      </c>
      <c r="AQ24" s="462">
        <f>IF('Market Penetration'!U24=0,0,1000*U24*('Market Data'!$E$51+'Market Data'!$O$51+'Market Data'!$Y$51)/('Market Penetration'!U24*('Market Data'!$C$51+'Market Data'!$M$51+'Market Data'!$W$51)))</f>
        <v>103024.1742357856</v>
      </c>
    </row>
    <row r="25" spans="1:43" ht="15" x14ac:dyDescent="0.25">
      <c r="A25" s="403">
        <v>2023</v>
      </c>
      <c r="B25" s="423">
        <f t="shared" si="12"/>
        <v>0.74863224008934703</v>
      </c>
      <c r="C25" s="424">
        <f>'7&amp;8 Sleep'!$M92+'7&amp;8 Sleep'!$Z92</f>
        <v>0.13359924782407018</v>
      </c>
      <c r="D25" s="424">
        <f>'7&amp;8 Sleep'!$M144+'7&amp;8 Sleep'!$Z144</f>
        <v>0.11592570737858167</v>
      </c>
      <c r="E25" s="700">
        <f>'7&amp;8 Sleep'!$M196+'7&amp;8 Sleep'!$Z196</f>
        <v>1.842804708001213E-3</v>
      </c>
      <c r="F25" s="424">
        <f>'7&amp;8 Sleep'!$M249+'7&amp;8 Sleep'!$Z249</f>
        <v>0</v>
      </c>
      <c r="G25" s="658">
        <f>'7&amp;8 Sleep'!$M302+'7&amp;8 Sleep'!$Z302</f>
        <v>0</v>
      </c>
      <c r="H25" s="854">
        <f t="shared" si="13"/>
        <v>0.80305026639052512</v>
      </c>
      <c r="I25" s="658">
        <f>'7&amp;8 Day'!$M92+'7&amp;8 Day'!$Z92</f>
        <v>0.11199273716869983</v>
      </c>
      <c r="J25" s="658">
        <f>'7&amp;8 Day'!$M144+'7&amp;8 Day'!$Z144</f>
        <v>8.4956996440775062E-2</v>
      </c>
      <c r="K25" s="658">
        <f>'7&amp;8 Day'!$M196+'7&amp;8 Day'!$Z196</f>
        <v>0</v>
      </c>
      <c r="L25" s="658">
        <f>'7&amp;8 Day'!$M249+'7&amp;8 Day'!$Z249</f>
        <v>0</v>
      </c>
      <c r="M25" s="705">
        <f>'7&amp;8 Day'!$M302+'7&amp;8 Day'!$Z302</f>
        <v>0</v>
      </c>
      <c r="N25" s="423">
        <f t="shared" si="14"/>
        <v>0.92446601749036117</v>
      </c>
      <c r="O25" s="424">
        <f>'7&amp;8 SU'!$M92+'7&amp;8 SU'!$Z92</f>
        <v>3.280191027318613E-2</v>
      </c>
      <c r="P25" s="424">
        <f>'7&amp;8 SU'!$M144+'7&amp;8 SU'!$Z144</f>
        <v>3.58885101388383E-2</v>
      </c>
      <c r="Q25" s="700">
        <f>'7&amp;8 SU'!$M196+'7&amp;8 SU'!$Z196</f>
        <v>6.8435620976144418E-3</v>
      </c>
      <c r="R25" s="424">
        <f>'7&amp;8 SU'!$M249+'7&amp;8 SU'!$Z249</f>
        <v>0</v>
      </c>
      <c r="S25" s="658">
        <f>'7&amp;8 SU'!$M302+'7&amp;8 SU'!$Z302</f>
        <v>0</v>
      </c>
      <c r="T25" s="423">
        <f>B25*'Market Data'!$E$52+H25*'Market Data'!$O$52+N25*+N25*'Market Data'!$Y$52</f>
        <v>0.77130191955404404</v>
      </c>
      <c r="U25" s="425">
        <f>SUM(C25:G25)*'Market Data'!$E$52+SUM(I25:M25)*'Market Data'!$O$52+SUM(O25:S25)*+N25*'Market Data'!$Y$52</f>
        <v>0.22192431319840358</v>
      </c>
      <c r="W25" s="403">
        <v>2023</v>
      </c>
      <c r="X25" s="460">
        <f>IF('Market Penetration'!B25=0,0,1000*B25*'Market Data'!$E$51/('Market Penetration'!B25*'Market Data'!$C$51))</f>
        <v>112758.52957700239</v>
      </c>
      <c r="Y25" s="461">
        <f>IF('Market Penetration'!C25=0,0,1000*C25*'Market Data'!$E$51/('Market Penetration'!C25*'Market Data'!$C$51))</f>
        <v>116895.96683221892</v>
      </c>
      <c r="Z25" s="461">
        <f>IF('Market Penetration'!D25=0,0,1000*D25*'Market Data'!$E$51/('Market Penetration'!D25*'Market Data'!$C$51))</f>
        <v>120926.09381486895</v>
      </c>
      <c r="AA25" s="695">
        <f>IF('Market Penetration'!E25=0,0,1000*E25*'Market Data'!$E$51/('Market Penetration'!E25*'Market Data'!$C$51))</f>
        <v>208203.22200620084</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74139.113220373416</v>
      </c>
      <c r="AE25" s="461">
        <f>IF('Market Penetration'!I25=0,0,1000*I25*'Market Data'!$O$51/('Market Penetration'!I25*'Market Data'!$M$51))</f>
        <v>83807.027263474432</v>
      </c>
      <c r="AF25" s="461">
        <f>IF('Market Penetration'!J25=0,0,1000*J25*'Market Data'!$O$51/('Market Penetration'!J25*'Market Data'!$M$51))</f>
        <v>103405.31754280279</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26934.852978264855</v>
      </c>
      <c r="AK25" s="461">
        <f>IF('Market Penetration'!O25=0,0,1000*O25*'Market Data'!$Y$51/('Market Penetration'!O25*'Market Data'!$W$51))</f>
        <v>28842.611286415726</v>
      </c>
      <c r="AL25" s="461">
        <f>IF('Market Penetration'!P25=0,0,1000*P25*'Market Data'!$Y$51/('Market Penetration'!P25*'Market Data'!$W$51))</f>
        <v>31477.805683712155</v>
      </c>
      <c r="AM25" s="695">
        <f>IF('Market Penetration'!Q25=0,0,1000*Q25*'Market Data'!$Y$51/('Market Penetration'!Q25*'Market Data'!$W$51))</f>
        <v>82730.892601805142</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76095.773346245231</v>
      </c>
      <c r="AQ25" s="462">
        <f>IF('Market Penetration'!U25=0,0,1000*U25*('Market Data'!$E$51+'Market Data'!$O$51+'Market Data'!$Y$51)/('Market Penetration'!U25*('Market Data'!$C$51+'Market Data'!$M$51+'Market Data'!$W$51)))</f>
        <v>103495.97769276885</v>
      </c>
    </row>
    <row r="26" spans="1:43" ht="15" x14ac:dyDescent="0.25">
      <c r="A26" s="403">
        <v>2024</v>
      </c>
      <c r="B26" s="423">
        <f t="shared" si="12"/>
        <v>0.53721372238788789</v>
      </c>
      <c r="C26" s="424">
        <f>'7&amp;8 Sleep'!$M93+'7&amp;8 Sleep'!$Z93</f>
        <v>0.23407970340422238</v>
      </c>
      <c r="D26" s="424">
        <f>'7&amp;8 Sleep'!$M145+'7&amp;8 Sleep'!$Z145</f>
        <v>0.2140089344744249</v>
      </c>
      <c r="E26" s="700">
        <f>'7&amp;8 Sleep'!$M197+'7&amp;8 Sleep'!$Z197</f>
        <v>1.4697639733464853E-2</v>
      </c>
      <c r="F26" s="424">
        <f>'7&amp;8 Sleep'!$M250+'7&amp;8 Sleep'!$Z250</f>
        <v>0</v>
      </c>
      <c r="G26" s="658">
        <f>'7&amp;8 Sleep'!$M303+'7&amp;8 Sleep'!$Z303</f>
        <v>0</v>
      </c>
      <c r="H26" s="854">
        <f t="shared" si="13"/>
        <v>0.65744475895840726</v>
      </c>
      <c r="I26" s="658">
        <f>'7&amp;8 Day'!$M93+'7&amp;8 Day'!$Z93</f>
        <v>0.18169975015538664</v>
      </c>
      <c r="J26" s="658">
        <f>'7&amp;8 Day'!$M145+'7&amp;8 Day'!$Z145</f>
        <v>0.1608554908862061</v>
      </c>
      <c r="K26" s="658">
        <f>'7&amp;8 Day'!$M197+'7&amp;8 Day'!$Z197</f>
        <v>0</v>
      </c>
      <c r="L26" s="658">
        <f>'7&amp;8 Day'!$M250+'7&amp;8 Day'!$Z250</f>
        <v>0</v>
      </c>
      <c r="M26" s="705">
        <f>'7&amp;8 Day'!$M303+'7&amp;8 Day'!$Z303</f>
        <v>0</v>
      </c>
      <c r="N26" s="423">
        <f t="shared" si="14"/>
        <v>0.84618592713203267</v>
      </c>
      <c r="O26" s="424">
        <f>'7&amp;8 SU'!$M93+'7&amp;8 SU'!$Z93</f>
        <v>6.5339523550472497E-2</v>
      </c>
      <c r="P26" s="424">
        <f>'7&amp;8 SU'!$M145+'7&amp;8 SU'!$Z145</f>
        <v>6.928398392686777E-2</v>
      </c>
      <c r="Q26" s="700">
        <f>'7&amp;8 SU'!$M197+'7&amp;8 SU'!$Z197</f>
        <v>1.9190565390627103E-2</v>
      </c>
      <c r="R26" s="424">
        <f>'7&amp;8 SU'!$M250+'7&amp;8 SU'!$Z250</f>
        <v>0</v>
      </c>
      <c r="S26" s="658">
        <f>'7&amp;8 SU'!$M303+'7&amp;8 SU'!$Z303</f>
        <v>0</v>
      </c>
      <c r="T26" s="423">
        <f>B26*'Market Data'!$E$52+H26*'Market Data'!$O$52+N26*+N26*'Market Data'!$Y$52</f>
        <v>0.58233270463017794</v>
      </c>
      <c r="U26" s="425">
        <f>SUM(C26:G26)*'Market Data'!$E$52+SUM(I26:M26)*'Market Data'!$O$52+SUM(O26:S26)*+N26*'Market Data'!$Y$52</f>
        <v>0.40387349429660718</v>
      </c>
      <c r="W26" s="403">
        <v>2024</v>
      </c>
      <c r="X26" s="460">
        <f>IF('Market Penetration'!B26=0,0,1000*B26*'Market Data'!$E$51/('Market Penetration'!B26*'Market Data'!$C$51))</f>
        <v>110045.39016287623</v>
      </c>
      <c r="Y26" s="461">
        <f>IF('Market Penetration'!C26=0,0,1000*C26*'Market Data'!$E$51/('Market Penetration'!C26*'Market Data'!$C$51))</f>
        <v>116718.73879516614</v>
      </c>
      <c r="Z26" s="461">
        <f>IF('Market Penetration'!D26=0,0,1000*D26*'Market Data'!$E$51/('Market Penetration'!D26*'Market Data'!$C$51))</f>
        <v>120389.22141434654</v>
      </c>
      <c r="AA26" s="695">
        <f>IF('Market Penetration'!E26=0,0,1000*E26*'Market Data'!$E$51/('Market Penetration'!E26*'Market Data'!$C$51))</f>
        <v>173421.72761064945</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68027.918467592666</v>
      </c>
      <c r="AE26" s="461">
        <f>IF('Market Penetration'!I26=0,0,1000*I26*'Market Data'!$O$51/('Market Penetration'!I26*'Market Data'!$M$51))</f>
        <v>99151.446387871358</v>
      </c>
      <c r="AF26" s="461">
        <f>IF('Market Penetration'!J26=0,0,1000*J26*'Market Data'!$O$51/('Market Penetration'!J26*'Market Data'!$M$51))</f>
        <v>107762.01575616343</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26350.048149693652</v>
      </c>
      <c r="AK26" s="461">
        <f>IF('Market Penetration'!O26=0,0,1000*O26*'Market Data'!$Y$51/('Market Penetration'!O26*'Market Data'!$W$51))</f>
        <v>29114.148459672502</v>
      </c>
      <c r="AL26" s="461">
        <f>IF('Market Penetration'!P26=0,0,1000*P26*'Market Data'!$Y$51/('Market Penetration'!P26*'Market Data'!$W$51))</f>
        <v>33449.975860147235</v>
      </c>
      <c r="AM26" s="695">
        <f>IF('Market Penetration'!Q26=0,0,1000*Q26*'Market Data'!$Y$51/('Market Penetration'!Q26*'Market Data'!$W$51))</f>
        <v>75664.496373470814</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68665.661816902415</v>
      </c>
      <c r="AQ26" s="462">
        <f>IF('Market Penetration'!U26=0,0,1000*U26*('Market Data'!$E$51+'Market Data'!$O$51+'Market Data'!$Y$51)/('Market Penetration'!U26*('Market Data'!$C$51+'Market Data'!$M$51+'Market Data'!$W$51)))</f>
        <v>106295.96645092618</v>
      </c>
    </row>
    <row r="27" spans="1:43" ht="15" x14ac:dyDescent="0.25">
      <c r="A27" s="402">
        <v>2025</v>
      </c>
      <c r="B27" s="426">
        <f t="shared" si="12"/>
        <v>0.32930498108185902</v>
      </c>
      <c r="C27" s="427">
        <f>'7&amp;8 Sleep'!$M94+'7&amp;8 Sleep'!$Z94</f>
        <v>0.32003082479469375</v>
      </c>
      <c r="D27" s="427">
        <f>'7&amp;8 Sleep'!$M146+'7&amp;8 Sleep'!$Z146</f>
        <v>0.30415705069032811</v>
      </c>
      <c r="E27" s="701">
        <f>'7&amp;8 Sleep'!$M198+'7&amp;8 Sleep'!$Z198</f>
        <v>4.650714343311909E-2</v>
      </c>
      <c r="F27" s="427">
        <f>'7&amp;8 Sleep'!$M251+'7&amp;8 Sleep'!$Z251</f>
        <v>0</v>
      </c>
      <c r="G27" s="659">
        <f>'7&amp;8 Sleep'!$M304+'7&amp;8 Sleep'!$Z304</f>
        <v>0</v>
      </c>
      <c r="H27" s="855">
        <f t="shared" si="13"/>
        <v>0.51929954401133505</v>
      </c>
      <c r="I27" s="659">
        <f>'7&amp;8 Day'!$M94+'7&amp;8 Day'!$Z94</f>
        <v>0.24491310427716678</v>
      </c>
      <c r="J27" s="659">
        <f>'7&amp;8 Day'!$M146+'7&amp;8 Day'!$Z146</f>
        <v>0.23578735171149817</v>
      </c>
      <c r="K27" s="659">
        <f>'7&amp;8 Day'!$M198+'7&amp;8 Day'!$Z198</f>
        <v>0</v>
      </c>
      <c r="L27" s="659">
        <f>'7&amp;8 Day'!$M251+'7&amp;8 Day'!$Z251</f>
        <v>0</v>
      </c>
      <c r="M27" s="706">
        <f>'7&amp;8 Day'!$M304+'7&amp;8 Day'!$Z304</f>
        <v>0</v>
      </c>
      <c r="N27" s="426">
        <f t="shared" si="14"/>
        <v>0.76779440002046728</v>
      </c>
      <c r="O27" s="427">
        <f>'7&amp;8 SU'!$M94+'7&amp;8 SU'!$Z94</f>
        <v>7.8052861052232608E-2</v>
      </c>
      <c r="P27" s="427">
        <f>'7&amp;8 SU'!$M146+'7&amp;8 SU'!$Z146</f>
        <v>0.11058279215396324</v>
      </c>
      <c r="Q27" s="701">
        <f>'7&amp;8 SU'!$M198+'7&amp;8 SU'!$Z198</f>
        <v>4.3569706013330073E-2</v>
      </c>
      <c r="R27" s="427">
        <f>'7&amp;8 SU'!$M251+'7&amp;8 SU'!$Z251</f>
        <v>2.4076000682344484E-7</v>
      </c>
      <c r="S27" s="659">
        <f>'7&amp;8 SU'!$M304+'7&amp;8 SU'!$Z304</f>
        <v>0</v>
      </c>
      <c r="T27" s="426">
        <f>B27*'Market Data'!$E$52+H27*'Market Data'!$O$52+N27*+N27*'Market Data'!$Y$52</f>
        <v>0.39859782533473548</v>
      </c>
      <c r="U27" s="428">
        <f>SUM(C27:G27)*'Market Data'!$E$52+SUM(I27:M27)*'Market Data'!$O$52+SUM(O27:S27)*+N27*'Market Data'!$Y$52</f>
        <v>0.58057834629584337</v>
      </c>
      <c r="W27" s="402">
        <v>2025</v>
      </c>
      <c r="X27" s="463">
        <f>IF('Market Penetration'!B27=0,0,1000*B27*'Market Data'!$E$51/('Market Penetration'!B27*'Market Data'!$C$51))</f>
        <v>103101.88288152596</v>
      </c>
      <c r="Y27" s="464">
        <f>IF('Market Penetration'!C27=0,0,1000*C27*'Market Data'!$E$51/('Market Penetration'!C27*'Market Data'!$C$51))</f>
        <v>117311.35954096827</v>
      </c>
      <c r="Z27" s="464">
        <f>IF('Market Penetration'!D27=0,0,1000*D27*'Market Data'!$E$51/('Market Penetration'!D27*'Market Data'!$C$51))</f>
        <v>120373.21445797346</v>
      </c>
      <c r="AA27" s="696">
        <f>IF('Market Penetration'!E27=0,0,1000*E27*'Market Data'!$E$51/('Market Penetration'!E27*'Market Data'!$C$51))</f>
        <v>154593.18371270812</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61189.977771222664</v>
      </c>
      <c r="AE27" s="464">
        <f>IF('Market Penetration'!I27=0,0,1000*I27*'Market Data'!$O$51/('Market Penetration'!I27*'Market Data'!$M$51))</f>
        <v>106084.13042744042</v>
      </c>
      <c r="AF27" s="464">
        <f>IF('Market Penetration'!J27=0,0,1000*J27*'Market Data'!$O$51/('Market Penetration'!J27*'Market Data'!$M$51))</f>
        <v>107457.80783443533</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24632.781290264025</v>
      </c>
      <c r="AK27" s="464">
        <f>IF('Market Penetration'!O27=0,0,1000*O27*'Market Data'!$Y$51/('Market Penetration'!O27*'Market Data'!$W$51))</f>
        <v>36550.989954219876</v>
      </c>
      <c r="AL27" s="464">
        <f>IF('Market Penetration'!P27=0,0,1000*P27*'Market Data'!$Y$51/('Market Penetration'!P27*'Market Data'!$W$51))</f>
        <v>40320.372890409955</v>
      </c>
      <c r="AM27" s="696">
        <f>IF('Market Penetration'!Q27=0,0,1000*Q27*'Market Data'!$Y$51/('Market Penetration'!Q27*'Market Data'!$W$51))</f>
        <v>68642.177165138186</v>
      </c>
      <c r="AN27" s="464">
        <f>IF('Market Penetration'!R27=0,0,1000*R27*'Market Data'!$Y$51/('Market Penetration'!R27*'Market Data'!$W$51))</f>
        <v>225000</v>
      </c>
      <c r="AO27" s="691">
        <f>IF('Market Penetration'!S27=0,0,1000*S27*'Market Data'!$Y$51/('Market Penetration'!S27*'Market Data'!$W$51))</f>
        <v>0</v>
      </c>
      <c r="AP27" s="463">
        <f>IF('Market Penetration'!T27=0,0,1000*T27*('Market Data'!$E$51+'Market Data'!$O$51+'Market Data'!$Y$51)/('Market Penetration'!T27*('Market Data'!$C$51+'Market Data'!$M$51+'Market Data'!$W$51)))</f>
        <v>57080.754684424493</v>
      </c>
      <c r="AQ27" s="465">
        <f>IF('Market Penetration'!U27=0,0,1000*U27*('Market Data'!$E$51+'Market Data'!$O$51+'Market Data'!$Y$51)/('Market Penetration'!U27*('Market Data'!$C$51+'Market Data'!$M$51+'Market Data'!$W$51)))</f>
        <v>109601.71224934979</v>
      </c>
    </row>
    <row r="28" spans="1:43" ht="15" x14ac:dyDescent="0.25">
      <c r="A28" s="429">
        <v>2026</v>
      </c>
      <c r="B28" s="430">
        <f t="shared" si="12"/>
        <v>0.17420297366469117</v>
      </c>
      <c r="C28" s="431">
        <f>'7&amp;8 Sleep'!$M95+'7&amp;8 Sleep'!$Z95</f>
        <v>0.37221106219791716</v>
      </c>
      <c r="D28" s="431">
        <f>'7&amp;8 Sleep'!$M147+'7&amp;8 Sleep'!$Z147</f>
        <v>0.35924285493139468</v>
      </c>
      <c r="E28" s="702">
        <f>'7&amp;8 Sleep'!$M199+'7&amp;8 Sleep'!$Z199</f>
        <v>9.4343109205997006E-2</v>
      </c>
      <c r="F28" s="431">
        <f>'7&amp;8 Sleep'!$M252+'7&amp;8 Sleep'!$Z252</f>
        <v>0</v>
      </c>
      <c r="G28" s="660">
        <f>'7&amp;8 Sleep'!$M305+'7&amp;8 Sleep'!$Z305</f>
        <v>0</v>
      </c>
      <c r="H28" s="856">
        <f t="shared" si="13"/>
        <v>0.37849731245967355</v>
      </c>
      <c r="I28" s="660">
        <f>'7&amp;8 Day'!$M95+'7&amp;8 Day'!$Z95</f>
        <v>0.31613493348541155</v>
      </c>
      <c r="J28" s="660">
        <f>'7&amp;8 Day'!$M147+'7&amp;8 Day'!$Z147</f>
        <v>0.30536775405491495</v>
      </c>
      <c r="K28" s="660">
        <f>'7&amp;8 Day'!$M199+'7&amp;8 Day'!$Z199</f>
        <v>0</v>
      </c>
      <c r="L28" s="660">
        <f>'7&amp;8 Day'!$M252+'7&amp;8 Day'!$Z252</f>
        <v>0</v>
      </c>
      <c r="M28" s="707">
        <f>'7&amp;8 Day'!$M305+'7&amp;8 Day'!$Z305</f>
        <v>0</v>
      </c>
      <c r="N28" s="430">
        <f t="shared" si="14"/>
        <v>0.64460844030490638</v>
      </c>
      <c r="O28" s="431">
        <f>'7&amp;8 SU'!$M95+'7&amp;8 SU'!$Z95</f>
        <v>0.11105697750492893</v>
      </c>
      <c r="P28" s="431">
        <f>'7&amp;8 SU'!$M147+'7&amp;8 SU'!$Z147</f>
        <v>0.17495934965708332</v>
      </c>
      <c r="Q28" s="702">
        <f>'7&amp;8 SU'!$M199+'7&amp;8 SU'!$Z199</f>
        <v>6.9369406069800743E-2</v>
      </c>
      <c r="R28" s="431">
        <f>'7&amp;8 SU'!$M252+'7&amp;8 SU'!$Z252</f>
        <v>5.8264632806058969E-6</v>
      </c>
      <c r="S28" s="660">
        <f>'7&amp;8 SU'!$M305+'7&amp;8 SU'!$Z305</f>
        <v>0</v>
      </c>
      <c r="T28" s="433">
        <f>B28*'Market Data'!$E$52+H28*'Market Data'!$O$52+N28*+N28*'Market Data'!$Y$52</f>
        <v>0.24526114061836335</v>
      </c>
      <c r="U28" s="434">
        <f>SUM(C28:G28)*'Market Data'!$E$52+SUM(I28:M28)*'Market Data'!$O$52+SUM(O28:S28)*+N28*'Market Data'!$Y$52</f>
        <v>0.72286791034473241</v>
      </c>
      <c r="W28" s="429">
        <v>2026</v>
      </c>
      <c r="X28" s="466">
        <f>IF('Market Penetration'!B28=0,0,1000*B28*'Market Data'!$E$51/('Market Penetration'!B28*'Market Data'!$C$51))</f>
        <v>92894.593572038721</v>
      </c>
      <c r="Y28" s="467">
        <f>IF('Market Penetration'!C28=0,0,1000*C28*'Market Data'!$E$51/('Market Penetration'!C28*'Market Data'!$C$51))</f>
        <v>116236.57855490697</v>
      </c>
      <c r="Z28" s="467">
        <f>IF('Market Penetration'!D28=0,0,1000*D28*'Market Data'!$E$51/('Market Penetration'!D28*'Market Data'!$C$51))</f>
        <v>119022.66229535075</v>
      </c>
      <c r="AA28" s="697">
        <f>IF('Market Penetration'!E28=0,0,1000*E28*'Market Data'!$E$51/('Market Penetration'!E28*'Market Data'!$C$51))</f>
        <v>144275.77343266833</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54026.472674599499</v>
      </c>
      <c r="AE28" s="467">
        <f>IF('Market Penetration'!I28=0,0,1000*I28*'Market Data'!$O$51/('Market Penetration'!I28*'Market Data'!$M$51))</f>
        <v>103163.29142603854</v>
      </c>
      <c r="AF28" s="467">
        <f>IF('Market Penetration'!J28=0,0,1000*J28*'Market Data'!$O$51/('Market Penetration'!J28*'Market Data'!$M$51))</f>
        <v>104599.88605866068</v>
      </c>
      <c r="AG28" s="467">
        <f>IF('Market Penetration'!K28=0,0,1000*K28*'Market Data'!$O$51/('Market Penetration'!K28*'Market Data'!$M$51))</f>
        <v>0</v>
      </c>
      <c r="AH28" s="467">
        <f>IF('Market Penetration'!L28=0,0,1000*L28*'Market Data'!$O$51/('Market Penetration'!L28*'Market Data'!$M$51))</f>
        <v>0</v>
      </c>
      <c r="AI28" s="861">
        <f>IF('Market Penetration'!M28=0,0,1000*M28*'Market Data'!$O$51/('Market Penetration'!M28*'Market Data'!$M$51))</f>
        <v>0</v>
      </c>
      <c r="AJ28" s="466">
        <f>IF('Market Penetration'!N28=0,0,1000*N28*'Market Data'!$Y$51/('Market Penetration'!N28*'Market Data'!$W$51))</f>
        <v>22681.596529796465</v>
      </c>
      <c r="AK28" s="467">
        <f>IF('Market Penetration'!O28=0,0,1000*O28*'Market Data'!$Y$51/('Market Penetration'!O28*'Market Data'!$W$51))</f>
        <v>39633.707590859914</v>
      </c>
      <c r="AL28" s="467">
        <f>IF('Market Penetration'!P28=0,0,1000*P28*'Market Data'!$Y$51/('Market Penetration'!P28*'Market Data'!$W$51))</f>
        <v>39876.74656178648</v>
      </c>
      <c r="AM28" s="697">
        <f>IF('Market Penetration'!Q28=0,0,1000*Q28*'Market Data'!$Y$51/('Market Penetration'!Q28*'Market Data'!$W$51))</f>
        <v>64655.471292060378</v>
      </c>
      <c r="AN28" s="467">
        <f>IF('Market Penetration'!R28=0,0,1000*R28*'Market Data'!$Y$51/('Market Penetration'!R28*'Market Data'!$W$51))</f>
        <v>213935.09656851616</v>
      </c>
      <c r="AO28" s="692">
        <f>IF('Market Penetration'!S28=0,0,1000*S28*'Market Data'!$Y$51/('Market Penetration'!S28*'Market Data'!$W$51))</f>
        <v>0</v>
      </c>
      <c r="AP28" s="468">
        <f>IF('Market Penetration'!T28=0,0,1000*T28*('Market Data'!$E$51+'Market Data'!$O$51+'Market Data'!$Y$51)/('Market Penetration'!T28*('Market Data'!$C$51+'Market Data'!$M$51+'Market Data'!$W$51)))</f>
        <v>44619.034440878495</v>
      </c>
      <c r="AQ28" s="469">
        <f>IF('Market Penetration'!U28=0,0,1000*U28*('Market Data'!$E$51+'Market Data'!$O$51+'Market Data'!$Y$51)/('Market Penetration'!U28*('Market Data'!$C$51+'Market Data'!$M$51+'Market Data'!$W$51)))</f>
        <v>106563.72482378242</v>
      </c>
    </row>
    <row r="29" spans="1:43" ht="15" x14ac:dyDescent="0.25">
      <c r="A29" s="403">
        <v>2027</v>
      </c>
      <c r="B29" s="423">
        <f t="shared" si="12"/>
        <v>9.3943140241379841E-2</v>
      </c>
      <c r="C29" s="424">
        <f>'7&amp;8 Sleep'!$M96+'7&amp;8 Sleep'!$Z96</f>
        <v>0.38386662372896441</v>
      </c>
      <c r="D29" s="424">
        <f>'7&amp;8 Sleep'!$M148+'7&amp;8 Sleep'!$Z148</f>
        <v>0.37638927224236662</v>
      </c>
      <c r="E29" s="700">
        <f>'7&amp;8 Sleep'!$M200+'7&amp;8 Sleep'!$Z200</f>
        <v>0.1458009637872891</v>
      </c>
      <c r="F29" s="424">
        <f>'7&amp;8 Sleep'!$M253+'7&amp;8 Sleep'!$Z253</f>
        <v>0</v>
      </c>
      <c r="G29" s="658">
        <f>'7&amp;8 Sleep'!$M306+'7&amp;8 Sleep'!$Z306</f>
        <v>0</v>
      </c>
      <c r="H29" s="854">
        <f t="shared" si="13"/>
        <v>0.28902641912671156</v>
      </c>
      <c r="I29" s="658">
        <f>'7&amp;8 Day'!$M96+'7&amp;8 Day'!$Z96</f>
        <v>0.35934087386453212</v>
      </c>
      <c r="J29" s="658">
        <f>'7&amp;8 Day'!$M148+'7&amp;8 Day'!$Z148</f>
        <v>0.35163270700875637</v>
      </c>
      <c r="K29" s="658">
        <f>'7&amp;8 Day'!$M200+'7&amp;8 Day'!$Z200</f>
        <v>0</v>
      </c>
      <c r="L29" s="658">
        <f>'7&amp;8 Day'!$M253+'7&amp;8 Day'!$Z253</f>
        <v>0</v>
      </c>
      <c r="M29" s="705">
        <f>'7&amp;8 Day'!$M306+'7&amp;8 Day'!$Z306</f>
        <v>0</v>
      </c>
      <c r="N29" s="423">
        <f t="shared" si="14"/>
        <v>0.56196248354068823</v>
      </c>
      <c r="O29" s="424">
        <f>'7&amp;8 SU'!$M96+'7&amp;8 SU'!$Z96</f>
        <v>0.13382725559426678</v>
      </c>
      <c r="P29" s="424">
        <f>'7&amp;8 SU'!$M148+'7&amp;8 SU'!$Z148</f>
        <v>0.21188062850585943</v>
      </c>
      <c r="Q29" s="700">
        <f>'7&amp;8 SU'!$M200+'7&amp;8 SU'!$Z200</f>
        <v>9.2242160722989866E-2</v>
      </c>
      <c r="R29" s="424">
        <f>'7&amp;8 SU'!$M253+'7&amp;8 SU'!$Z253</f>
        <v>8.747163619574126E-5</v>
      </c>
      <c r="S29" s="658">
        <f>'7&amp;8 SU'!$M306+'7&amp;8 SU'!$Z306</f>
        <v>0</v>
      </c>
      <c r="T29" s="423">
        <f>B29*'Market Data'!$E$52+H29*'Market Data'!$O$52+N29*+N29*'Market Data'!$Y$52</f>
        <v>0.16102822623705268</v>
      </c>
      <c r="U29" s="425">
        <f>SUM(C29:G29)*'Market Data'!$E$52+SUM(I29:M29)*'Market Data'!$O$52+SUM(O29:S29)*+N29*'Market Data'!$Y$52</f>
        <v>0.7996892669546698</v>
      </c>
      <c r="W29" s="403">
        <v>2027</v>
      </c>
      <c r="X29" s="460">
        <f>IF('Market Penetration'!B29=0,0,1000*B29*'Market Data'!$E$51/('Market Penetration'!B29*'Market Data'!$C$51))</f>
        <v>79663.771842844173</v>
      </c>
      <c r="Y29" s="461">
        <f>IF('Market Penetration'!C29=0,0,1000*C29*'Market Data'!$E$51/('Market Penetration'!C29*'Market Data'!$C$51))</f>
        <v>115641.68750480979</v>
      </c>
      <c r="Z29" s="461">
        <f>IF('Market Penetration'!D29=0,0,1000*D29*'Market Data'!$E$51/('Market Penetration'!D29*'Market Data'!$C$51))</f>
        <v>117936.39694931834</v>
      </c>
      <c r="AA29" s="695">
        <f>IF('Market Penetration'!E29=0,0,1000*E29*'Market Data'!$E$51/('Market Penetration'!E29*'Market Data'!$C$51))</f>
        <v>137614.530124955</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48184.216580605549</v>
      </c>
      <c r="AE29" s="461">
        <f>IF('Market Penetration'!I29=0,0,1000*I29*'Market Data'!$O$51/('Market Penetration'!I29*'Market Data'!$M$51))</f>
        <v>101301.43946926644</v>
      </c>
      <c r="AF29" s="461">
        <f>IF('Market Penetration'!J29=0,0,1000*J29*'Market Data'!$O$51/('Market Penetration'!J29*'Market Data'!$M$51))</f>
        <v>102100.96201134604</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20840.558257391051</v>
      </c>
      <c r="AK29" s="461">
        <f>IF('Market Penetration'!O29=0,0,1000*O29*'Market Data'!$Y$51/('Market Penetration'!O29*'Market Data'!$W$51))</f>
        <v>45319.513393259833</v>
      </c>
      <c r="AL29" s="461">
        <f>IF('Market Penetration'!P29=0,0,1000*P29*'Market Data'!$Y$51/('Market Penetration'!P29*'Market Data'!$W$51))</f>
        <v>40491.528607055538</v>
      </c>
      <c r="AM29" s="695">
        <f>IF('Market Penetration'!Q29=0,0,1000*Q29*'Market Data'!$Y$51/('Market Penetration'!Q29*'Market Data'!$W$51))</f>
        <v>60233.4488516602</v>
      </c>
      <c r="AN29" s="461">
        <f>IF('Market Penetration'!R29=0,0,1000*R29*'Market Data'!$Y$51/('Market Penetration'!R29*'Market Data'!$W$51))</f>
        <v>187968.9196932294</v>
      </c>
      <c r="AO29" s="690">
        <f>IF('Market Penetration'!S29=0,0,1000*S29*'Market Data'!$Y$51/('Market Penetration'!S29*'Market Data'!$W$51))</f>
        <v>0</v>
      </c>
      <c r="AP29" s="460">
        <f>IF('Market Penetration'!T29=0,0,1000*T29*('Market Data'!$E$51+'Market Data'!$O$51+'Market Data'!$Y$51)/('Market Penetration'!T29*('Market Data'!$C$51+'Market Data'!$M$51+'Market Data'!$W$51)))</f>
        <v>34574.964997840012</v>
      </c>
      <c r="AQ29" s="462">
        <f>IF('Market Penetration'!U29=0,0,1000*U29*('Market Data'!$E$51+'Market Data'!$O$51+'Market Data'!$Y$51)/('Market Penetration'!U29*('Market Data'!$C$51+'Market Data'!$M$51+'Market Data'!$W$51)))</f>
        <v>104906.84515817436</v>
      </c>
    </row>
    <row r="30" spans="1:43" ht="15" x14ac:dyDescent="0.25">
      <c r="A30" s="403">
        <v>2028</v>
      </c>
      <c r="B30" s="423">
        <f t="shared" si="12"/>
        <v>5.3956193034973343E-2</v>
      </c>
      <c r="C30" s="424">
        <f>'7&amp;8 Sleep'!$M97+'7&amp;8 Sleep'!$Z97</f>
        <v>0.38323715901769356</v>
      </c>
      <c r="D30" s="424">
        <f>'7&amp;8 Sleep'!$M149+'7&amp;8 Sleep'!$Z149</f>
        <v>0.37704669248349726</v>
      </c>
      <c r="E30" s="700">
        <f>'7&amp;8 Sleep'!$M201+'7&amp;8 Sleep'!$Z201</f>
        <v>0.18575995546383584</v>
      </c>
      <c r="F30" s="424">
        <f>'7&amp;8 Sleep'!$M254+'7&amp;8 Sleep'!$Z254</f>
        <v>0</v>
      </c>
      <c r="G30" s="658">
        <f>'7&amp;8 Sleep'!$M307+'7&amp;8 Sleep'!$Z307</f>
        <v>0</v>
      </c>
      <c r="H30" s="854">
        <f t="shared" si="13"/>
        <v>0.24393814123311164</v>
      </c>
      <c r="I30" s="658">
        <f>'7&amp;8 Day'!$M97+'7&amp;8 Day'!$Z97</f>
        <v>0.38028058864394149</v>
      </c>
      <c r="J30" s="658">
        <f>'7&amp;8 Day'!$M149+'7&amp;8 Day'!$Z149</f>
        <v>0.37578127012294682</v>
      </c>
      <c r="K30" s="658">
        <f>'7&amp;8 Day'!$M201+'7&amp;8 Day'!$Z201</f>
        <v>0</v>
      </c>
      <c r="L30" s="658">
        <f>'7&amp;8 Day'!$M254+'7&amp;8 Day'!$Z254</f>
        <v>0</v>
      </c>
      <c r="M30" s="705">
        <f>'7&amp;8 Day'!$M307+'7&amp;8 Day'!$Z307</f>
        <v>0</v>
      </c>
      <c r="N30" s="423">
        <f t="shared" si="14"/>
        <v>0.50061034533856441</v>
      </c>
      <c r="O30" s="424">
        <f>'7&amp;8 SU'!$M97+'7&amp;8 SU'!$Z97</f>
        <v>0.15619173753521015</v>
      </c>
      <c r="P30" s="424">
        <f>'7&amp;8 SU'!$M149+'7&amp;8 SU'!$Z149</f>
        <v>0.233982227466492</v>
      </c>
      <c r="Q30" s="700">
        <f>'7&amp;8 SU'!$M201+'7&amp;8 SU'!$Z201</f>
        <v>0.10870297793477782</v>
      </c>
      <c r="R30" s="424">
        <f>'7&amp;8 SU'!$M254+'7&amp;8 SU'!$Z254</f>
        <v>5.1271172495559925E-4</v>
      </c>
      <c r="S30" s="658">
        <f>'7&amp;8 SU'!$M307+'7&amp;8 SU'!$Z307</f>
        <v>0</v>
      </c>
      <c r="T30" s="423">
        <f>B30*'Market Data'!$E$52+H30*'Market Data'!$O$52+N30*+N30*'Market Data'!$Y$52</f>
        <v>0.11754703655926772</v>
      </c>
      <c r="U30" s="425">
        <f>SUM(C30:G30)*'Market Data'!$E$52+SUM(I30:M30)*'Market Data'!$O$52+SUM(O30:S30)*+N30*'Market Data'!$Y$52</f>
        <v>0.83766849459480086</v>
      </c>
      <c r="W30" s="403">
        <v>2028</v>
      </c>
      <c r="X30" s="460">
        <f>IF('Market Penetration'!B30=0,0,1000*B30*'Market Data'!$E$51/('Market Penetration'!B30*'Market Data'!$C$51))</f>
        <v>64499.453005461524</v>
      </c>
      <c r="Y30" s="461">
        <f>IF('Market Penetration'!C30=0,0,1000*C30*'Market Data'!$E$51/('Market Penetration'!C30*'Market Data'!$C$51))</f>
        <v>115905.64574085592</v>
      </c>
      <c r="Z30" s="461">
        <f>IF('Market Penetration'!D30=0,0,1000*D30*'Market Data'!$E$51/('Market Penetration'!D30*'Market Data'!$C$51))</f>
        <v>117280.84856081038</v>
      </c>
      <c r="AA30" s="695">
        <f>IF('Market Penetration'!E30=0,0,1000*E30*'Market Data'!$E$51/('Market Penetration'!E30*'Market Data'!$C$51))</f>
        <v>133472.94433277292</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44898.854214139363</v>
      </c>
      <c r="AE30" s="461">
        <f>IF('Market Penetration'!I30=0,0,1000*I30*'Market Data'!$O$51/('Market Penetration'!I30*'Market Data'!$M$51))</f>
        <v>99744.477566847156</v>
      </c>
      <c r="AF30" s="461">
        <f>IF('Market Penetration'!J30=0,0,1000*J30*'Market Data'!$O$51/('Market Penetration'!J30*'Market Data'!$M$51))</f>
        <v>100369.73792561234</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19582.079657740738</v>
      </c>
      <c r="AK30" s="461">
        <f>IF('Market Penetration'!O30=0,0,1000*O30*'Market Data'!$Y$51/('Market Penetration'!O30*'Market Data'!$W$51))</f>
        <v>45268.941459021691</v>
      </c>
      <c r="AL30" s="461">
        <f>IF('Market Penetration'!P30=0,0,1000*P30*'Market Data'!$Y$51/('Market Penetration'!P30*'Market Data'!$W$51))</f>
        <v>40559.782462177332</v>
      </c>
      <c r="AM30" s="695">
        <f>IF('Market Penetration'!Q30=0,0,1000*Q30*'Market Data'!$Y$51/('Market Penetration'!Q30*'Market Data'!$W$51))</f>
        <v>57346.946614514527</v>
      </c>
      <c r="AN30" s="461">
        <f>IF('Market Penetration'!R30=0,0,1000*R30*'Market Data'!$Y$51/('Market Penetration'!R30*'Market Data'!$W$51))</f>
        <v>169174.00400780368</v>
      </c>
      <c r="AO30" s="690">
        <f>IF('Market Penetration'!S30=0,0,1000*S30*'Market Data'!$Y$51/('Market Penetration'!S30*'Market Data'!$W$51))</f>
        <v>0</v>
      </c>
      <c r="AP30" s="460">
        <f>IF('Market Penetration'!T30=0,0,1000*T30*('Market Data'!$E$51+'Market Data'!$O$51+'Market Data'!$Y$51)/('Market Penetration'!T30*('Market Data'!$C$51+'Market Data'!$M$51+'Market Data'!$W$51)))</f>
        <v>28215.907493756255</v>
      </c>
      <c r="AQ30" s="462">
        <f>IF('Market Penetration'!U30=0,0,1000*U30*('Market Data'!$E$51+'Market Data'!$O$51+'Market Data'!$Y$51)/('Market Penetration'!U30*('Market Data'!$C$51+'Market Data'!$M$51+'Market Data'!$W$51)))</f>
        <v>103234.48452822647</v>
      </c>
    </row>
    <row r="31" spans="1:43" ht="15" x14ac:dyDescent="0.25">
      <c r="A31" s="403">
        <v>2029</v>
      </c>
      <c r="B31" s="423">
        <f t="shared" si="12"/>
        <v>3.3909491436712846E-2</v>
      </c>
      <c r="C31" s="424">
        <f>'7&amp;8 Sleep'!$M98+'7&amp;8 Sleep'!$Z98</f>
        <v>0.37389084154667612</v>
      </c>
      <c r="D31" s="424">
        <f>'7&amp;8 Sleep'!$M150+'7&amp;8 Sleep'!$Z150</f>
        <v>0.37095685175224419</v>
      </c>
      <c r="E31" s="700">
        <f>'7&amp;8 Sleep'!$M202+'7&amp;8 Sleep'!$Z202</f>
        <v>0.22124281526436679</v>
      </c>
      <c r="F31" s="424">
        <f>'7&amp;8 Sleep'!$M255+'7&amp;8 Sleep'!$Z255</f>
        <v>0</v>
      </c>
      <c r="G31" s="658">
        <f>'7&amp;8 Sleep'!$M308+'7&amp;8 Sleep'!$Z308</f>
        <v>0</v>
      </c>
      <c r="H31" s="854">
        <f t="shared" si="13"/>
        <v>0.20883924113351782</v>
      </c>
      <c r="I31" s="658">
        <f>'7&amp;8 Day'!$M98+'7&amp;8 Day'!$Z98</f>
        <v>0.39582409665901946</v>
      </c>
      <c r="J31" s="658">
        <f>'7&amp;8 Day'!$M150+'7&amp;8 Day'!$Z150</f>
        <v>0.39533666220746277</v>
      </c>
      <c r="K31" s="658">
        <f>'7&amp;8 Day'!$M202+'7&amp;8 Day'!$Z202</f>
        <v>0</v>
      </c>
      <c r="L31" s="658">
        <f>'7&amp;8 Day'!$M255+'7&amp;8 Day'!$Z255</f>
        <v>0</v>
      </c>
      <c r="M31" s="705">
        <f>'7&amp;8 Day'!$M308+'7&amp;8 Day'!$Z308</f>
        <v>0</v>
      </c>
      <c r="N31" s="423">
        <f t="shared" si="14"/>
        <v>0.47007497427121225</v>
      </c>
      <c r="O31" s="424">
        <f>'7&amp;8 SU'!$M98+'7&amp;8 SU'!$Z98</f>
        <v>0.16648739574916838</v>
      </c>
      <c r="P31" s="424">
        <f>'7&amp;8 SU'!$M150+'7&amp;8 SU'!$Z150</f>
        <v>0.23748741566907439</v>
      </c>
      <c r="Q31" s="700">
        <f>'7&amp;8 SU'!$M202+'7&amp;8 SU'!$Z202</f>
        <v>0.12380060503683901</v>
      </c>
      <c r="R31" s="424">
        <f>'7&amp;8 SU'!$M255+'7&amp;8 SU'!$Z255</f>
        <v>2.14960927370598E-3</v>
      </c>
      <c r="S31" s="658">
        <f>'7&amp;8 SU'!$M308+'7&amp;8 SU'!$Z308</f>
        <v>0</v>
      </c>
      <c r="T31" s="423">
        <f>B31*'Market Data'!$E$52+H31*'Market Data'!$O$52+N31*+N31*'Market Data'!$Y$52</f>
        <v>9.2998990445105553E-2</v>
      </c>
      <c r="U31" s="425">
        <f>SUM(C31:G31)*'Market Data'!$E$52+SUM(I31:M31)*'Market Data'!$O$52+SUM(O31:S31)*+N31*'Market Data'!$Y$52</f>
        <v>0.85947817726570774</v>
      </c>
      <c r="W31" s="403">
        <v>2029</v>
      </c>
      <c r="X31" s="460">
        <f>IF('Market Penetration'!B31=0,0,1000*B31*'Market Data'!$E$51/('Market Penetration'!B31*'Market Data'!$C$51))</f>
        <v>52613.163545778378</v>
      </c>
      <c r="Y31" s="461">
        <f>IF('Market Penetration'!C31=0,0,1000*C31*'Market Data'!$E$51/('Market Penetration'!C31*'Market Data'!$C$51))</f>
        <v>115991.045552285</v>
      </c>
      <c r="Z31" s="461">
        <f>IF('Market Penetration'!D31=0,0,1000*D31*'Market Data'!$E$51/('Market Penetration'!D31*'Market Data'!$C$51))</f>
        <v>116741.98059112654</v>
      </c>
      <c r="AA31" s="695">
        <f>IF('Market Penetration'!E31=0,0,1000*E31*'Market Data'!$E$51/('Market Penetration'!E31*'Market Data'!$C$51))</f>
        <v>129828.84273257088</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42265.918610499531</v>
      </c>
      <c r="AE31" s="461">
        <f>IF('Market Penetration'!I31=0,0,1000*I31*'Market Data'!$O$51/('Market Penetration'!I31*'Market Data'!$M$51))</f>
        <v>98253.378500517647</v>
      </c>
      <c r="AF31" s="461">
        <f>IF('Market Penetration'!J31=0,0,1000*J31*'Market Data'!$O$51/('Market Penetration'!J31*'Market Data'!$M$51))</f>
        <v>98345.080816118279</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18791.020662087078</v>
      </c>
      <c r="AK31" s="461">
        <f>IF('Market Penetration'!O31=0,0,1000*O31*'Market Data'!$Y$51/('Market Penetration'!O31*'Market Data'!$W$51))</f>
        <v>46508.359163755762</v>
      </c>
      <c r="AL31" s="461">
        <f>IF('Market Penetration'!P31=0,0,1000*P31*'Market Data'!$Y$51/('Market Penetration'!P31*'Market Data'!$W$51))</f>
        <v>41120.343061377163</v>
      </c>
      <c r="AM31" s="695">
        <f>IF('Market Penetration'!Q31=0,0,1000*Q31*'Market Data'!$Y$51/('Market Penetration'!Q31*'Market Data'!$W$51))</f>
        <v>53886.988357373033</v>
      </c>
      <c r="AN31" s="461">
        <f>IF('Market Penetration'!R31=0,0,1000*R31*'Market Data'!$Y$51/('Market Penetration'!R31*'Market Data'!$W$51))</f>
        <v>154553.04025790485</v>
      </c>
      <c r="AO31" s="690">
        <f>IF('Market Penetration'!S31=0,0,1000*S31*'Market Data'!$Y$51/('Market Penetration'!S31*'Market Data'!$W$51))</f>
        <v>0</v>
      </c>
      <c r="AP31" s="460">
        <f>IF('Market Penetration'!T31=0,0,1000*T31*('Market Data'!$E$51+'Market Data'!$O$51+'Market Data'!$Y$51)/('Market Penetration'!T31*('Market Data'!$C$51+'Market Data'!$M$51+'Market Data'!$W$51)))</f>
        <v>24034.441793629801</v>
      </c>
      <c r="AQ31" s="462">
        <f>IF('Market Penetration'!U31=0,0,1000*U31*('Market Data'!$E$51+'Market Data'!$O$51+'Market Data'!$Y$51)/('Market Penetration'!U31*('Market Data'!$C$51+'Market Data'!$M$51+'Market Data'!$W$51)))</f>
        <v>102187.31368258268</v>
      </c>
    </row>
    <row r="32" spans="1:43" ht="15" x14ac:dyDescent="0.25">
      <c r="A32" s="402">
        <v>2030</v>
      </c>
      <c r="B32" s="426">
        <f t="shared" si="12"/>
        <v>2.5294774221335747E-2</v>
      </c>
      <c r="C32" s="427">
        <f>'7&amp;8 Sleep'!$M99+'7&amp;8 Sleep'!$Z99</f>
        <v>0.36387560916473871</v>
      </c>
      <c r="D32" s="427">
        <f>'7&amp;8 Sleep'!$M151+'7&amp;8 Sleep'!$Z151</f>
        <v>0.36259063855418261</v>
      </c>
      <c r="E32" s="701">
        <f>'7&amp;8 Sleep'!$M203+'7&amp;8 Sleep'!$Z203</f>
        <v>0.24823897805974293</v>
      </c>
      <c r="F32" s="427">
        <f>'7&amp;8 Sleep'!$M256+'7&amp;8 Sleep'!$Z256</f>
        <v>0</v>
      </c>
      <c r="G32" s="659">
        <f>'7&amp;8 Sleep'!$M309+'7&amp;8 Sleep'!$Z309</f>
        <v>0</v>
      </c>
      <c r="H32" s="855">
        <f t="shared" si="13"/>
        <v>0.18261206846606881</v>
      </c>
      <c r="I32" s="659">
        <f>'7&amp;8 Day'!$M99+'7&amp;8 Day'!$Z99</f>
        <v>0.41011895977572205</v>
      </c>
      <c r="J32" s="659">
        <f>'7&amp;8 Day'!$M151+'7&amp;8 Day'!$Z151</f>
        <v>0.40726897175820909</v>
      </c>
      <c r="K32" s="659">
        <f>'7&amp;8 Day'!$M203+'7&amp;8 Day'!$Z203</f>
        <v>0</v>
      </c>
      <c r="L32" s="659">
        <f>'7&amp;8 Day'!$M256+'7&amp;8 Day'!$Z256</f>
        <v>0</v>
      </c>
      <c r="M32" s="706">
        <f>'7&amp;8 Day'!$M309+'7&amp;8 Day'!$Z309</f>
        <v>0</v>
      </c>
      <c r="N32" s="426">
        <f t="shared" si="14"/>
        <v>0.45258250997345606</v>
      </c>
      <c r="O32" s="427">
        <f>'7&amp;8 SU'!$M99+'7&amp;8 SU'!$Z99</f>
        <v>0.17345029603653339</v>
      </c>
      <c r="P32" s="427">
        <f>'7&amp;8 SU'!$M151+'7&amp;8 SU'!$Z151</f>
        <v>0.23849206177514803</v>
      </c>
      <c r="Q32" s="701">
        <f>'7&amp;8 SU'!$M203+'7&amp;8 SU'!$Z203</f>
        <v>0.13061350865748439</v>
      </c>
      <c r="R32" s="427">
        <f>'7&amp;8 SU'!$M256+'7&amp;8 SU'!$Z256</f>
        <v>4.8616235573780871E-3</v>
      </c>
      <c r="S32" s="659">
        <f>'7&amp;8 SU'!$M309+'7&amp;8 SU'!$Z309</f>
        <v>0</v>
      </c>
      <c r="T32" s="426">
        <f>B32*'Market Data'!$E$52+H32*'Market Data'!$O$52+N32*+N32*'Market Data'!$Y$52</f>
        <v>7.9449139782271819E-2</v>
      </c>
      <c r="U32" s="428">
        <f>SUM(C32:G32)*'Market Data'!$E$52+SUM(I32:M32)*'Market Data'!$O$52+SUM(O32:S32)*+N32*'Market Data'!$Y$52</f>
        <v>0.87145933159078381</v>
      </c>
      <c r="W32" s="402">
        <v>2030</v>
      </c>
      <c r="X32" s="463">
        <f>IF('Market Penetration'!B32=0,0,1000*B32*'Market Data'!$E$51/('Market Penetration'!B32*'Market Data'!$C$51))</f>
        <v>45988.620976532438</v>
      </c>
      <c r="Y32" s="464">
        <f>IF('Market Penetration'!C32=0,0,1000*C32*'Market Data'!$E$51/('Market Penetration'!C32*'Market Data'!$C$51))</f>
        <v>115875.78307475701</v>
      </c>
      <c r="Z32" s="464">
        <f>IF('Market Penetration'!D32=0,0,1000*D32*'Market Data'!$E$51/('Market Penetration'!D32*'Market Data'!$C$51))</f>
        <v>116466.74024136551</v>
      </c>
      <c r="AA32" s="696">
        <f>IF('Market Penetration'!E32=0,0,1000*E32*'Market Data'!$E$51/('Market Penetration'!E32*'Market Data'!$C$51))</f>
        <v>127554.31785950426</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39987.743964506793</v>
      </c>
      <c r="AE32" s="464">
        <f>IF('Market Penetration'!I32=0,0,1000*I32*'Market Data'!$O$51/('Market Penetration'!I32*'Market Data'!$M$51))</f>
        <v>96917.580295401509</v>
      </c>
      <c r="AF32" s="464">
        <f>IF('Market Penetration'!J32=0,0,1000*J32*'Market Data'!$O$51/('Market Penetration'!J32*'Market Data'!$M$51))</f>
        <v>97171.243260529154</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18428.194952090227</v>
      </c>
      <c r="AK32" s="464">
        <f>IF('Market Penetration'!O32=0,0,1000*O32*'Market Data'!$Y$51/('Market Penetration'!O32*'Market Data'!$W$51))</f>
        <v>46143.925027453835</v>
      </c>
      <c r="AL32" s="464">
        <f>IF('Market Penetration'!P32=0,0,1000*P32*'Market Data'!$Y$51/('Market Penetration'!P32*'Market Data'!$W$51))</f>
        <v>40937.753214866767</v>
      </c>
      <c r="AM32" s="696">
        <f>IF('Market Penetration'!Q32=0,0,1000*Q32*'Market Data'!$Y$51/('Market Penetration'!Q32*'Market Data'!$W$51))</f>
        <v>52133.088433489247</v>
      </c>
      <c r="AN32" s="464">
        <f>IF('Market Penetration'!R32=0,0,1000*R32*'Market Data'!$Y$51/('Market Penetration'!R32*'Market Data'!$W$51))</f>
        <v>146608.31436427915</v>
      </c>
      <c r="AO32" s="691">
        <f>IF('Market Penetration'!S32=0,0,1000*S32*'Market Data'!$Y$51/('Market Penetration'!S32*'Market Data'!$W$51))</f>
        <v>0</v>
      </c>
      <c r="AP32" s="463">
        <f>IF('Market Penetration'!T32=0,0,1000*T32*('Market Data'!$E$51+'Market Data'!$O$51+'Market Data'!$Y$51)/('Market Penetration'!T32*('Market Data'!$C$51+'Market Data'!$M$51+'Market Data'!$W$51)))</f>
        <v>21620.373412247569</v>
      </c>
      <c r="AQ32" s="465">
        <f>IF('Market Penetration'!U32=0,0,1000*U32*('Market Data'!$E$51+'Market Data'!$O$51+'Market Data'!$Y$51)/('Market Penetration'!U32*('Market Data'!$C$51+'Market Data'!$M$51+'Market Data'!$W$51)))</f>
        <v>101267.93803407015</v>
      </c>
    </row>
    <row r="33" spans="1:43" ht="15" x14ac:dyDescent="0.25">
      <c r="A33" s="429">
        <v>2031</v>
      </c>
      <c r="B33" s="430">
        <f t="shared" si="12"/>
        <v>2.3608914712856421E-2</v>
      </c>
      <c r="C33" s="431">
        <f>'7&amp;8 Sleep'!$M100+'7&amp;8 Sleep'!$Z100</f>
        <v>0.36135814538912669</v>
      </c>
      <c r="D33" s="431">
        <f>'7&amp;8 Sleep'!$M152+'7&amp;8 Sleep'!$Z152</f>
        <v>0.36000433388482328</v>
      </c>
      <c r="E33" s="702">
        <f>'7&amp;8 Sleep'!$M204+'7&amp;8 Sleep'!$Z204</f>
        <v>0.2550286060131936</v>
      </c>
      <c r="F33" s="431">
        <f>'7&amp;8 Sleep'!$M257+'7&amp;8 Sleep'!$Z257</f>
        <v>0</v>
      </c>
      <c r="G33" s="660">
        <f>'7&amp;8 Sleep'!$M310+'7&amp;8 Sleep'!$Z310</f>
        <v>0</v>
      </c>
      <c r="H33" s="856">
        <f t="shared" si="13"/>
        <v>0.17951012660153931</v>
      </c>
      <c r="I33" s="660">
        <f>'7&amp;8 Day'!$M100+'7&amp;8 Day'!$Z100</f>
        <v>0.41031400350495784</v>
      </c>
      <c r="J33" s="660">
        <f>'7&amp;8 Day'!$M152+'7&amp;8 Day'!$Z152</f>
        <v>0.40990174154833692</v>
      </c>
      <c r="K33" s="660">
        <f>'7&amp;8 Day'!$M204+'7&amp;8 Day'!$Z204</f>
        <v>2.7412834516592536E-4</v>
      </c>
      <c r="L33" s="660">
        <f>'7&amp;8 Day'!$M257+'7&amp;8 Day'!$Z257</f>
        <v>0</v>
      </c>
      <c r="M33" s="707">
        <f>'7&amp;8 Day'!$M310+'7&amp;8 Day'!$Z310</f>
        <v>0</v>
      </c>
      <c r="N33" s="430">
        <f t="shared" si="14"/>
        <v>0.45019742585385181</v>
      </c>
      <c r="O33" s="431">
        <f>'7&amp;8 SU'!$M100+'7&amp;8 SU'!$Z100</f>
        <v>0.17347244738073697</v>
      </c>
      <c r="P33" s="431">
        <f>'7&amp;8 SU'!$M152+'7&amp;8 SU'!$Z152</f>
        <v>0.23574942891657152</v>
      </c>
      <c r="Q33" s="702">
        <f>'7&amp;8 SU'!$M204+'7&amp;8 SU'!$Z204</f>
        <v>0.13368788896175254</v>
      </c>
      <c r="R33" s="431">
        <f>'7&amp;8 SU'!$M257+'7&amp;8 SU'!$Z257</f>
        <v>6.892808887087095E-3</v>
      </c>
      <c r="S33" s="660">
        <f>'7&amp;8 SU'!$M310+'7&amp;8 SU'!$Z310</f>
        <v>0</v>
      </c>
      <c r="T33" s="433">
        <f>B33*'Market Data'!$E$52+H33*'Market Data'!$O$52+N33*+N33*'Market Data'!$Y$52</f>
        <v>7.7378829895071249E-2</v>
      </c>
      <c r="U33" s="434">
        <f>SUM(C33:G33)*'Market Data'!$E$52+SUM(I33:M33)*'Market Data'!$O$52+SUM(O33:S33)*+N33*'Market Data'!$Y$52</f>
        <v>0.87331575093289149</v>
      </c>
      <c r="W33" s="429">
        <v>2031</v>
      </c>
      <c r="X33" s="466">
        <f>IF('Market Penetration'!B33=0,0,1000*B33*'Market Data'!$E$51/('Market Penetration'!B33*'Market Data'!$C$51))</f>
        <v>44245.099940701468</v>
      </c>
      <c r="Y33" s="467">
        <f>IF('Market Penetration'!C33=0,0,1000*C33*'Market Data'!$E$51/('Market Penetration'!C33*'Market Data'!$C$51))</f>
        <v>115922.0361945288</v>
      </c>
      <c r="Z33" s="467">
        <f>IF('Market Penetration'!D33=0,0,1000*D33*'Market Data'!$E$51/('Market Penetration'!D33*'Market Data'!$C$51))</f>
        <v>116559.73038141846</v>
      </c>
      <c r="AA33" s="697">
        <f>IF('Market Penetration'!E33=0,0,1000*E33*'Market Data'!$E$51/('Market Penetration'!E33*'Market Data'!$C$51))</f>
        <v>126866.39264829697</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39783.038561861795</v>
      </c>
      <c r="AE33" s="467">
        <f>IF('Market Penetration'!I33=0,0,1000*I33*'Market Data'!$O$51/('Market Penetration'!I33*'Market Data'!$M$51))</f>
        <v>96708.139435058329</v>
      </c>
      <c r="AF33" s="467">
        <f>IF('Market Penetration'!J33=0,0,1000*J33*'Market Data'!$O$51/('Market Penetration'!J33*'Market Data'!$M$51))</f>
        <v>96827.947803402232</v>
      </c>
      <c r="AG33" s="467">
        <f>IF('Market Penetration'!K33=0,0,1000*K33*'Market Data'!$O$51/('Market Penetration'!K33*'Market Data'!$M$51))</f>
        <v>220692.86645905749</v>
      </c>
      <c r="AH33" s="467">
        <f>IF('Market Penetration'!L33=0,0,1000*L33*'Market Data'!$O$51/('Market Penetration'!L33*'Market Data'!$M$51))</f>
        <v>0</v>
      </c>
      <c r="AI33" s="861">
        <f>IF('Market Penetration'!M33=0,0,1000*M33*'Market Data'!$O$51/('Market Penetration'!M33*'Market Data'!$M$51))</f>
        <v>0</v>
      </c>
      <c r="AJ33" s="466">
        <f>IF('Market Penetration'!N33=0,0,1000*N33*'Market Data'!$Y$51/('Market Penetration'!N33*'Market Data'!$W$51))</f>
        <v>18373.36031476469</v>
      </c>
      <c r="AK33" s="467">
        <f>IF('Market Penetration'!O33=0,0,1000*O33*'Market Data'!$Y$51/('Market Penetration'!O33*'Market Data'!$W$51))</f>
        <v>45974.908696250648</v>
      </c>
      <c r="AL33" s="467">
        <f>IF('Market Penetration'!P33=0,0,1000*P33*'Market Data'!$Y$51/('Market Penetration'!P33*'Market Data'!$W$51))</f>
        <v>41013.375887480077</v>
      </c>
      <c r="AM33" s="697">
        <f>IF('Market Penetration'!Q33=0,0,1000*Q33*'Market Data'!$Y$51/('Market Penetration'!Q33*'Market Data'!$W$51))</f>
        <v>51232.400914145474</v>
      </c>
      <c r="AN33" s="467">
        <f>IF('Market Penetration'!R33=0,0,1000*R33*'Market Data'!$Y$51/('Market Penetration'!R33*'Market Data'!$W$51))</f>
        <v>140855.9715870865</v>
      </c>
      <c r="AO33" s="692">
        <f>IF('Market Penetration'!S33=0,0,1000*S33*'Market Data'!$Y$51/('Market Penetration'!S33*'Market Data'!$W$51))</f>
        <v>0</v>
      </c>
      <c r="AP33" s="468">
        <f>IF('Market Penetration'!T33=0,0,1000*T33*('Market Data'!$E$51+'Market Data'!$O$51+'Market Data'!$Y$51)/('Market Penetration'!T33*('Market Data'!$C$51+'Market Data'!$M$51+'Market Data'!$W$51)))</f>
        <v>21225.798274992128</v>
      </c>
      <c r="AQ33" s="469">
        <f>IF('Market Penetration'!U33=0,0,1000*U33*('Market Data'!$E$51+'Market Data'!$O$51+'Market Data'!$Y$51)/('Market Penetration'!U33*('Market Data'!$C$51+'Market Data'!$M$51+'Market Data'!$W$51)))</f>
        <v>101140.16710450743</v>
      </c>
    </row>
    <row r="34" spans="1:43" ht="15" x14ac:dyDescent="0.25">
      <c r="A34" s="403">
        <v>2032</v>
      </c>
      <c r="B34" s="423">
        <f t="shared" si="12"/>
        <v>2.3046292748828412E-2</v>
      </c>
      <c r="C34" s="424">
        <f>'7&amp;8 Sleep'!$M101+'7&amp;8 Sleep'!$Z101</f>
        <v>0.35900638091379689</v>
      </c>
      <c r="D34" s="424">
        <f>'7&amp;8 Sleep'!$M153+'7&amp;8 Sleep'!$Z153</f>
        <v>0.35793622457392354</v>
      </c>
      <c r="E34" s="700">
        <f>'7&amp;8 Sleep'!$M205+'7&amp;8 Sleep'!$Z205</f>
        <v>0.26001110176345121</v>
      </c>
      <c r="F34" s="424">
        <f>'7&amp;8 Sleep'!$M258+'7&amp;8 Sleep'!$Z258</f>
        <v>0</v>
      </c>
      <c r="G34" s="658">
        <f>'7&amp;8 Sleep'!$M311+'7&amp;8 Sleep'!$Z311</f>
        <v>0</v>
      </c>
      <c r="H34" s="854">
        <f t="shared" si="13"/>
        <v>0.17848621952703192</v>
      </c>
      <c r="I34" s="658">
        <f>'7&amp;8 Day'!$M101+'7&amp;8 Day'!$Z101</f>
        <v>0.40935197751134983</v>
      </c>
      <c r="J34" s="658">
        <f>'7&amp;8 Day'!$M153+'7&amp;8 Day'!$Z153</f>
        <v>0.40890725412529971</v>
      </c>
      <c r="K34" s="658">
        <f>'7&amp;8 Day'!$M205+'7&amp;8 Day'!$Z205</f>
        <v>3.2545488363185399E-3</v>
      </c>
      <c r="L34" s="658">
        <f>'7&amp;8 Day'!$M258+'7&amp;8 Day'!$Z258</f>
        <v>0</v>
      </c>
      <c r="M34" s="705">
        <f>'7&amp;8 Day'!$M311+'7&amp;8 Day'!$Z311</f>
        <v>0</v>
      </c>
      <c r="N34" s="423">
        <f t="shared" si="14"/>
        <v>0.43607267723088983</v>
      </c>
      <c r="O34" s="424">
        <f>'7&amp;8 SU'!$M101+'7&amp;8 SU'!$Z101</f>
        <v>0.17433492674083162</v>
      </c>
      <c r="P34" s="424">
        <f>'7&amp;8 SU'!$M153+'7&amp;8 SU'!$Z153</f>
        <v>0.24553718883674208</v>
      </c>
      <c r="Q34" s="700">
        <f>'7&amp;8 SU'!$M205+'7&amp;8 SU'!$Z205</f>
        <v>0.13476914060235012</v>
      </c>
      <c r="R34" s="424">
        <f>'7&amp;8 SU'!$M258+'7&amp;8 SU'!$Z258</f>
        <v>9.2860665891862752E-3</v>
      </c>
      <c r="S34" s="658">
        <f>'7&amp;8 SU'!$M311+'7&amp;8 SU'!$Z311</f>
        <v>0</v>
      </c>
      <c r="T34" s="423">
        <f>B34*'Market Data'!$E$52+H34*'Market Data'!$O$52+N34*+N34*'Market Data'!$Y$52</f>
        <v>7.5632456625670128E-2</v>
      </c>
      <c r="U34" s="425">
        <f>SUM(C34:G34)*'Market Data'!$E$52+SUM(I34:M34)*'Market Data'!$O$52+SUM(O34:S34)*+N34*'Market Data'!$Y$52</f>
        <v>0.87379543924244785</v>
      </c>
      <c r="W34" s="403">
        <v>2032</v>
      </c>
      <c r="X34" s="460">
        <f>IF('Market Penetration'!B34=0,0,1000*B34*'Market Data'!$E$51/('Market Penetration'!B34*'Market Data'!$C$51))</f>
        <v>43577.337902160471</v>
      </c>
      <c r="Y34" s="461">
        <f>IF('Market Penetration'!C34=0,0,1000*C34*'Market Data'!$E$51/('Market Penetration'!C34*'Market Data'!$C$51))</f>
        <v>116129.90458775463</v>
      </c>
      <c r="Z34" s="461">
        <f>IF('Market Penetration'!D34=0,0,1000*D34*'Market Data'!$E$51/('Market Penetration'!D34*'Market Data'!$C$51))</f>
        <v>116607.03003891207</v>
      </c>
      <c r="AA34" s="695">
        <f>IF('Market Penetration'!E34=0,0,1000*E34*'Market Data'!$E$51/('Market Penetration'!E34*'Market Data'!$C$51))</f>
        <v>126233.20844848501</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39740.539048784653</v>
      </c>
      <c r="AE34" s="461">
        <f>IF('Market Penetration'!I34=0,0,1000*I34*'Market Data'!$O$51/('Market Penetration'!I34*'Market Data'!$M$51))</f>
        <v>96394.491488543761</v>
      </c>
      <c r="AF34" s="461">
        <f>IF('Market Penetration'!J34=0,0,1000*J34*'Market Data'!$O$51/('Market Penetration'!J34*'Market Data'!$M$51))</f>
        <v>96520.629031683115</v>
      </c>
      <c r="AG34" s="461">
        <f>IF('Market Penetration'!K34=0,0,1000*K34*'Market Data'!$O$51/('Market Penetration'!K34*'Market Data'!$M$51))</f>
        <v>214383.41559426425</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18154.495122290082</v>
      </c>
      <c r="AK34" s="461">
        <f>IF('Market Penetration'!O34=0,0,1000*O34*'Market Data'!$Y$51/('Market Penetration'!O34*'Market Data'!$W$51))</f>
        <v>45568.695106268948</v>
      </c>
      <c r="AL34" s="461">
        <f>IF('Market Penetration'!P34=0,0,1000*P34*'Market Data'!$Y$51/('Market Penetration'!P34*'Market Data'!$W$51))</f>
        <v>40156.220507793543</v>
      </c>
      <c r="AM34" s="695">
        <f>IF('Market Penetration'!Q34=0,0,1000*Q34*'Market Data'!$Y$51/('Market Penetration'!Q34*'Market Data'!$W$51))</f>
        <v>50804.460078802171</v>
      </c>
      <c r="AN34" s="461">
        <f>IF('Market Penetration'!R34=0,0,1000*R34*'Market Data'!$Y$51/('Market Penetration'!R34*'Market Data'!$W$51))</f>
        <v>133989.76020584244</v>
      </c>
      <c r="AO34" s="690">
        <f>IF('Market Penetration'!S34=0,0,1000*S34*'Market Data'!$Y$51/('Market Penetration'!S34*'Market Data'!$W$51))</f>
        <v>0</v>
      </c>
      <c r="AP34" s="460">
        <f>IF('Market Penetration'!T34=0,0,1000*T34*('Market Data'!$E$51+'Market Data'!$O$51+'Market Data'!$Y$51)/('Market Penetration'!T34*('Market Data'!$C$51+'Market Data'!$M$51+'Market Data'!$W$51)))</f>
        <v>21044.105353265863</v>
      </c>
      <c r="AQ34" s="462">
        <f>IF('Market Penetration'!U34=0,0,1000*U34*('Market Data'!$E$51+'Market Data'!$O$51+'Market Data'!$Y$51)/('Market Penetration'!U34*('Market Data'!$C$51+'Market Data'!$M$51+'Market Data'!$W$51)))</f>
        <v>100595.60590673768</v>
      </c>
    </row>
    <row r="35" spans="1:43" ht="15" x14ac:dyDescent="0.25">
      <c r="A35" s="403">
        <v>2033</v>
      </c>
      <c r="B35" s="423">
        <f t="shared" si="12"/>
        <v>2.2680947452636602E-2</v>
      </c>
      <c r="C35" s="424">
        <f>'7&amp;8 Sleep'!$M102+'7&amp;8 Sleep'!$Z102</f>
        <v>0.35748906610939191</v>
      </c>
      <c r="D35" s="424">
        <f>'7&amp;8 Sleep'!$M154+'7&amp;8 Sleep'!$Z154</f>
        <v>0.35683579288134615</v>
      </c>
      <c r="E35" s="700">
        <f>'7&amp;8 Sleep'!$M206+'7&amp;8 Sleep'!$Z206</f>
        <v>0.2629941935566254</v>
      </c>
      <c r="F35" s="424">
        <f>'7&amp;8 Sleep'!$M259+'7&amp;8 Sleep'!$Z259</f>
        <v>0</v>
      </c>
      <c r="G35" s="658">
        <f>'7&amp;8 Sleep'!$M312+'7&amp;8 Sleep'!$Z312</f>
        <v>0</v>
      </c>
      <c r="H35" s="854">
        <f t="shared" si="13"/>
        <v>0.17566912499077381</v>
      </c>
      <c r="I35" s="658">
        <f>'7&amp;8 Day'!$M102+'7&amp;8 Day'!$Z102</f>
        <v>0.40717893697532564</v>
      </c>
      <c r="J35" s="658">
        <f>'7&amp;8 Day'!$M154+'7&amp;8 Day'!$Z154</f>
        <v>0.40564894353909908</v>
      </c>
      <c r="K35" s="658">
        <f>'7&amp;8 Day'!$M206+'7&amp;8 Day'!$Z206</f>
        <v>1.1502994494801525E-2</v>
      </c>
      <c r="L35" s="658">
        <f>'7&amp;8 Day'!$M259+'7&amp;8 Day'!$Z259</f>
        <v>0</v>
      </c>
      <c r="M35" s="705">
        <f>'7&amp;8 Day'!$M312+'7&amp;8 Day'!$Z312</f>
        <v>0</v>
      </c>
      <c r="N35" s="423">
        <f t="shared" si="14"/>
        <v>0.4357477276254641</v>
      </c>
      <c r="O35" s="424">
        <f>'7&amp;8 SU'!$M102+'7&amp;8 SU'!$Z102</f>
        <v>0.17643716877605919</v>
      </c>
      <c r="P35" s="424">
        <f>'7&amp;8 SU'!$M154+'7&amp;8 SU'!$Z154</f>
        <v>0.2416981613018726</v>
      </c>
      <c r="Q35" s="700">
        <f>'7&amp;8 SU'!$M206+'7&amp;8 SU'!$Z206</f>
        <v>0.13377000745235562</v>
      </c>
      <c r="R35" s="424">
        <f>'7&amp;8 SU'!$M259+'7&amp;8 SU'!$Z259</f>
        <v>1.2346934844248529E-2</v>
      </c>
      <c r="S35" s="658">
        <f>'7&amp;8 SU'!$M312+'7&amp;8 SU'!$Z312</f>
        <v>0</v>
      </c>
      <c r="T35" s="423">
        <f>B35*'Market Data'!$E$52+H35*'Market Data'!$O$52+N35*+N35*'Market Data'!$Y$52</f>
        <v>7.4681409854570877E-2</v>
      </c>
      <c r="U35" s="425">
        <f>SUM(C35:G35)*'Market Data'!$E$52+SUM(I35:M35)*'Market Data'!$O$52+SUM(O35:S35)*+N35*'Market Data'!$Y$52</f>
        <v>0.87471734505048393</v>
      </c>
      <c r="W35" s="403">
        <v>2033</v>
      </c>
      <c r="X35" s="460">
        <f>IF('Market Penetration'!B35=0,0,1000*B35*'Market Data'!$E$51/('Market Penetration'!B35*'Market Data'!$C$51))</f>
        <v>43492.193203624956</v>
      </c>
      <c r="Y35" s="461">
        <f>IF('Market Penetration'!C35=0,0,1000*C35*'Market Data'!$E$51/('Market Penetration'!C35*'Market Data'!$C$51))</f>
        <v>116015.34787902626</v>
      </c>
      <c r="Z35" s="461">
        <f>IF('Market Penetration'!D35=0,0,1000*D35*'Market Data'!$E$51/('Market Penetration'!D35*'Market Data'!$C$51))</f>
        <v>116539.75388836346</v>
      </c>
      <c r="AA35" s="695">
        <f>IF('Market Penetration'!E35=0,0,1000*E35*'Market Data'!$E$51/('Market Penetration'!E35*'Market Data'!$C$51))</f>
        <v>126146.63314700933</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39479.841651545517</v>
      </c>
      <c r="AE35" s="461">
        <f>IF('Market Penetration'!I35=0,0,1000*I35*'Market Data'!$O$51/('Market Penetration'!I35*'Market Data'!$M$51))</f>
        <v>95761.817609142076</v>
      </c>
      <c r="AF35" s="461">
        <f>IF('Market Penetration'!J35=0,0,1000*J35*'Market Data'!$O$51/('Market Penetration'!J35*'Market Data'!$M$51))</f>
        <v>95907.472653586403</v>
      </c>
      <c r="AG35" s="461">
        <f>IF('Market Penetration'!K35=0,0,1000*K35*'Market Data'!$O$51/('Market Penetration'!K35*'Market Data'!$M$51))</f>
        <v>196957.50764611439</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18146.47906628573</v>
      </c>
      <c r="AK35" s="461">
        <f>IF('Market Penetration'!O35=0,0,1000*O35*'Market Data'!$Y$51/('Market Penetration'!O35*'Market Data'!$W$51))</f>
        <v>45125.046786422907</v>
      </c>
      <c r="AL35" s="461">
        <f>IF('Market Penetration'!P35=0,0,1000*P35*'Market Data'!$Y$51/('Market Penetration'!P35*'Market Data'!$W$51))</f>
        <v>40198.768720104352</v>
      </c>
      <c r="AM35" s="695">
        <f>IF('Market Penetration'!Q35=0,0,1000*Q35*'Market Data'!$Y$51/('Market Penetration'!Q35*'Market Data'!$W$51))</f>
        <v>50504.666326426028</v>
      </c>
      <c r="AN35" s="461">
        <f>IF('Market Penetration'!R35=0,0,1000*R35*'Market Data'!$Y$51/('Market Penetration'!R35*'Market Data'!$W$51))</f>
        <v>125463.94691805168</v>
      </c>
      <c r="AO35" s="690">
        <f>IF('Market Penetration'!S35=0,0,1000*S35*'Market Data'!$Y$51/('Market Penetration'!S35*'Market Data'!$W$51))</f>
        <v>0</v>
      </c>
      <c r="AP35" s="460">
        <f>IF('Market Penetration'!T35=0,0,1000*T35*('Market Data'!$E$51+'Market Data'!$O$51+'Market Data'!$Y$51)/('Market Penetration'!T35*('Market Data'!$C$51+'Market Data'!$M$51+'Market Data'!$W$51)))</f>
        <v>20870.443711203217</v>
      </c>
      <c r="AQ35" s="462">
        <f>IF('Market Penetration'!U35=0,0,1000*U35*('Market Data'!$E$51+'Market Data'!$O$51+'Market Data'!$Y$51)/('Market Penetration'!U35*('Market Data'!$C$51+'Market Data'!$M$51+'Market Data'!$W$51)))</f>
        <v>100520.47406284942</v>
      </c>
    </row>
    <row r="36" spans="1:43" ht="15" x14ac:dyDescent="0.25">
      <c r="A36" s="403">
        <v>2034</v>
      </c>
      <c r="B36" s="423">
        <f t="shared" si="12"/>
        <v>2.2217909393413393E-2</v>
      </c>
      <c r="C36" s="424">
        <f>'7&amp;8 Sleep'!$M103+'7&amp;8 Sleep'!$Z103</f>
        <v>0.35621148460459251</v>
      </c>
      <c r="D36" s="424">
        <f>'7&amp;8 Sleep'!$M155+'7&amp;8 Sleep'!$Z155</f>
        <v>0.35557607389685175</v>
      </c>
      <c r="E36" s="700">
        <f>'7&amp;8 Sleep'!$M207+'7&amp;8 Sleep'!$Z207</f>
        <v>0.26599453210514229</v>
      </c>
      <c r="F36" s="424">
        <f>'7&amp;8 Sleep'!$M260+'7&amp;8 Sleep'!$Z260</f>
        <v>0</v>
      </c>
      <c r="G36" s="658">
        <f>'7&amp;8 Sleep'!$M313+'7&amp;8 Sleep'!$Z313</f>
        <v>0</v>
      </c>
      <c r="H36" s="854">
        <f t="shared" si="13"/>
        <v>0.17560482196216576</v>
      </c>
      <c r="I36" s="658">
        <f>'7&amp;8 Day'!$M103+'7&amp;8 Day'!$Z103</f>
        <v>0.3982791081486235</v>
      </c>
      <c r="J36" s="658">
        <f>'7&amp;8 Day'!$M155+'7&amp;8 Day'!$Z155</f>
        <v>0.39810064548787327</v>
      </c>
      <c r="K36" s="658">
        <f>'7&amp;8 Day'!$M207+'7&amp;8 Day'!$Z207</f>
        <v>2.8015424401337488E-2</v>
      </c>
      <c r="L36" s="658">
        <f>'7&amp;8 Day'!$M260+'7&amp;8 Day'!$Z260</f>
        <v>0</v>
      </c>
      <c r="M36" s="705">
        <f>'7&amp;8 Day'!$M313+'7&amp;8 Day'!$Z313</f>
        <v>0</v>
      </c>
      <c r="N36" s="423">
        <f t="shared" si="14"/>
        <v>0.43559013682387371</v>
      </c>
      <c r="O36" s="424">
        <f>'7&amp;8 SU'!$M103+'7&amp;8 SU'!$Z103</f>
        <v>0.17533645554890201</v>
      </c>
      <c r="P36" s="424">
        <f>'7&amp;8 SU'!$M155+'7&amp;8 SU'!$Z155</f>
        <v>0.2406267113811808</v>
      </c>
      <c r="Q36" s="700">
        <f>'7&amp;8 SU'!$M207+'7&amp;8 SU'!$Z207</f>
        <v>0.13249989333622131</v>
      </c>
      <c r="R36" s="424">
        <f>'7&amp;8 SU'!$M260+'7&amp;8 SU'!$Z260</f>
        <v>1.5946802909822179E-2</v>
      </c>
      <c r="S36" s="658">
        <f>'7&amp;8 SU'!$M313+'7&amp;8 SU'!$Z313</f>
        <v>0</v>
      </c>
      <c r="T36" s="423">
        <f>B36*'Market Data'!$E$52+H36*'Market Data'!$O$52+N36*+N36*'Market Data'!$Y$52</f>
        <v>7.4344033087113653E-2</v>
      </c>
      <c r="U36" s="425">
        <f>SUM(C36:G36)*'Market Data'!$E$52+SUM(I36:M36)*'Market Data'!$O$52+SUM(O36:S36)*+N36*'Market Data'!$Y$52</f>
        <v>0.87504058932585127</v>
      </c>
      <c r="W36" s="403">
        <v>2034</v>
      </c>
      <c r="X36" s="460">
        <f>IF('Market Penetration'!B36=0,0,1000*B36*'Market Data'!$E$51/('Market Penetration'!B36*'Market Data'!$C$51))</f>
        <v>43298.679867662671</v>
      </c>
      <c r="Y36" s="461">
        <f>IF('Market Penetration'!C36=0,0,1000*C36*'Market Data'!$E$51/('Market Penetration'!C36*'Market Data'!$C$51))</f>
        <v>116024.15063511758</v>
      </c>
      <c r="Z36" s="461">
        <f>IF('Market Penetration'!D36=0,0,1000*D36*'Market Data'!$E$51/('Market Penetration'!D36*'Market Data'!$C$51))</f>
        <v>116591.99410266361</v>
      </c>
      <c r="AA36" s="695">
        <f>IF('Market Penetration'!E36=0,0,1000*E36*'Market Data'!$E$51/('Market Penetration'!E36*'Market Data'!$C$51))</f>
        <v>125669.82432469926</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39471.299671386878</v>
      </c>
      <c r="AE36" s="461">
        <f>IF('Market Penetration'!I36=0,0,1000*I36*'Market Data'!$O$51/('Market Penetration'!I36*'Market Data'!$M$51))</f>
        <v>95034.797454408559</v>
      </c>
      <c r="AF36" s="461">
        <f>IF('Market Penetration'!J36=0,0,1000*J36*'Market Data'!$O$51/('Market Penetration'!J36*'Market Data'!$M$51))</f>
        <v>95034.797454408559</v>
      </c>
      <c r="AG36" s="461">
        <f>IF('Market Penetration'!K36=0,0,1000*K36*'Market Data'!$O$51/('Market Penetration'!K36*'Market Data'!$M$51))</f>
        <v>174249.71255497739</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18144.277529748899</v>
      </c>
      <c r="AK36" s="461">
        <f>IF('Market Penetration'!O36=0,0,1000*O36*'Market Data'!$Y$51/('Market Penetration'!O36*'Market Data'!$W$51))</f>
        <v>44965.181327331615</v>
      </c>
      <c r="AL36" s="461">
        <f>IF('Market Penetration'!P36=0,0,1000*P36*'Market Data'!$Y$51/('Market Penetration'!P36*'Market Data'!$W$51))</f>
        <v>40067.357936003857</v>
      </c>
      <c r="AM36" s="695">
        <f>IF('Market Penetration'!Q36=0,0,1000*Q36*'Market Data'!$Y$51/('Market Penetration'!Q36*'Market Data'!$W$51))</f>
        <v>50304.225843155051</v>
      </c>
      <c r="AN36" s="461">
        <f>IF('Market Penetration'!R36=0,0,1000*R36*'Market Data'!$Y$51/('Market Penetration'!R36*'Market Data'!$W$51))</f>
        <v>116846.5086150764</v>
      </c>
      <c r="AO36" s="690">
        <f>IF('Market Penetration'!S36=0,0,1000*S36*'Market Data'!$Y$51/('Market Penetration'!S36*'Market Data'!$W$51))</f>
        <v>0</v>
      </c>
      <c r="AP36" s="460">
        <f>IF('Market Penetration'!T36=0,0,1000*T36*('Market Data'!$E$51+'Market Data'!$O$51+'Market Data'!$Y$51)/('Market Penetration'!T36*('Market Data'!$C$51+'Market Data'!$M$51+'Market Data'!$W$51)))</f>
        <v>20812.623151243421</v>
      </c>
      <c r="AQ36" s="462">
        <f>IF('Market Penetration'!U36=0,0,1000*U36*('Market Data'!$E$51+'Market Data'!$O$51+'Market Data'!$Y$51)/('Market Penetration'!U36*('Market Data'!$C$51+'Market Data'!$M$51+'Market Data'!$W$51)))</f>
        <v>100485.22843343136</v>
      </c>
    </row>
    <row r="37" spans="1:43" ht="15" x14ac:dyDescent="0.25">
      <c r="A37" s="402">
        <v>2035</v>
      </c>
      <c r="B37" s="426">
        <f t="shared" si="12"/>
        <v>1.9942156445476922E-2</v>
      </c>
      <c r="C37" s="427">
        <f>'7&amp;8 Sleep'!$M104+'7&amp;8 Sleep'!$Z104</f>
        <v>0.35712459738436131</v>
      </c>
      <c r="D37" s="427">
        <f>'7&amp;8 Sleep'!$M156+'7&amp;8 Sleep'!$Z156</f>
        <v>0.35562988634477566</v>
      </c>
      <c r="E37" s="701">
        <f>'7&amp;8 Sleep'!$M208+'7&amp;8 Sleep'!$Z208</f>
        <v>0.26730335982538606</v>
      </c>
      <c r="F37" s="427">
        <f>'7&amp;8 Sleep'!$M261+'7&amp;8 Sleep'!$Z261</f>
        <v>0</v>
      </c>
      <c r="G37" s="659">
        <f>'7&amp;8 Sleep'!$M314+'7&amp;8 Sleep'!$Z314</f>
        <v>0</v>
      </c>
      <c r="H37" s="855">
        <f t="shared" si="13"/>
        <v>0.17167473289263235</v>
      </c>
      <c r="I37" s="659">
        <f>'7&amp;8 Day'!$M104+'7&amp;8 Day'!$Z104</f>
        <v>0.38630591195633551</v>
      </c>
      <c r="J37" s="659">
        <f>'7&amp;8 Day'!$M156+'7&amp;8 Day'!$Z156</f>
        <v>0.38515300627467541</v>
      </c>
      <c r="K37" s="659">
        <f>'7&amp;8 Day'!$M208+'7&amp;8 Day'!$Z208</f>
        <v>5.6866348876356686E-2</v>
      </c>
      <c r="L37" s="659">
        <f>'7&amp;8 Day'!$M261+'7&amp;8 Day'!$Z261</f>
        <v>0</v>
      </c>
      <c r="M37" s="706">
        <f>'7&amp;8 Day'!$M314+'7&amp;8 Day'!$Z314</f>
        <v>0</v>
      </c>
      <c r="N37" s="426">
        <f t="shared" si="14"/>
        <v>0.43233054801508952</v>
      </c>
      <c r="O37" s="427">
        <f>'7&amp;8 SU'!$M104+'7&amp;8 SU'!$Z104</f>
        <v>0.17495842456174648</v>
      </c>
      <c r="P37" s="427">
        <f>'7&amp;8 SU'!$M156+'7&amp;8 SU'!$Z156</f>
        <v>0.23873639368503896</v>
      </c>
      <c r="Q37" s="701">
        <f>'7&amp;8 SU'!$M208+'7&amp;8 SU'!$Z208</f>
        <v>0.13285325442240351</v>
      </c>
      <c r="R37" s="427">
        <f>'7&amp;8 SU'!$M261+'7&amp;8 SU'!$Z261</f>
        <v>2.1112633935323769E-2</v>
      </c>
      <c r="S37" s="659">
        <f>'7&amp;8 SU'!$M314+'7&amp;8 SU'!$Z314</f>
        <v>8.7453803977802377E-6</v>
      </c>
      <c r="T37" s="426">
        <f>B37*'Market Data'!$E$52+H37*'Market Data'!$O$52+N37*+N37*'Market Data'!$Y$52</f>
        <v>7.1618488792035778E-2</v>
      </c>
      <c r="U37" s="428">
        <f>SUM(C37:G37)*'Market Data'!$E$52+SUM(I37:M37)*'Market Data'!$O$52+SUM(O37:S37)*+N37*'Market Data'!$Y$52</f>
        <v>0.87747381888814491</v>
      </c>
      <c r="W37" s="402">
        <v>2035</v>
      </c>
      <c r="X37" s="463">
        <f>IF('Market Penetration'!B37=0,0,1000*B37*'Market Data'!$E$51/('Market Penetration'!B37*'Market Data'!$C$51))</f>
        <v>40787.541649286322</v>
      </c>
      <c r="Y37" s="464">
        <f>IF('Market Penetration'!C37=0,0,1000*C37*'Market Data'!$E$51/('Market Penetration'!C37*'Market Data'!$C$51))</f>
        <v>115961.67415108354</v>
      </c>
      <c r="Z37" s="464">
        <f>IF('Market Penetration'!D37=0,0,1000*D37*'Market Data'!$E$51/('Market Penetration'!D37*'Market Data'!$C$51))</f>
        <v>116599.59053382326</v>
      </c>
      <c r="AA37" s="696">
        <f>IF('Market Penetration'!E37=0,0,1000*E37*'Market Data'!$E$51/('Market Penetration'!E37*'Market Data'!$C$51))</f>
        <v>125434.07429106077</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39169.882383212716</v>
      </c>
      <c r="AE37" s="464">
        <f>IF('Market Penetration'!I37=0,0,1000*I37*'Market Data'!$O$51/('Market Penetration'!I37*'Market Data'!$M$51))</f>
        <v>93605.866990802009</v>
      </c>
      <c r="AF37" s="464">
        <f>IF('Market Penetration'!J37=0,0,1000*J37*'Market Data'!$O$51/('Market Penetration'!J37*'Market Data'!$M$51))</f>
        <v>93675.620311113336</v>
      </c>
      <c r="AG37" s="464">
        <f>IF('Market Penetration'!K37=0,0,1000*K37*'Market Data'!$O$51/('Market Penetration'!K37*'Market Data'!$M$51))</f>
        <v>154423.14056047978</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18056.755522186802</v>
      </c>
      <c r="AK37" s="464">
        <f>IF('Market Penetration'!O37=0,0,1000*O37*'Market Data'!$Y$51/('Market Penetration'!O37*'Market Data'!$W$51))</f>
        <v>44691.635618349595</v>
      </c>
      <c r="AL37" s="464">
        <f>IF('Market Penetration'!P37=0,0,1000*P37*'Market Data'!$Y$51/('Market Penetration'!P37*'Market Data'!$W$51))</f>
        <v>40111.700963930605</v>
      </c>
      <c r="AM37" s="696">
        <f>IF('Market Penetration'!Q37=0,0,1000*Q37*'Market Data'!$Y$51/('Market Penetration'!Q37*'Market Data'!$W$51))</f>
        <v>49616.298997497121</v>
      </c>
      <c r="AN37" s="464">
        <f>IF('Market Penetration'!R37=0,0,1000*R37*'Market Data'!$Y$51/('Market Penetration'!R37*'Market Data'!$W$51))</f>
        <v>108144.88817523009</v>
      </c>
      <c r="AO37" s="691">
        <f>IF('Market Penetration'!S37=0,0,1000*S37*'Market Data'!$Y$51/('Market Penetration'!S37*'Market Data'!$W$51))</f>
        <v>71616.088955397965</v>
      </c>
      <c r="AP37" s="463">
        <f>IF('Market Penetration'!T37=0,0,1000*T37*('Market Data'!$E$51+'Market Data'!$O$51+'Market Data'!$Y$51)/('Market Penetration'!T37*('Market Data'!$C$51+'Market Data'!$M$51+'Market Data'!$W$51)))</f>
        <v>20264.735660288243</v>
      </c>
      <c r="AQ37" s="465">
        <f>IF('Market Penetration'!U37=0,0,1000*U37*('Market Data'!$E$51+'Market Data'!$O$51+'Market Data'!$Y$51)/('Market Penetration'!U37*('Market Data'!$C$51+'Market Data'!$M$51+'Market Data'!$W$51)))</f>
        <v>100327.75776484488</v>
      </c>
    </row>
    <row r="38" spans="1:43" ht="15" x14ac:dyDescent="0.25">
      <c r="A38" s="429">
        <v>2036</v>
      </c>
      <c r="B38" s="430">
        <f t="shared" si="12"/>
        <v>1.9395435142456674E-2</v>
      </c>
      <c r="C38" s="431">
        <f>'7&amp;8 Sleep'!$M105+'7&amp;8 Sleep'!$Z105</f>
        <v>0.35613172866153586</v>
      </c>
      <c r="D38" s="431">
        <f>'7&amp;8 Sleep'!$M157+'7&amp;8 Sleep'!$Z157</f>
        <v>0.35459182711018727</v>
      </c>
      <c r="E38" s="702">
        <f>'7&amp;8 Sleep'!$M209+'7&amp;8 Sleep'!$Z209</f>
        <v>0.26985499756283809</v>
      </c>
      <c r="F38" s="431">
        <f>'7&amp;8 Sleep'!$M262+'7&amp;8 Sleep'!$Z262</f>
        <v>2.6011522982131297E-5</v>
      </c>
      <c r="G38" s="660">
        <f>'7&amp;8 Sleep'!$M315+'7&amp;8 Sleep'!$Z315</f>
        <v>0</v>
      </c>
      <c r="H38" s="856">
        <f t="shared" si="13"/>
        <v>0.16663120539163501</v>
      </c>
      <c r="I38" s="660">
        <f>'7&amp;8 Day'!$M105+'7&amp;8 Day'!$Z105</f>
        <v>0.38285775198026817</v>
      </c>
      <c r="J38" s="660">
        <f>'7&amp;8 Day'!$M157+'7&amp;8 Day'!$Z157</f>
        <v>0.38241849702169561</v>
      </c>
      <c r="K38" s="660">
        <f>'7&amp;8 Day'!$M209+'7&amp;8 Day'!$Z209</f>
        <v>6.8091705589355705E-2</v>
      </c>
      <c r="L38" s="660">
        <f>'7&amp;8 Day'!$M262+'7&amp;8 Day'!$Z262</f>
        <v>0</v>
      </c>
      <c r="M38" s="707">
        <f>'7&amp;8 Day'!$M315+'7&amp;8 Day'!$Z315</f>
        <v>8.4001704545580399E-7</v>
      </c>
      <c r="N38" s="430">
        <f t="shared" si="14"/>
        <v>0.42935400587859063</v>
      </c>
      <c r="O38" s="431">
        <f>'7&amp;8 SU'!$M105+'7&amp;8 SU'!$Z105</f>
        <v>0.17703095099945329</v>
      </c>
      <c r="P38" s="431">
        <f>'7&amp;8 SU'!$M157+'7&amp;8 SU'!$Z157</f>
        <v>0.24136204134654748</v>
      </c>
      <c r="Q38" s="702">
        <f>'7&amp;8 SU'!$M209+'7&amp;8 SU'!$Z209</f>
        <v>0.12941424769826015</v>
      </c>
      <c r="R38" s="431">
        <f>'7&amp;8 SU'!$M262+'7&amp;8 SU'!$Z262</f>
        <v>2.2786945862369165E-2</v>
      </c>
      <c r="S38" s="660">
        <f>'7&amp;8 SU'!$M315+'7&amp;8 SU'!$Z315</f>
        <v>5.1808214779186301E-5</v>
      </c>
      <c r="T38" s="433">
        <f>B38*'Market Data'!$E$52+H38*'Market Data'!$O$52+N38*+N38*'Market Data'!$Y$52</f>
        <v>6.9803042788087633E-2</v>
      </c>
      <c r="U38" s="434">
        <f>SUM(C38:G38)*'Market Data'!$E$52+SUM(I38:M38)*'Market Data'!$O$52+SUM(O38:S38)*+N38*'Market Data'!$Y$52</f>
        <v>0.87902233333406765</v>
      </c>
      <c r="W38" s="429">
        <v>2036</v>
      </c>
      <c r="X38" s="466">
        <f>IF('Market Penetration'!B38=0,0,1000*B38*'Market Data'!$E$51/('Market Penetration'!B38*'Market Data'!$C$51))</f>
        <v>40159.635672449709</v>
      </c>
      <c r="Y38" s="467">
        <f>IF('Market Penetration'!C38=0,0,1000*C38*'Market Data'!$E$51/('Market Penetration'!C38*'Market Data'!$C$51))</f>
        <v>115974.61530636386</v>
      </c>
      <c r="Z38" s="467">
        <f>IF('Market Penetration'!D38=0,0,1000*D38*'Market Data'!$E$51/('Market Penetration'!D38*'Market Data'!$C$51))</f>
        <v>116503.10714106545</v>
      </c>
      <c r="AA38" s="697">
        <f>IF('Market Penetration'!E38=0,0,1000*E38*'Market Data'!$E$51/('Market Penetration'!E38*'Market Data'!$C$51))</f>
        <v>125387.4404852141</v>
      </c>
      <c r="AB38" s="467">
        <f>IF('Market Penetration'!F38=0,0,1000*F38*'Market Data'!$E$51/('Market Penetration'!F38*'Market Data'!$C$51))</f>
        <v>225052.88322650015</v>
      </c>
      <c r="AC38" s="692">
        <f>IF('Market Penetration'!G38=0,0,1000*G38*'Market Data'!$E$51/('Market Penetration'!G38*'Market Data'!$C$51))</f>
        <v>0</v>
      </c>
      <c r="AD38" s="466">
        <f>IF('Market Penetration'!H38=0,0,1000*H38*'Market Data'!$O$51/('Market Penetration'!H38*'Market Data'!$M$51))</f>
        <v>38887.370143293287</v>
      </c>
      <c r="AE38" s="467">
        <f>IF('Market Penetration'!I38=0,0,1000*I38*'Market Data'!$O$51/('Market Penetration'!I38*'Market Data'!$M$51))</f>
        <v>92724.312117354857</v>
      </c>
      <c r="AF38" s="467">
        <f>IF('Market Penetration'!J38=0,0,1000*J38*'Market Data'!$O$51/('Market Penetration'!J38*'Market Data'!$M$51))</f>
        <v>92860.032429817089</v>
      </c>
      <c r="AG38" s="467">
        <f>IF('Market Penetration'!K38=0,0,1000*K38*'Market Data'!$O$51/('Market Penetration'!K38*'Market Data'!$M$51))</f>
        <v>148871.02049782008</v>
      </c>
      <c r="AH38" s="467">
        <f>IF('Market Penetration'!L38=0,0,1000*L38*'Market Data'!$O$51/('Market Penetration'!L38*'Market Data'!$M$51))</f>
        <v>0</v>
      </c>
      <c r="AI38" s="861">
        <f>IF('Market Penetration'!M38=0,0,1000*M38*'Market Data'!$O$51/('Market Penetration'!M38*'Market Data'!$M$51))</f>
        <v>162542.47827007595</v>
      </c>
      <c r="AJ38" s="466">
        <f>IF('Market Penetration'!N38=0,0,1000*N38*'Market Data'!$Y$51/('Market Penetration'!N38*'Market Data'!$W$51))</f>
        <v>17981.998963714181</v>
      </c>
      <c r="AK38" s="467">
        <f>IF('Market Penetration'!O38=0,0,1000*O38*'Market Data'!$Y$51/('Market Penetration'!O38*'Market Data'!$W$51))</f>
        <v>44554.460998798022</v>
      </c>
      <c r="AL38" s="467">
        <f>IF('Market Penetration'!P38=0,0,1000*P38*'Market Data'!$Y$51/('Market Penetration'!P38*'Market Data'!$W$51))</f>
        <v>39946.959709289025</v>
      </c>
      <c r="AM38" s="697">
        <f>IF('Market Penetration'!Q38=0,0,1000*Q38*'Market Data'!$Y$51/('Market Penetration'!Q38*'Market Data'!$W$51))</f>
        <v>50318.168016286378</v>
      </c>
      <c r="AN38" s="467">
        <f>IF('Market Penetration'!R38=0,0,1000*R38*'Market Data'!$Y$51/('Market Penetration'!R38*'Market Data'!$W$51))</f>
        <v>104783.67097259352</v>
      </c>
      <c r="AO38" s="692">
        <f>IF('Market Penetration'!S38=0,0,1000*S38*'Market Data'!$Y$51/('Market Penetration'!S38*'Market Data'!$W$51))</f>
        <v>71616.088955397965</v>
      </c>
      <c r="AP38" s="468">
        <f>IF('Market Penetration'!T38=0,0,1000*T38*('Market Data'!$E$51+'Market Data'!$O$51+'Market Data'!$Y$51)/('Market Penetration'!T38*('Market Data'!$C$51+'Market Data'!$M$51+'Market Data'!$W$51)))</f>
        <v>19940.505399366262</v>
      </c>
      <c r="AQ38" s="469">
        <f>IF('Market Penetration'!U38=0,0,1000*U38*('Market Data'!$E$51+'Market Data'!$O$51+'Market Data'!$Y$51)/('Market Penetration'!U38*('Market Data'!$C$51+'Market Data'!$M$51+'Market Data'!$W$51)))</f>
        <v>100120.42285634679</v>
      </c>
    </row>
    <row r="39" spans="1:43" ht="15" x14ac:dyDescent="0.25">
      <c r="A39" s="403">
        <v>2037</v>
      </c>
      <c r="B39" s="423">
        <f t="shared" si="12"/>
        <v>1.9391626597718759E-2</v>
      </c>
      <c r="C39" s="424">
        <f>'7&amp;8 Sleep'!$M106+'7&amp;8 Sleep'!$Z106</f>
        <v>0.35621784528841477</v>
      </c>
      <c r="D39" s="424">
        <f>'7&amp;8 Sleep'!$M158+'7&amp;8 Sleep'!$Z158</f>
        <v>0.35467762605750325</v>
      </c>
      <c r="E39" s="700">
        <f>'7&amp;8 Sleep'!$M210+'7&amp;8 Sleep'!$Z210</f>
        <v>0.26962919652649342</v>
      </c>
      <c r="F39" s="424">
        <f>'7&amp;8 Sleep'!$M263+'7&amp;8 Sleep'!$Z263</f>
        <v>8.3655124543696859E-5</v>
      </c>
      <c r="G39" s="658">
        <f>'7&amp;8 Sleep'!$M316+'7&amp;8 Sleep'!$Z316</f>
        <v>5.0405326134530919E-8</v>
      </c>
      <c r="H39" s="854">
        <f t="shared" si="13"/>
        <v>0.16662796869210139</v>
      </c>
      <c r="I39" s="658">
        <f>'7&amp;8 Day'!$M106+'7&amp;8 Day'!$Z106</f>
        <v>0.37757178639060007</v>
      </c>
      <c r="J39" s="658">
        <f>'7&amp;8 Day'!$M158+'7&amp;8 Day'!$Z158</f>
        <v>0.37713489895109847</v>
      </c>
      <c r="K39" s="658">
        <f>'7&amp;8 Day'!$M210+'7&amp;8 Day'!$Z210</f>
        <v>7.3508729426483288E-2</v>
      </c>
      <c r="L39" s="658">
        <f>'7&amp;8 Day'!$M263+'7&amp;8 Day'!$Z263</f>
        <v>0</v>
      </c>
      <c r="M39" s="705">
        <f>'7&amp;8 Day'!$M316+'7&amp;8 Day'!$Z316</f>
        <v>5.156616539716611E-3</v>
      </c>
      <c r="N39" s="423">
        <f t="shared" si="14"/>
        <v>0.42934798132712237</v>
      </c>
      <c r="O39" s="424">
        <f>'7&amp;8 SU'!$M106+'7&amp;8 SU'!$Z106</f>
        <v>0.17616240986801313</v>
      </c>
      <c r="P39" s="424">
        <f>'7&amp;8 SU'!$M158+'7&amp;8 SU'!$Z158</f>
        <v>0.24162019452354072</v>
      </c>
      <c r="Q39" s="700">
        <f>'7&amp;8 SU'!$M210+'7&amp;8 SU'!$Z210</f>
        <v>0.12951617092175005</v>
      </c>
      <c r="R39" s="424">
        <f>'7&amp;8 SU'!$M263+'7&amp;8 SU'!$Z263</f>
        <v>2.327555575197118E-2</v>
      </c>
      <c r="S39" s="658">
        <f>'7&amp;8 SU'!$M316+'7&amp;8 SU'!$Z316</f>
        <v>7.7687607602597755E-5</v>
      </c>
      <c r="T39" s="423">
        <f>B39*'Market Data'!$E$52+H39*'Market Data'!$O$52+N39*+N39*'Market Data'!$Y$52</f>
        <v>6.9799250179758465E-2</v>
      </c>
      <c r="U39" s="425">
        <f>SUM(C39:G39)*'Market Data'!$E$52+SUM(I39:M39)*'Market Data'!$O$52+SUM(O39:S39)*+N39*'Market Data'!$Y$52</f>
        <v>0.87902558567021638</v>
      </c>
      <c r="W39" s="403">
        <v>2037</v>
      </c>
      <c r="X39" s="460">
        <f>IF('Market Penetration'!B39=0,0,1000*B39*'Market Data'!$E$51/('Market Penetration'!B39*'Market Data'!$C$51))</f>
        <v>40154.419247440288</v>
      </c>
      <c r="Y39" s="461">
        <f>IF('Market Penetration'!C39=0,0,1000*C39*'Market Data'!$E$51/('Market Penetration'!C39*'Market Data'!$C$51))</f>
        <v>115973.67303090361</v>
      </c>
      <c r="Z39" s="461">
        <f>IF('Market Penetration'!D39=0,0,1000*D39*'Market Data'!$E$51/('Market Penetration'!D39*'Market Data'!$C$51))</f>
        <v>116502.05150326103</v>
      </c>
      <c r="AA39" s="695">
        <f>IF('Market Penetration'!E39=0,0,1000*E39*'Market Data'!$E$51/('Market Penetration'!E39*'Market Data'!$C$51))</f>
        <v>125384.78293729153</v>
      </c>
      <c r="AB39" s="461">
        <f>IF('Market Penetration'!F39=0,0,1000*F39*'Market Data'!$E$51/('Market Penetration'!F39*'Market Data'!$C$51))</f>
        <v>225383.73449948063</v>
      </c>
      <c r="AC39" s="690">
        <f>IF('Market Penetration'!G39=0,0,1000*G39*'Market Data'!$E$51/('Market Penetration'!G39*'Market Data'!$C$51))</f>
        <v>221309.04629771519</v>
      </c>
      <c r="AD39" s="460">
        <f>IF('Market Penetration'!H39=0,0,1000*H39*'Market Data'!$O$51/('Market Penetration'!H39*'Market Data'!$M$51))</f>
        <v>38886.921592620092</v>
      </c>
      <c r="AE39" s="461">
        <f>IF('Market Penetration'!I39=0,0,1000*I39*'Market Data'!$O$51/('Market Penetration'!I39*'Market Data'!$M$51))</f>
        <v>92293.279130148061</v>
      </c>
      <c r="AF39" s="461">
        <f>IF('Market Penetration'!J39=0,0,1000*J39*'Market Data'!$O$51/('Market Penetration'!J39*'Market Data'!$M$51))</f>
        <v>92429.321300863172</v>
      </c>
      <c r="AG39" s="461">
        <f>IF('Market Penetration'!K39=0,0,1000*K39*'Market Data'!$O$51/('Market Penetration'!K39*'Market Data'!$M$51))</f>
        <v>145266.96185389478</v>
      </c>
      <c r="AH39" s="461">
        <f>IF('Market Penetration'!L39=0,0,1000*L39*'Market Data'!$O$51/('Market Penetration'!L39*'Market Data'!$M$51))</f>
        <v>0</v>
      </c>
      <c r="AI39" s="462">
        <f>IF('Market Penetration'!M39=0,0,1000*M39*'Market Data'!$O$51/('Market Penetration'!M39*'Market Data'!$M$51))</f>
        <v>188442.45788777151</v>
      </c>
      <c r="AJ39" s="460">
        <f>IF('Market Penetration'!N39=0,0,1000*N39*'Market Data'!$Y$51/('Market Penetration'!N39*'Market Data'!$W$51))</f>
        <v>17981.848461476009</v>
      </c>
      <c r="AK39" s="461">
        <f>IF('Market Penetration'!O39=0,0,1000*O39*'Market Data'!$Y$51/('Market Penetration'!O39*'Market Data'!$W$51))</f>
        <v>44521.875926625384</v>
      </c>
      <c r="AL39" s="461">
        <f>IF('Market Penetration'!P39=0,0,1000*P39*'Market Data'!$Y$51/('Market Penetration'!P39*'Market Data'!$W$51))</f>
        <v>39947.23895512028</v>
      </c>
      <c r="AM39" s="695">
        <f>IF('Market Penetration'!Q39=0,0,1000*Q39*'Market Data'!$Y$51/('Market Penetration'!Q39*'Market Data'!$W$51))</f>
        <v>50285.178943858635</v>
      </c>
      <c r="AN39" s="461">
        <f>IF('Market Penetration'!R39=0,0,1000*R39*'Market Data'!$Y$51/('Market Penetration'!R39*'Market Data'!$W$51))</f>
        <v>104045.1830804342</v>
      </c>
      <c r="AO39" s="690">
        <f>IF('Market Penetration'!S39=0,0,1000*S39*'Market Data'!$Y$51/('Market Penetration'!S39*'Market Data'!$W$51))</f>
        <v>71616.08895539795</v>
      </c>
      <c r="AP39" s="460">
        <f>IF('Market Penetration'!T39=0,0,1000*T39*('Market Data'!$E$51+'Market Data'!$O$51+'Market Data'!$Y$51)/('Market Penetration'!T39*('Market Data'!$C$51+'Market Data'!$M$51+'Market Data'!$W$51)))</f>
        <v>19939.659858306983</v>
      </c>
      <c r="AQ39" s="462">
        <f>IF('Market Penetration'!U39=0,0,1000*U39*('Market Data'!$E$51+'Market Data'!$O$51+'Market Data'!$Y$51)/('Market Penetration'!U39*('Market Data'!$C$51+'Market Data'!$M$51+'Market Data'!$W$51)))</f>
        <v>100120.31704674123</v>
      </c>
    </row>
    <row r="40" spans="1:43" ht="15" x14ac:dyDescent="0.25">
      <c r="A40" s="403">
        <v>2038</v>
      </c>
      <c r="B40" s="423">
        <f t="shared" si="12"/>
        <v>1.8611618435306898E-2</v>
      </c>
      <c r="C40" s="424">
        <f>'7&amp;8 Sleep'!$M107+'7&amp;8 Sleep'!$Z107</f>
        <v>0.35668493197027451</v>
      </c>
      <c r="D40" s="424">
        <f>'7&amp;8 Sleep'!$M159+'7&amp;8 Sleep'!$Z159</f>
        <v>0.35486794955514422</v>
      </c>
      <c r="E40" s="700">
        <f>'7&amp;8 Sleep'!$M211+'7&amp;8 Sleep'!$Z211</f>
        <v>0.26947492589786692</v>
      </c>
      <c r="F40" s="424">
        <f>'7&amp;8 Sleep'!$M264+'7&amp;8 Sleep'!$Z264</f>
        <v>3.4392866935048283E-4</v>
      </c>
      <c r="G40" s="658">
        <f>'7&amp;8 Sleep'!$M317+'7&amp;8 Sleep'!$Z317</f>
        <v>1.6645472056985326E-5</v>
      </c>
      <c r="H40" s="854">
        <f t="shared" si="13"/>
        <v>0.16662677797056014</v>
      </c>
      <c r="I40" s="658">
        <f>'7&amp;8 Day'!$M107+'7&amp;8 Day'!$Z107</f>
        <v>0.3503085522932482</v>
      </c>
      <c r="J40" s="658">
        <f>'7&amp;8 Day'!$M159+'7&amp;8 Day'!$Z159</f>
        <v>0.35015158449090372</v>
      </c>
      <c r="K40" s="658">
        <f>'7&amp;8 Day'!$M211+'7&amp;8 Day'!$Z211</f>
        <v>7.8854859860422566E-2</v>
      </c>
      <c r="L40" s="658">
        <f>'7&amp;8 Day'!$M264+'7&amp;8 Day'!$Z264</f>
        <v>0</v>
      </c>
      <c r="M40" s="705">
        <f>'7&amp;8 Day'!$M317+'7&amp;8 Day'!$Z317</f>
        <v>5.4058225384865405E-2</v>
      </c>
      <c r="N40" s="423">
        <f t="shared" si="14"/>
        <v>0.42934576498648835</v>
      </c>
      <c r="O40" s="424">
        <f>'7&amp;8 SU'!$M107+'7&amp;8 SU'!$Z107</f>
        <v>0.17821588878501876</v>
      </c>
      <c r="P40" s="424">
        <f>'7&amp;8 SU'!$M159+'7&amp;8 SU'!$Z159</f>
        <v>0.23787866883381403</v>
      </c>
      <c r="Q40" s="700">
        <f>'7&amp;8 SU'!$M211+'7&amp;8 SU'!$Z211</f>
        <v>0.12895176223526522</v>
      </c>
      <c r="R40" s="424">
        <f>'7&amp;8 SU'!$M264+'7&amp;8 SU'!$Z264</f>
        <v>2.5339894059724533E-2</v>
      </c>
      <c r="S40" s="658">
        <f>'7&amp;8 SU'!$M317+'7&amp;8 SU'!$Z317</f>
        <v>2.6802109968911185E-4</v>
      </c>
      <c r="T40" s="423">
        <f>B40*'Market Data'!$E$52+H40*'Market Data'!$O$52+N40*+N40*'Market Data'!$Y$52</f>
        <v>6.9277411211936576E-2</v>
      </c>
      <c r="U40" s="425">
        <f>SUM(C40:G40)*'Market Data'!$E$52+SUM(I40:M40)*'Market Data'!$O$52+SUM(O40:S40)*+N40*'Market Data'!$Y$52</f>
        <v>0.87954722588014023</v>
      </c>
      <c r="W40" s="403">
        <v>2038</v>
      </c>
      <c r="X40" s="460">
        <f>IF('Market Penetration'!B40=0,0,1000*B40*'Market Data'!$E$51/('Market Penetration'!B40*'Market Data'!$C$51))</f>
        <v>39032.536162279262</v>
      </c>
      <c r="Y40" s="461">
        <f>IF('Market Penetration'!C40=0,0,1000*C40*'Market Data'!$E$51/('Market Penetration'!C40*'Market Data'!$C$51))</f>
        <v>115975.11765031335</v>
      </c>
      <c r="Z40" s="461">
        <f>IF('Market Penetration'!D40=0,0,1000*D40*'Market Data'!$E$51/('Market Penetration'!D40*'Market Data'!$C$51))</f>
        <v>116494.80531936903</v>
      </c>
      <c r="AA40" s="695">
        <f>IF('Market Penetration'!E40=0,0,1000*E40*'Market Data'!$E$51/('Market Penetration'!E40*'Market Data'!$C$51))</f>
        <v>125369.09010016396</v>
      </c>
      <c r="AB40" s="461">
        <f>IF('Market Penetration'!F40=0,0,1000*F40*'Market Data'!$E$51/('Market Penetration'!F40*'Market Data'!$C$51))</f>
        <v>225043.25739479953</v>
      </c>
      <c r="AC40" s="690">
        <f>IF('Market Penetration'!G40=0,0,1000*G40*'Market Data'!$E$51/('Market Penetration'!G40*'Market Data'!$C$51))</f>
        <v>174681.45930382036</v>
      </c>
      <c r="AD40" s="460">
        <f>IF('Market Penetration'!H40=0,0,1000*H40*'Market Data'!$O$51/('Market Penetration'!H40*'Market Data'!$M$51))</f>
        <v>38886.75657739157</v>
      </c>
      <c r="AE40" s="461">
        <f>IF('Market Penetration'!I40=0,0,1000*I40*'Market Data'!$O$51/('Market Penetration'!I40*'Market Data'!$M$51))</f>
        <v>90570.493072983736</v>
      </c>
      <c r="AF40" s="461">
        <f>IF('Market Penetration'!J40=0,0,1000*J40*'Market Data'!$O$51/('Market Penetration'!J40*'Market Data'!$M$51))</f>
        <v>90570.493072983692</v>
      </c>
      <c r="AG40" s="461">
        <f>IF('Market Penetration'!K40=0,0,1000*K40*'Market Data'!$O$51/('Market Penetration'!K40*'Market Data'!$M$51))</f>
        <v>138739.05070759141</v>
      </c>
      <c r="AH40" s="461">
        <f>IF('Market Penetration'!L40=0,0,1000*L40*'Market Data'!$O$51/('Market Penetration'!L40*'Market Data'!$M$51))</f>
        <v>0</v>
      </c>
      <c r="AI40" s="462">
        <f>IF('Market Penetration'!M40=0,0,1000*M40*'Market Data'!$O$51/('Market Penetration'!M40*'Market Data'!$M$51))</f>
        <v>134333.3702935137</v>
      </c>
      <c r="AJ40" s="460">
        <f>IF('Market Penetration'!N40=0,0,1000*N40*'Market Data'!$Y$51/('Market Penetration'!N40*'Market Data'!$W$51))</f>
        <v>17981.793093568329</v>
      </c>
      <c r="AK40" s="461">
        <f>IF('Market Penetration'!O40=0,0,1000*O40*'Market Data'!$Y$51/('Market Penetration'!O40*'Market Data'!$W$51))</f>
        <v>44180.024939402007</v>
      </c>
      <c r="AL40" s="461">
        <f>IF('Market Penetration'!P40=0,0,1000*P40*'Market Data'!$Y$51/('Market Penetration'!P40*'Market Data'!$W$51))</f>
        <v>40031.464511095197</v>
      </c>
      <c r="AM40" s="695">
        <f>IF('Market Penetration'!Q40=0,0,1000*Q40*'Market Data'!$Y$51/('Market Penetration'!Q40*'Market Data'!$W$51))</f>
        <v>50103.586871123443</v>
      </c>
      <c r="AN40" s="461">
        <f>IF('Market Penetration'!R40=0,0,1000*R40*'Market Data'!$Y$51/('Market Penetration'!R40*'Market Data'!$W$51))</f>
        <v>100506.66273517875</v>
      </c>
      <c r="AO40" s="690">
        <f>IF('Market Penetration'!S40=0,0,1000*S40*'Market Data'!$Y$51/('Market Penetration'!S40*'Market Data'!$W$51))</f>
        <v>71593.209502998303</v>
      </c>
      <c r="AP40" s="460">
        <f>IF('Market Penetration'!T40=0,0,1000*T40*('Market Data'!$E$51+'Market Data'!$O$51+'Market Data'!$Y$51)/('Market Penetration'!T40*('Market Data'!$C$51+'Market Data'!$M$51+'Market Data'!$W$51)))</f>
        <v>19813.718557686912</v>
      </c>
      <c r="AQ40" s="462">
        <f>IF('Market Penetration'!U40=0,0,1000*U40*('Market Data'!$E$51+'Market Data'!$O$51+'Market Data'!$Y$51)/('Market Penetration'!U40*('Market Data'!$C$51+'Market Data'!$M$51+'Market Data'!$W$51)))</f>
        <v>100133.1189925824</v>
      </c>
    </row>
    <row r="41" spans="1:43" ht="15" x14ac:dyDescent="0.25">
      <c r="A41" s="403">
        <v>2039</v>
      </c>
      <c r="B41" s="423">
        <f t="shared" si="12"/>
        <v>1.8415124297366581E-2</v>
      </c>
      <c r="C41" s="424">
        <f>'7&amp;8 Sleep'!$M108+'7&amp;8 Sleep'!$Z108</f>
        <v>0.35408461469840835</v>
      </c>
      <c r="D41" s="424">
        <f>'7&amp;8 Sleep'!$M160+'7&amp;8 Sleep'!$Z160</f>
        <v>0.35216085307936451</v>
      </c>
      <c r="E41" s="700">
        <f>'7&amp;8 Sleep'!$M212+'7&amp;8 Sleep'!$Z212</f>
        <v>0.2679679778560905</v>
      </c>
      <c r="F41" s="424">
        <f>'7&amp;8 Sleep'!$M265+'7&amp;8 Sleep'!$Z265</f>
        <v>1.0454681739759694E-3</v>
      </c>
      <c r="G41" s="658">
        <f>'7&amp;8 Sleep'!$M318+'7&amp;8 Sleep'!$Z318</f>
        <v>6.3259618947941127E-3</v>
      </c>
      <c r="H41" s="854">
        <f t="shared" si="13"/>
        <v>0.16662633992772879</v>
      </c>
      <c r="I41" s="658">
        <f>'7&amp;8 Day'!$M108+'7&amp;8 Day'!$Z108</f>
        <v>0.32010533179990269</v>
      </c>
      <c r="J41" s="658">
        <f>'7&amp;8 Day'!$M160+'7&amp;8 Day'!$Z160</f>
        <v>0.31996189758991134</v>
      </c>
      <c r="K41" s="658">
        <f>'7&amp;8 Day'!$M212+'7&amp;8 Day'!$Z212</f>
        <v>8.867353238670761E-2</v>
      </c>
      <c r="L41" s="658">
        <f>'7&amp;8 Day'!$M265+'7&amp;8 Day'!$Z265</f>
        <v>0</v>
      </c>
      <c r="M41" s="705">
        <f>'7&amp;8 Day'!$M318+'7&amp;8 Day'!$Z318</f>
        <v>0.10463289829574964</v>
      </c>
      <c r="N41" s="423">
        <f t="shared" si="14"/>
        <v>0.41574236938772491</v>
      </c>
      <c r="O41" s="424">
        <f>'7&amp;8 SU'!$M108+'7&amp;8 SU'!$Z108</f>
        <v>0.17945192098240545</v>
      </c>
      <c r="P41" s="424">
        <f>'7&amp;8 SU'!$M160+'7&amp;8 SU'!$Z160</f>
        <v>0.2474393369703369</v>
      </c>
      <c r="Q41" s="700">
        <f>'7&amp;8 SU'!$M212+'7&amp;8 SU'!$Z212</f>
        <v>0.12887228063649467</v>
      </c>
      <c r="R41" s="424">
        <f>'7&amp;8 SU'!$M265+'7&amp;8 SU'!$Z265</f>
        <v>2.7660831609307282E-2</v>
      </c>
      <c r="S41" s="658">
        <f>'7&amp;8 SU'!$M318+'7&amp;8 SU'!$Z318</f>
        <v>8.3326041373082364E-4</v>
      </c>
      <c r="T41" s="423">
        <f>B41*'Market Data'!$E$52+H41*'Market Data'!$O$52+N41*+N41*'Market Data'!$Y$52</f>
        <v>6.811501373698306E-2</v>
      </c>
      <c r="U41" s="425">
        <f>SUM(C41:G41)*'Market Data'!$E$52+SUM(I41:M41)*'Market Data'!$O$52+SUM(O41:S41)*+N41*'Market Data'!$Y$52</f>
        <v>0.8794896925040937</v>
      </c>
      <c r="W41" s="403">
        <v>2039</v>
      </c>
      <c r="X41" s="460">
        <f>IF('Market Penetration'!B41=0,0,1000*B41*'Market Data'!$E$51/('Market Penetration'!B41*'Market Data'!$C$51))</f>
        <v>39194.548539918811</v>
      </c>
      <c r="Y41" s="461">
        <f>IF('Market Penetration'!C41=0,0,1000*C41*'Market Data'!$E$51/('Market Penetration'!C41*'Market Data'!$C$51))</f>
        <v>115603.51629254765</v>
      </c>
      <c r="Z41" s="461">
        <f>IF('Market Penetration'!D41=0,0,1000*D41*'Market Data'!$E$51/('Market Penetration'!D41*'Market Data'!$C$51))</f>
        <v>116233.97662521947</v>
      </c>
      <c r="AA41" s="695">
        <f>IF('Market Penetration'!E41=0,0,1000*E41*'Market Data'!$E$51/('Market Penetration'!E41*'Market Data'!$C$51))</f>
        <v>124888.01321356466</v>
      </c>
      <c r="AB41" s="461">
        <f>IF('Market Penetration'!F41=0,0,1000*F41*'Market Data'!$E$51/('Market Penetration'!F41*'Market Data'!$C$51))</f>
        <v>222658.56529370465</v>
      </c>
      <c r="AC41" s="690">
        <f>IF('Market Penetration'!G41=0,0,1000*G41*'Market Data'!$E$51/('Market Penetration'!G41*'Market Data'!$C$51))</f>
        <v>172085.07054878029</v>
      </c>
      <c r="AD41" s="460">
        <f>IF('Market Penetration'!H41=0,0,1000*H41*'Market Data'!$O$51/('Market Penetration'!H41*'Market Data'!$M$51))</f>
        <v>38886.695871321856</v>
      </c>
      <c r="AE41" s="461">
        <f>IF('Market Penetration'!I41=0,0,1000*I41*'Market Data'!$O$51/('Market Penetration'!I41*'Market Data'!$M$51))</f>
        <v>89977.688505254628</v>
      </c>
      <c r="AF41" s="461">
        <f>IF('Market Penetration'!J41=0,0,1000*J41*'Market Data'!$O$51/('Market Penetration'!J41*'Market Data'!$M$51))</f>
        <v>89977.688505254613</v>
      </c>
      <c r="AG41" s="461">
        <f>IF('Market Penetration'!K41=0,0,1000*K41*'Market Data'!$O$51/('Market Penetration'!K41*'Market Data'!$M$51))</f>
        <v>132789.84916046547</v>
      </c>
      <c r="AH41" s="461">
        <f>IF('Market Penetration'!L41=0,0,1000*L41*'Market Data'!$O$51/('Market Penetration'!L41*'Market Data'!$M$51))</f>
        <v>0</v>
      </c>
      <c r="AI41" s="462">
        <f>IF('Market Penetration'!M41=0,0,1000*M41*'Market Data'!$O$51/('Market Penetration'!M41*'Market Data'!$M$51))</f>
        <v>113329.45769859134</v>
      </c>
      <c r="AJ41" s="460">
        <f>IF('Market Penetration'!N41=0,0,1000*N41*'Market Data'!$Y$51/('Market Penetration'!N41*'Market Data'!$W$51))</f>
        <v>17767.324661135968</v>
      </c>
      <c r="AK41" s="461">
        <f>IF('Market Penetration'!O41=0,0,1000*O41*'Market Data'!$Y$51/('Market Penetration'!O41*'Market Data'!$W$51))</f>
        <v>43873.810592955779</v>
      </c>
      <c r="AL41" s="461">
        <f>IF('Market Penetration'!P41=0,0,1000*P41*'Market Data'!$Y$51/('Market Penetration'!P41*'Market Data'!$W$51))</f>
        <v>39251.581680826443</v>
      </c>
      <c r="AM41" s="695">
        <f>IF('Market Penetration'!Q41=0,0,1000*Q41*'Market Data'!$Y$51/('Market Penetration'!Q41*'Market Data'!$W$51))</f>
        <v>49728.591316854014</v>
      </c>
      <c r="AN41" s="461">
        <f>IF('Market Penetration'!R41=0,0,1000*R41*'Market Data'!$Y$51/('Market Penetration'!R41*'Market Data'!$W$51))</f>
        <v>96793.927460026956</v>
      </c>
      <c r="AO41" s="690">
        <f>IF('Market Penetration'!S41=0,0,1000*S41*'Market Data'!$Y$51/('Market Penetration'!S41*'Market Data'!$W$51))</f>
        <v>70944.441016989163</v>
      </c>
      <c r="AP41" s="460">
        <f>IF('Market Penetration'!T41=0,0,1000*T41*('Market Data'!$E$51+'Market Data'!$O$51+'Market Data'!$Y$51)/('Market Penetration'!T41*('Market Data'!$C$51+'Market Data'!$M$51+'Market Data'!$W$51)))</f>
        <v>19749.480693036425</v>
      </c>
      <c r="AQ41" s="462">
        <f>IF('Market Penetration'!U41=0,0,1000*U41*('Market Data'!$E$51+'Market Data'!$O$51+'Market Data'!$Y$51)/('Market Penetration'!U41*('Market Data'!$C$51+'Market Data'!$M$51+'Market Data'!$W$51)))</f>
        <v>99588.202353615998</v>
      </c>
    </row>
    <row r="42" spans="1:43" ht="15" x14ac:dyDescent="0.25">
      <c r="A42" s="402">
        <v>2040</v>
      </c>
      <c r="B42" s="426">
        <f t="shared" si="12"/>
        <v>1.8287035438477206E-2</v>
      </c>
      <c r="C42" s="427">
        <f>'7&amp;8 Sleep'!$M109+'7&amp;8 Sleep'!$Z109</f>
        <v>0.34671782716052024</v>
      </c>
      <c r="D42" s="427">
        <f>'7&amp;8 Sleep'!$M161+'7&amp;8 Sleep'!$Z161</f>
        <v>0.34474967837680792</v>
      </c>
      <c r="E42" s="701">
        <f>'7&amp;8 Sleep'!$M213+'7&amp;8 Sleep'!$Z213</f>
        <v>0.26413662938885202</v>
      </c>
      <c r="F42" s="427">
        <f>'7&amp;8 Sleep'!$M266+'7&amp;8 Sleep'!$Z266</f>
        <v>2.8037132795974582E-3</v>
      </c>
      <c r="G42" s="659">
        <f>'7&amp;8 Sleep'!$M319+'7&amp;8 Sleep'!$Z319</f>
        <v>2.330511635574516E-2</v>
      </c>
      <c r="H42" s="855">
        <f t="shared" si="13"/>
        <v>0.1647750440582707</v>
      </c>
      <c r="I42" s="659">
        <f>'7&amp;8 Day'!$M109+'7&amp;8 Day'!$Z109</f>
        <v>0.30012115160993824</v>
      </c>
      <c r="J42" s="659">
        <f>'7&amp;8 Day'!$M161+'7&amp;8 Day'!$Z161</f>
        <v>0.29975344811056259</v>
      </c>
      <c r="K42" s="659">
        <f>'7&amp;8 Day'!$M213+'7&amp;8 Day'!$Z213</f>
        <v>0.10540194675940193</v>
      </c>
      <c r="L42" s="659">
        <f>'7&amp;8 Day'!$M266+'7&amp;8 Day'!$Z266</f>
        <v>0</v>
      </c>
      <c r="M42" s="706">
        <f>'7&amp;8 Day'!$M319+'7&amp;8 Day'!$Z319</f>
        <v>0.12994840946182645</v>
      </c>
      <c r="N42" s="426">
        <f t="shared" si="14"/>
        <v>0.41574206228658461</v>
      </c>
      <c r="O42" s="427">
        <f>'7&amp;8 SU'!$M109+'7&amp;8 SU'!$Z109</f>
        <v>0.1785003647330988</v>
      </c>
      <c r="P42" s="427">
        <f>'7&amp;8 SU'!$M161+'7&amp;8 SU'!$Z161</f>
        <v>0.24340563154774969</v>
      </c>
      <c r="Q42" s="701">
        <f>'7&amp;8 SU'!$M213+'7&amp;8 SU'!$Z213</f>
        <v>0.12905607771665834</v>
      </c>
      <c r="R42" s="427">
        <f>'7&amp;8 SU'!$M266+'7&amp;8 SU'!$Z266</f>
        <v>3.0846747530192536E-2</v>
      </c>
      <c r="S42" s="659">
        <f>'7&amp;8 SU'!$M319+'7&amp;8 SU'!$Z319</f>
        <v>2.4491161857160761E-3</v>
      </c>
      <c r="T42" s="426">
        <f>B42*'Market Data'!$E$52+H42*'Market Data'!$O$52+N42*+N42*'Market Data'!$Y$52</f>
        <v>6.7581558198925751E-2</v>
      </c>
      <c r="U42" s="428">
        <f>SUM(C42:G42)*'Market Data'!$E$52+SUM(I42:M42)*'Market Data'!$O$52+SUM(O42:S42)*+N42*'Market Data'!$Y$52</f>
        <v>0.88002312050181009</v>
      </c>
      <c r="W42" s="402">
        <v>2040</v>
      </c>
      <c r="X42" s="463">
        <f>IF('Market Penetration'!B42=0,0,1000*B42*'Market Data'!$E$51/('Market Penetration'!B42*'Market Data'!$C$51))</f>
        <v>39130.51198355532</v>
      </c>
      <c r="Y42" s="464">
        <f>IF('Market Penetration'!C42=0,0,1000*C42*'Market Data'!$E$51/('Market Penetration'!C42*'Market Data'!$C$51))</f>
        <v>115259.49992828314</v>
      </c>
      <c r="Z42" s="464">
        <f>IF('Market Penetration'!D42=0,0,1000*D42*'Market Data'!$E$51/('Market Penetration'!D42*'Market Data'!$C$51))</f>
        <v>115922.85204840635</v>
      </c>
      <c r="AA42" s="696">
        <f>IF('Market Penetration'!E42=0,0,1000*E42*'Market Data'!$E$51/('Market Penetration'!E42*'Market Data'!$C$51))</f>
        <v>124521.47128514711</v>
      </c>
      <c r="AB42" s="464">
        <f>IF('Market Penetration'!F42=0,0,1000*F42*'Market Data'!$E$51/('Market Penetration'!F42*'Market Data'!$C$51))</f>
        <v>216251.78362592746</v>
      </c>
      <c r="AC42" s="691">
        <f>IF('Market Penetration'!G42=0,0,1000*G42*'Market Data'!$E$51/('Market Penetration'!G42*'Market Data'!$C$51))</f>
        <v>140374.21078178182</v>
      </c>
      <c r="AD42" s="463">
        <f>IF('Market Penetration'!H42=0,0,1000*H42*'Market Data'!$O$51/('Market Penetration'!H42*'Market Data'!$M$51))</f>
        <v>38601.025336530569</v>
      </c>
      <c r="AE42" s="464">
        <f>IF('Market Penetration'!I42=0,0,1000*I42*'Market Data'!$O$51/('Market Penetration'!I42*'Market Data'!$M$51))</f>
        <v>90390.944080082234</v>
      </c>
      <c r="AF42" s="464">
        <f>IF('Market Penetration'!J42=0,0,1000*J42*'Market Data'!$O$51/('Market Penetration'!J42*'Market Data'!$M$51))</f>
        <v>90370.291408008095</v>
      </c>
      <c r="AG42" s="464">
        <f>IF('Market Penetration'!K42=0,0,1000*K42*'Market Data'!$O$51/('Market Penetration'!K42*'Market Data'!$M$51))</f>
        <v>126032.54462936753</v>
      </c>
      <c r="AH42" s="464">
        <f>IF('Market Penetration'!L42=0,0,1000*L42*'Market Data'!$O$51/('Market Penetration'!L42*'Market Data'!$M$51))</f>
        <v>0</v>
      </c>
      <c r="AI42" s="465">
        <f>IF('Market Penetration'!M42=0,0,1000*M42*'Market Data'!$O$51/('Market Penetration'!M42*'Market Data'!$M$51))</f>
        <v>104175.75874236446</v>
      </c>
      <c r="AJ42" s="463">
        <f>IF('Market Penetration'!N42=0,0,1000*N42*'Market Data'!$Y$51/('Market Penetration'!N42*'Market Data'!$W$51))</f>
        <v>17767.316838229261</v>
      </c>
      <c r="AK42" s="464">
        <f>IF('Market Penetration'!O42=0,0,1000*O42*'Market Data'!$Y$51/('Market Penetration'!O42*'Market Data'!$W$51))</f>
        <v>43658.762118482853</v>
      </c>
      <c r="AL42" s="464">
        <f>IF('Market Penetration'!P42=0,0,1000*P42*'Market Data'!$Y$51/('Market Penetration'!P42*'Market Data'!$W$51))</f>
        <v>39270.897495516518</v>
      </c>
      <c r="AM42" s="696">
        <f>IF('Market Penetration'!Q42=0,0,1000*Q42*'Market Data'!$Y$51/('Market Penetration'!Q42*'Market Data'!$W$51))</f>
        <v>49145.002353504788</v>
      </c>
      <c r="AN42" s="464">
        <f>IF('Market Penetration'!R42=0,0,1000*R42*'Market Data'!$Y$51/('Market Penetration'!R42*'Market Data'!$W$51))</f>
        <v>92040.751430208955</v>
      </c>
      <c r="AO42" s="691">
        <f>IF('Market Penetration'!S42=0,0,1000*S42*'Market Data'!$Y$51/('Market Penetration'!S42*'Market Data'!$W$51))</f>
        <v>69320.065623162256</v>
      </c>
      <c r="AP42" s="463">
        <f>IF('Market Penetration'!T42=0,0,1000*T42*('Market Data'!$E$51+'Market Data'!$O$51+'Market Data'!$Y$51)/('Market Penetration'!T42*('Market Data'!$C$51+'Market Data'!$M$51+'Market Data'!$W$51)))</f>
        <v>19626.70582752458</v>
      </c>
      <c r="AQ42" s="465">
        <f>IF('Market Penetration'!U42=0,0,1000*U42*('Market Data'!$E$51+'Market Data'!$O$51+'Market Data'!$Y$51)/('Market Penetration'!U42*('Market Data'!$C$51+'Market Data'!$M$51+'Market Data'!$W$51)))</f>
        <v>99585.398170663757</v>
      </c>
    </row>
    <row r="43" spans="1:43" ht="15" x14ac:dyDescent="0.25">
      <c r="A43" s="403">
        <v>2041</v>
      </c>
      <c r="B43" s="430">
        <f t="shared" si="12"/>
        <v>1.8286965603545369E-2</v>
      </c>
      <c r="C43" s="431">
        <f>'7&amp;8 Sleep'!$M110+'7&amp;8 Sleep'!$Z110</f>
        <v>0.33974937887824164</v>
      </c>
      <c r="D43" s="431">
        <f>'7&amp;8 Sleep'!$M162+'7&amp;8 Sleep'!$Z162</f>
        <v>0.3378075999584878</v>
      </c>
      <c r="E43" s="702">
        <f>'7&amp;8 Sleep'!$M214+'7&amp;8 Sleep'!$Z214</f>
        <v>0.26049212175812902</v>
      </c>
      <c r="F43" s="431">
        <f>'7&amp;8 Sleep'!$M267+'7&amp;8 Sleep'!$Z267</f>
        <v>6.6565509554170153E-3</v>
      </c>
      <c r="G43" s="660">
        <f>'7&amp;8 Sleep'!$M320+'7&amp;8 Sleep'!$Z320</f>
        <v>3.7007382846178952E-2</v>
      </c>
      <c r="H43" s="856">
        <f t="shared" si="13"/>
        <v>0.16477498464387996</v>
      </c>
      <c r="I43" s="660">
        <f>'7&amp;8 Day'!$M110+'7&amp;8 Day'!$Z110</f>
        <v>0.28466258499294883</v>
      </c>
      <c r="J43" s="660">
        <f>'7&amp;8 Day'!$M162+'7&amp;8 Day'!$Z162</f>
        <v>0.28430767472507351</v>
      </c>
      <c r="K43" s="660">
        <f>'7&amp;8 Day'!$M214+'7&amp;8 Day'!$Z214</f>
        <v>0.1236426054214623</v>
      </c>
      <c r="L43" s="660">
        <f>'7&amp;8 Day'!$M267+'7&amp;8 Day'!$Z267</f>
        <v>0</v>
      </c>
      <c r="M43" s="707">
        <f>'7&amp;8 Day'!$M320+'7&amp;8 Day'!$Z320</f>
        <v>0.14261215021663537</v>
      </c>
      <c r="N43" s="430">
        <f t="shared" si="14"/>
        <v>0.41574194931030728</v>
      </c>
      <c r="O43" s="431">
        <f>'7&amp;8 SU'!$M110+'7&amp;8 SU'!$Z110</f>
        <v>0.17566699388049845</v>
      </c>
      <c r="P43" s="431">
        <f>'7&amp;8 SU'!$M162+'7&amp;8 SU'!$Z162</f>
        <v>0.24026803582211381</v>
      </c>
      <c r="Q43" s="702">
        <f>'7&amp;8 SU'!$M214+'7&amp;8 SU'!$Z214</f>
        <v>0.12664219191353712</v>
      </c>
      <c r="R43" s="431">
        <f>'7&amp;8 SU'!$M267+'7&amp;8 SU'!$Z267</f>
        <v>3.5825016083753276E-2</v>
      </c>
      <c r="S43" s="660">
        <f>'7&amp;8 SU'!$M320+'7&amp;8 SU'!$Z320</f>
        <v>5.8558129897899559E-3</v>
      </c>
      <c r="T43" s="433">
        <f>B43*'Market Data'!$E$52+H43*'Market Data'!$O$52+N43*+N43*'Market Data'!$Y$52</f>
        <v>6.7581488723121128E-2</v>
      </c>
      <c r="U43" s="434">
        <f>SUM(C43:G43)*'Market Data'!$E$52+SUM(I43:M43)*'Market Data'!$O$52+SUM(O43:S43)*+N43*'Market Data'!$Y$52</f>
        <v>0.88002317984608192</v>
      </c>
      <c r="W43" s="403">
        <v>2041</v>
      </c>
      <c r="X43" s="466">
        <f>IF('Market Penetration'!B43=0,0,1000*B43*'Market Data'!$E$51/('Market Penetration'!B43*'Market Data'!$C$51))</f>
        <v>39130.411882809291</v>
      </c>
      <c r="Y43" s="467">
        <f>IF('Market Penetration'!C43=0,0,1000*C43*'Market Data'!$E$51/('Market Penetration'!C43*'Market Data'!$C$51))</f>
        <v>115175.77108564437</v>
      </c>
      <c r="Z43" s="467">
        <f>IF('Market Penetration'!D43=0,0,1000*D43*'Market Data'!$E$51/('Market Penetration'!D43*'Market Data'!$C$51))</f>
        <v>115848.10713780172</v>
      </c>
      <c r="AA43" s="697">
        <f>IF('Market Penetration'!E43=0,0,1000*E43*'Market Data'!$E$51/('Market Penetration'!E43*'Market Data'!$C$51))</f>
        <v>124139.69674384771</v>
      </c>
      <c r="AB43" s="467">
        <f>IF('Market Penetration'!F43=0,0,1000*F43*'Market Data'!$E$51/('Market Penetration'!F43*'Market Data'!$C$51))</f>
        <v>198961.72278407964</v>
      </c>
      <c r="AC43" s="692">
        <f>IF('Market Penetration'!G43=0,0,1000*G43*'Market Data'!$E$51/('Market Penetration'!G43*'Market Data'!$C$51))</f>
        <v>129993.5759798483</v>
      </c>
      <c r="AD43" s="466">
        <f>IF('Market Penetration'!H43=0,0,1000*H43*'Market Data'!$O$51/('Market Penetration'!H43*'Market Data'!$M$51))</f>
        <v>38601.017027729649</v>
      </c>
      <c r="AE43" s="467">
        <f>IF('Market Penetration'!I43=0,0,1000*I43*'Market Data'!$O$51/('Market Penetration'!I43*'Market Data'!$M$51))</f>
        <v>91101.864506434402</v>
      </c>
      <c r="AF43" s="467">
        <f>IF('Market Penetration'!J43=0,0,1000*J43*'Market Data'!$O$51/('Market Penetration'!J43*'Market Data'!$M$51))</f>
        <v>91080.875224712217</v>
      </c>
      <c r="AG43" s="467">
        <f>IF('Market Penetration'!K43=0,0,1000*K43*'Market Data'!$O$51/('Market Penetration'!K43*'Market Data'!$M$51))</f>
        <v>119353.30851199357</v>
      </c>
      <c r="AH43" s="467">
        <f>IF('Market Penetration'!L43=0,0,1000*L43*'Market Data'!$O$51/('Market Penetration'!L43*'Market Data'!$M$51))</f>
        <v>0</v>
      </c>
      <c r="AI43" s="861">
        <f>IF('Market Penetration'!M43=0,0,1000*M43*'Market Data'!$O$51/('Market Penetration'!M43*'Market Data'!$M$51))</f>
        <v>99117.35760089448</v>
      </c>
      <c r="AJ43" s="466">
        <f>IF('Market Penetration'!N43=0,0,1000*N43*'Market Data'!$Y$51/('Market Penetration'!N43*'Market Data'!$W$51))</f>
        <v>17767.313960339459</v>
      </c>
      <c r="AK43" s="467">
        <f>IF('Market Penetration'!O43=0,0,1000*O43*'Market Data'!$Y$51/('Market Penetration'!O43*'Market Data'!$W$51))</f>
        <v>43458.643794399861</v>
      </c>
      <c r="AL43" s="467">
        <f>IF('Market Penetration'!P43=0,0,1000*P43*'Market Data'!$Y$51/('Market Penetration'!P43*'Market Data'!$W$51))</f>
        <v>39094.209771955204</v>
      </c>
      <c r="AM43" s="697">
        <f>IF('Market Penetration'!Q43=0,0,1000*Q43*'Market Data'!$Y$51/('Market Penetration'!Q43*'Market Data'!$W$51))</f>
        <v>48950.032300175233</v>
      </c>
      <c r="AN43" s="467">
        <f>IF('Market Penetration'!R43=0,0,1000*R43*'Market Data'!$Y$51/('Market Penetration'!R43*'Market Data'!$W$51))</f>
        <v>85410.085041708982</v>
      </c>
      <c r="AO43" s="692">
        <f>IF('Market Penetration'!S43=0,0,1000*S43*'Market Data'!$Y$51/('Market Penetration'!S43*'Market Data'!$W$51))</f>
        <v>66169.850307955305</v>
      </c>
      <c r="AP43" s="468">
        <f>IF('Market Penetration'!T43=0,0,1000*T43*('Market Data'!$E$51+'Market Data'!$O$51+'Market Data'!$Y$51)/('Market Penetration'!T43*('Market Data'!$C$51+'Market Data'!$M$51+'Market Data'!$W$51)))</f>
        <v>19626.690063674112</v>
      </c>
      <c r="AQ43" s="469">
        <f>IF('Market Penetration'!U43=0,0,1000*U43*('Market Data'!$E$51+'Market Data'!$O$51+'Market Data'!$Y$51)/('Market Penetration'!U43*('Market Data'!$C$51+'Market Data'!$M$51+'Market Data'!$W$51)))</f>
        <v>99585.396161259298</v>
      </c>
    </row>
    <row r="44" spans="1:43" ht="15" x14ac:dyDescent="0.25">
      <c r="A44" s="403">
        <v>2042</v>
      </c>
      <c r="B44" s="423">
        <f t="shared" si="12"/>
        <v>1.8286939912707356E-2</v>
      </c>
      <c r="C44" s="424">
        <f>'7&amp;8 Sleep'!$M111+'7&amp;8 Sleep'!$Z111</f>
        <v>0.33237378996800238</v>
      </c>
      <c r="D44" s="424">
        <f>'7&amp;8 Sleep'!$M163+'7&amp;8 Sleep'!$Z163</f>
        <v>0.33053867603253095</v>
      </c>
      <c r="E44" s="700">
        <f>'7&amp;8 Sleep'!$M215+'7&amp;8 Sleep'!$Z215</f>
        <v>0.25245246258994308</v>
      </c>
      <c r="F44" s="424">
        <f>'7&amp;8 Sleep'!$M268+'7&amp;8 Sleep'!$Z268</f>
        <v>1.9486731535738374E-2</v>
      </c>
      <c r="G44" s="658">
        <f>'7&amp;8 Sleep'!$M321+'7&amp;8 Sleep'!$Z321</f>
        <v>4.6861399961077986E-2</v>
      </c>
      <c r="H44" s="854">
        <f t="shared" si="13"/>
        <v>0.15847585690706689</v>
      </c>
      <c r="I44" s="658">
        <f>'7&amp;8 Day'!$M111+'7&amp;8 Day'!$Z111</f>
        <v>0.27204393947169986</v>
      </c>
      <c r="J44" s="658">
        <f>'7&amp;8 Day'!$M163+'7&amp;8 Day'!$Z163</f>
        <v>0.2716769478453826</v>
      </c>
      <c r="K44" s="658">
        <f>'7&amp;8 Day'!$M215+'7&amp;8 Day'!$Z215</f>
        <v>0.14848927417333604</v>
      </c>
      <c r="L44" s="658">
        <f>'7&amp;8 Day'!$M268+'7&amp;8 Day'!$Z268</f>
        <v>3.0061382098079453E-5</v>
      </c>
      <c r="M44" s="705">
        <f>'7&amp;8 Day'!$M321+'7&amp;8 Day'!$Z321</f>
        <v>0.14928392022041656</v>
      </c>
      <c r="N44" s="423">
        <f t="shared" si="14"/>
        <v>0.41561482909403769</v>
      </c>
      <c r="O44" s="424">
        <f>'7&amp;8 SU'!$M111+'7&amp;8 SU'!$Z111</f>
        <v>0.17046989119865791</v>
      </c>
      <c r="P44" s="424">
        <f>'7&amp;8 SU'!$M163+'7&amp;8 SU'!$Z163</f>
        <v>0.23437438610548242</v>
      </c>
      <c r="Q44" s="700">
        <f>'7&amp;8 SU'!$M215+'7&amp;8 SU'!$Z215</f>
        <v>0.1223683507530027</v>
      </c>
      <c r="R44" s="424">
        <f>'7&amp;8 SU'!$M268+'7&amp;8 SU'!$Z268</f>
        <v>4.3807487134174691E-2</v>
      </c>
      <c r="S44" s="658">
        <f>'7&amp;8 SU'!$M321+'7&amp;8 SU'!$Z321</f>
        <v>1.3365055714644674E-2</v>
      </c>
      <c r="T44" s="423">
        <f>B44*'Market Data'!$E$52+H44*'Market Data'!$O$52+N44*+N44*'Market Data'!$Y$52</f>
        <v>6.6048283354905035E-2</v>
      </c>
      <c r="U44" s="425">
        <f>SUM(C44:G44)*'Market Data'!$E$52+SUM(I44:M44)*'Market Data'!$O$52+SUM(O44:S44)*+N44*'Market Data'!$Y$52</f>
        <v>0.88154498527576897</v>
      </c>
      <c r="W44" s="403">
        <v>2042</v>
      </c>
      <c r="X44" s="460">
        <f>IF('Market Penetration'!B44=0,0,1000*B44*'Market Data'!$E$51/('Market Penetration'!B44*'Market Data'!$C$51))</f>
        <v>39130.375057736273</v>
      </c>
      <c r="Y44" s="461">
        <f>IF('Market Penetration'!C44=0,0,1000*C44*'Market Data'!$E$51/('Market Penetration'!C44*'Market Data'!$C$51))</f>
        <v>114934.64362731772</v>
      </c>
      <c r="Z44" s="461">
        <f>IF('Market Penetration'!D44=0,0,1000*D44*'Market Data'!$E$51/('Market Penetration'!D44*'Market Data'!$C$51))</f>
        <v>115521.51444809551</v>
      </c>
      <c r="AA44" s="695">
        <f>IF('Market Penetration'!E44=0,0,1000*E44*'Market Data'!$E$51/('Market Penetration'!E44*'Market Data'!$C$51))</f>
        <v>124184.96266868309</v>
      </c>
      <c r="AB44" s="461">
        <f>IF('Market Penetration'!F44=0,0,1000*F44*'Market Data'!$E$51/('Market Penetration'!F44*'Market Data'!$C$51))</f>
        <v>166151.11660217994</v>
      </c>
      <c r="AC44" s="690">
        <f>IF('Market Penetration'!G44=0,0,1000*G44*'Market Data'!$E$51/('Market Penetration'!G44*'Market Data'!$C$51))</f>
        <v>123636.26095347434</v>
      </c>
      <c r="AD44" s="460">
        <f>IF('Market Penetration'!H44=0,0,1000*H44*'Market Data'!$O$51/('Market Penetration'!H44*'Market Data'!$M$51))</f>
        <v>38207.701131976624</v>
      </c>
      <c r="AE44" s="461">
        <f>IF('Market Penetration'!I44=0,0,1000*I44*'Market Data'!$O$51/('Market Penetration'!I44*'Market Data'!$M$51))</f>
        <v>91539.772600173295</v>
      </c>
      <c r="AF44" s="461">
        <f>IF('Market Penetration'!J44=0,0,1000*J44*'Market Data'!$O$51/('Market Penetration'!J44*'Market Data'!$M$51))</f>
        <v>91672.890079863602</v>
      </c>
      <c r="AG44" s="461">
        <f>IF('Market Penetration'!K44=0,0,1000*K44*'Market Data'!$O$51/('Market Penetration'!K44*'Market Data'!$M$51))</f>
        <v>111900.90721013592</v>
      </c>
      <c r="AH44" s="461">
        <f>IF('Market Penetration'!L44=0,0,1000*L44*'Market Data'!$O$51/('Market Penetration'!L44*'Market Data'!$M$51))</f>
        <v>51742.06587894004</v>
      </c>
      <c r="AI44" s="462">
        <f>IF('Market Penetration'!M44=0,0,1000*M44*'Market Data'!$O$51/('Market Penetration'!M44*'Market Data'!$M$51))</f>
        <v>94551.409643869541</v>
      </c>
      <c r="AJ44" s="460">
        <f>IF('Market Penetration'!N44=0,0,1000*N44*'Market Data'!$Y$51/('Market Penetration'!N44*'Market Data'!$W$51))</f>
        <v>17770.037675967178</v>
      </c>
      <c r="AK44" s="461">
        <f>IF('Market Penetration'!O44=0,0,1000*O44*'Market Data'!$Y$51/('Market Penetration'!O44*'Market Data'!$W$51))</f>
        <v>43182.323747418552</v>
      </c>
      <c r="AL44" s="461">
        <f>IF('Market Penetration'!P44=0,0,1000*P44*'Market Data'!$Y$51/('Market Penetration'!P44*'Market Data'!$W$51))</f>
        <v>38784.097972669035</v>
      </c>
      <c r="AM44" s="695">
        <f>IF('Market Penetration'!Q44=0,0,1000*Q44*'Market Data'!$Y$51/('Market Penetration'!Q44*'Market Data'!$W$51))</f>
        <v>48715.767570383665</v>
      </c>
      <c r="AN44" s="461">
        <f>IF('Market Penetration'!R44=0,0,1000*R44*'Market Data'!$Y$51/('Market Penetration'!R44*'Market Data'!$W$51))</f>
        <v>76243.089437299117</v>
      </c>
      <c r="AO44" s="690">
        <f>IF('Market Penetration'!S44=0,0,1000*S44*'Market Data'!$Y$51/('Market Penetration'!S44*'Market Data'!$W$51))</f>
        <v>61674.670582508457</v>
      </c>
      <c r="AP44" s="460">
        <f>IF('Market Penetration'!T44=0,0,1000*T44*('Market Data'!$E$51+'Market Data'!$O$51+'Market Data'!$Y$51)/('Market Penetration'!T44*('Market Data'!$C$51+'Market Data'!$M$51+'Market Data'!$W$51)))</f>
        <v>19351.221399228183</v>
      </c>
      <c r="AQ44" s="462">
        <f>IF('Market Penetration'!U44=0,0,1000*U44*('Market Data'!$E$51+'Market Data'!$O$51+'Market Data'!$Y$51)/('Market Penetration'!U44*('Market Data'!$C$51+'Market Data'!$M$51+'Market Data'!$W$51)))</f>
        <v>99417.693362281061</v>
      </c>
    </row>
    <row r="45" spans="1:43" ht="15" x14ac:dyDescent="0.25">
      <c r="A45" s="403">
        <v>2043</v>
      </c>
      <c r="B45" s="423">
        <f t="shared" si="12"/>
        <v>1.828693046157559E-2</v>
      </c>
      <c r="C45" s="424">
        <f>'7&amp;8 Sleep'!$M112+'7&amp;8 Sleep'!$Z112</f>
        <v>0.32062720270800033</v>
      </c>
      <c r="D45" s="424">
        <f>'7&amp;8 Sleep'!$M164+'7&amp;8 Sleep'!$Z164</f>
        <v>0.31883708142536649</v>
      </c>
      <c r="E45" s="700">
        <f>'7&amp;8 Sleep'!$M216+'7&amp;8 Sleep'!$Z216</f>
        <v>0.24292267394308104</v>
      </c>
      <c r="F45" s="424">
        <f>'7&amp;8 Sleep'!$M269+'7&amp;8 Sleep'!$Z269</f>
        <v>4.7369764293451043E-2</v>
      </c>
      <c r="G45" s="658">
        <f>'7&amp;8 Sleep'!$M322+'7&amp;8 Sleep'!$Z322</f>
        <v>5.1956347168525444E-2</v>
      </c>
      <c r="H45" s="854">
        <f t="shared" si="13"/>
        <v>0.1334773670537599</v>
      </c>
      <c r="I45" s="658">
        <f>'7&amp;8 Day'!$M112+'7&amp;8 Day'!$Z112</f>
        <v>0.26519069701482278</v>
      </c>
      <c r="J45" s="658">
        <f>'7&amp;8 Day'!$M164+'7&amp;8 Day'!$Z164</f>
        <v>0.2647605314044868</v>
      </c>
      <c r="K45" s="658">
        <f>'7&amp;8 Day'!$M216+'7&amp;8 Day'!$Z216</f>
        <v>0.17627551136997566</v>
      </c>
      <c r="L45" s="658">
        <f>'7&amp;8 Day'!$M269+'7&amp;8 Day'!$Z269</f>
        <v>1.5085652543650938E-3</v>
      </c>
      <c r="M45" s="705">
        <f>'7&amp;8 Day'!$M322+'7&amp;8 Day'!$Z322</f>
        <v>0.15878732790258981</v>
      </c>
      <c r="N45" s="423">
        <f t="shared" si="14"/>
        <v>0.41561481380102994</v>
      </c>
      <c r="O45" s="424">
        <f>'7&amp;8 SU'!$M112+'7&amp;8 SU'!$Z112</f>
        <v>0.16363833419703974</v>
      </c>
      <c r="P45" s="424">
        <f>'7&amp;8 SU'!$M164+'7&amp;8 SU'!$Z164</f>
        <v>0.22569654259900884</v>
      </c>
      <c r="Q45" s="700">
        <f>'7&amp;8 SU'!$M216+'7&amp;8 SU'!$Z216</f>
        <v>0.11716355517533553</v>
      </c>
      <c r="R45" s="424">
        <f>'7&amp;8 SU'!$M269+'7&amp;8 SU'!$Z269</f>
        <v>5.4268068202002459E-2</v>
      </c>
      <c r="S45" s="658">
        <f>'7&amp;8 SU'!$M322+'7&amp;8 SU'!$Z322</f>
        <v>2.3618686025583507E-2</v>
      </c>
      <c r="T45" s="423">
        <f>B45*'Market Data'!$E$52+H45*'Market Data'!$O$52+N45*+N45*'Market Data'!$Y$52</f>
        <v>6.0001332566112543E-2</v>
      </c>
      <c r="U45" s="425">
        <f>SUM(C45:G45)*'Market Data'!$E$52+SUM(I45:M45)*'Market Data'!$O$52+SUM(O45:S45)*+N45*'Market Data'!$Y$52</f>
        <v>0.88759193469310893</v>
      </c>
      <c r="W45" s="403">
        <v>2043</v>
      </c>
      <c r="X45" s="460">
        <f>IF('Market Penetration'!B45=0,0,1000*B45*'Market Data'!$E$51/('Market Penetration'!B45*'Market Data'!$C$51))</f>
        <v>39130.361510539107</v>
      </c>
      <c r="Y45" s="461">
        <f>IF('Market Penetration'!C45=0,0,1000*C45*'Market Data'!$E$51/('Market Penetration'!C45*'Market Data'!$C$51))</f>
        <v>114648.65131559822</v>
      </c>
      <c r="Z45" s="461">
        <f>IF('Market Penetration'!D45=0,0,1000*D45*'Market Data'!$E$51/('Market Penetration'!D45*'Market Data'!$C$51))</f>
        <v>115249.98548649713</v>
      </c>
      <c r="AA45" s="695">
        <f>IF('Market Penetration'!E45=0,0,1000*E45*'Market Data'!$E$51/('Market Penetration'!E45*'Market Data'!$C$51))</f>
        <v>124021.27587058033</v>
      </c>
      <c r="AB45" s="461">
        <f>IF('Market Penetration'!F45=0,0,1000*F45*'Market Data'!$E$51/('Market Penetration'!F45*'Market Data'!$C$51))</f>
        <v>143674.91636210261</v>
      </c>
      <c r="AC45" s="690">
        <f>IF('Market Penetration'!G45=0,0,1000*G45*'Market Data'!$E$51/('Market Penetration'!G45*'Market Data'!$C$51))</f>
        <v>120604.29398985575</v>
      </c>
      <c r="AD45" s="460">
        <f>IF('Market Penetration'!H45=0,0,1000*H45*'Market Data'!$O$51/('Market Penetration'!H45*'Market Data'!$M$51))</f>
        <v>36032.128464588495</v>
      </c>
      <c r="AE45" s="461">
        <f>IF('Market Penetration'!I45=0,0,1000*I45*'Market Data'!$O$51/('Market Penetration'!I45*'Market Data'!$M$51))</f>
        <v>91599.530702170203</v>
      </c>
      <c r="AF45" s="461">
        <f>IF('Market Penetration'!J45=0,0,1000*J45*'Market Data'!$O$51/('Market Penetration'!J45*'Market Data'!$M$51))</f>
        <v>91783.947209204023</v>
      </c>
      <c r="AG45" s="461">
        <f>IF('Market Penetration'!K45=0,0,1000*K45*'Market Data'!$O$51/('Market Penetration'!K45*'Market Data'!$M$51))</f>
        <v>103860.69434395597</v>
      </c>
      <c r="AH45" s="461">
        <f>IF('Market Penetration'!L45=0,0,1000*L45*'Market Data'!$O$51/('Market Penetration'!L45*'Market Data'!$M$51))</f>
        <v>51385.078819258844</v>
      </c>
      <c r="AI45" s="462">
        <f>IF('Market Penetration'!M45=0,0,1000*M45*'Market Data'!$O$51/('Market Penetration'!M45*'Market Data'!$M$51))</f>
        <v>89262.817447241221</v>
      </c>
      <c r="AJ45" s="460">
        <f>IF('Market Penetration'!N45=0,0,1000*N45*'Market Data'!$Y$51/('Market Penetration'!N45*'Market Data'!$W$51))</f>
        <v>17770.03728641992</v>
      </c>
      <c r="AK45" s="461">
        <f>IF('Market Penetration'!O45=0,0,1000*O45*'Market Data'!$Y$51/('Market Penetration'!O45*'Market Data'!$W$51))</f>
        <v>43056.632563509702</v>
      </c>
      <c r="AL45" s="461">
        <f>IF('Market Penetration'!P45=0,0,1000*P45*'Market Data'!$Y$51/('Market Penetration'!P45*'Market Data'!$W$51))</f>
        <v>38623.882223596069</v>
      </c>
      <c r="AM45" s="695">
        <f>IF('Market Penetration'!Q45=0,0,1000*Q45*'Market Data'!$Y$51/('Market Penetration'!Q45*'Market Data'!$W$51))</f>
        <v>48684.535487656489</v>
      </c>
      <c r="AN45" s="461">
        <f>IF('Market Penetration'!R45=0,0,1000*R45*'Market Data'!$Y$51/('Market Penetration'!R45*'Market Data'!$W$51))</f>
        <v>65780.082110782969</v>
      </c>
      <c r="AO45" s="690">
        <f>IF('Market Penetration'!S45=0,0,1000*S45*'Market Data'!$Y$51/('Market Penetration'!S45*'Market Data'!$W$51))</f>
        <v>56459.070971754831</v>
      </c>
      <c r="AP45" s="460">
        <f>IF('Market Penetration'!T45=0,0,1000*T45*('Market Data'!$E$51+'Market Data'!$O$51+'Market Data'!$Y$51)/('Market Penetration'!T45*('Market Data'!$C$51+'Market Data'!$M$51+'Market Data'!$W$51)))</f>
        <v>18149.827275670192</v>
      </c>
      <c r="AQ45" s="462">
        <f>IF('Market Penetration'!U45=0,0,1000*U45*('Market Data'!$E$51+'Market Data'!$O$51+'Market Data'!$Y$51)/('Market Penetration'!U45*('Market Data'!$C$51+'Market Data'!$M$51+'Market Data'!$W$51)))</f>
        <v>98903.464698678086</v>
      </c>
    </row>
    <row r="46" spans="1:43" ht="15" x14ac:dyDescent="0.25">
      <c r="A46" s="403">
        <v>2044</v>
      </c>
      <c r="B46" s="423">
        <f t="shared" si="12"/>
        <v>1.8286926984698804E-2</v>
      </c>
      <c r="C46" s="424">
        <f>'7&amp;8 Sleep'!$M113+'7&amp;8 Sleep'!$Z113</f>
        <v>0.30844577286276931</v>
      </c>
      <c r="D46" s="424">
        <f>'7&amp;8 Sleep'!$M165+'7&amp;8 Sleep'!$Z165</f>
        <v>0.30662177254832956</v>
      </c>
      <c r="E46" s="700">
        <f>'7&amp;8 Sleep'!$M217+'7&amp;8 Sleep'!$Z217</f>
        <v>0.23118103144852423</v>
      </c>
      <c r="F46" s="424">
        <f>'7&amp;8 Sleep'!$M270+'7&amp;8 Sleep'!$Z270</f>
        <v>8.126245354275638E-2</v>
      </c>
      <c r="G46" s="658">
        <f>'7&amp;8 Sleep'!$M323+'7&amp;8 Sleep'!$Z323</f>
        <v>5.4202042612921754E-2</v>
      </c>
      <c r="H46" s="854">
        <f t="shared" si="13"/>
        <v>0.11843028455561055</v>
      </c>
      <c r="I46" s="658">
        <f>'7&amp;8 Day'!$M113+'7&amp;8 Day'!$Z113</f>
        <v>0.25742941215852411</v>
      </c>
      <c r="J46" s="658">
        <f>'7&amp;8 Day'!$M165+'7&amp;8 Day'!$Z165</f>
        <v>0.25710114859450783</v>
      </c>
      <c r="K46" s="658">
        <f>'7&amp;8 Day'!$M217+'7&amp;8 Day'!$Z217</f>
        <v>0.19827888119883152</v>
      </c>
      <c r="L46" s="658">
        <f>'7&amp;8 Day'!$M270+'7&amp;8 Day'!$Z270</f>
        <v>6.3031112927196941E-3</v>
      </c>
      <c r="M46" s="705">
        <f>'7&amp;8 Day'!$M323+'7&amp;8 Day'!$Z323</f>
        <v>0.1624571621998063</v>
      </c>
      <c r="N46" s="423">
        <f t="shared" si="14"/>
        <v>0.41574188683420488</v>
      </c>
      <c r="O46" s="424">
        <f>'7&amp;8 SU'!$M113+'7&amp;8 SU'!$Z113</f>
        <v>0.15610092197340886</v>
      </c>
      <c r="P46" s="424">
        <f>'7&amp;8 SU'!$M165+'7&amp;8 SU'!$Z165</f>
        <v>0.214861305491863</v>
      </c>
      <c r="Q46" s="700">
        <f>'7&amp;8 SU'!$M217+'7&amp;8 SU'!$Z217</f>
        <v>0.11201855730417795</v>
      </c>
      <c r="R46" s="424">
        <f>'7&amp;8 SU'!$M270+'7&amp;8 SU'!$Z270</f>
        <v>6.6237923522397352E-2</v>
      </c>
      <c r="S46" s="658">
        <f>'7&amp;8 SU'!$M323+'7&amp;8 SU'!$Z323</f>
        <v>3.5039404873947931E-2</v>
      </c>
      <c r="T46" s="423">
        <f>B46*'Market Data'!$E$52+H46*'Market Data'!$O$52+N46*+N46*'Market Data'!$Y$52</f>
        <v>5.6371030069153893E-2</v>
      </c>
      <c r="U46" s="425">
        <f>SUM(C46:G46)*'Market Data'!$E$52+SUM(I46:M46)*'Market Data'!$O$52+SUM(O46:S46)*+N46*'Market Data'!$Y$52</f>
        <v>0.89123363289729185</v>
      </c>
      <c r="W46" s="403">
        <v>2044</v>
      </c>
      <c r="X46" s="460">
        <f>IF('Market Penetration'!B46=0,0,1000*B46*'Market Data'!$E$51/('Market Penetration'!B46*'Market Data'!$C$51))</f>
        <v>39130.356526803225</v>
      </c>
      <c r="Y46" s="461">
        <f>IF('Market Penetration'!C46=0,0,1000*C46*'Market Data'!$E$51/('Market Penetration'!C46*'Market Data'!$C$51))</f>
        <v>114503.6629196407</v>
      </c>
      <c r="Z46" s="461">
        <f>IF('Market Penetration'!D46=0,0,1000*D46*'Market Data'!$E$51/('Market Penetration'!D46*'Market Data'!$C$51))</f>
        <v>115223.53254616749</v>
      </c>
      <c r="AA46" s="695">
        <f>IF('Market Penetration'!E46=0,0,1000*E46*'Market Data'!$E$51/('Market Penetration'!E46*'Market Data'!$C$51))</f>
        <v>124189.29505987938</v>
      </c>
      <c r="AB46" s="461">
        <f>IF('Market Penetration'!F46=0,0,1000*F46*'Market Data'!$E$51/('Market Penetration'!F46*'Market Data'!$C$51))</f>
        <v>133651.8378622242</v>
      </c>
      <c r="AC46" s="690">
        <f>IF('Market Penetration'!G46=0,0,1000*G46*'Market Data'!$E$51/('Market Penetration'!G46*'Market Data'!$C$51))</f>
        <v>118369.91099000696</v>
      </c>
      <c r="AD46" s="460">
        <f>IF('Market Penetration'!H46=0,0,1000*H46*'Market Data'!$O$51/('Market Penetration'!H46*'Market Data'!$M$51))</f>
        <v>34868.785508382411</v>
      </c>
      <c r="AE46" s="461">
        <f>IF('Market Penetration'!I46=0,0,1000*I46*'Market Data'!$O$51/('Market Penetration'!I46*'Market Data'!$M$51))</f>
        <v>92601.940152097071</v>
      </c>
      <c r="AF46" s="461">
        <f>IF('Market Penetration'!J46=0,0,1000*J46*'Market Data'!$O$51/('Market Penetration'!J46*'Market Data'!$M$51))</f>
        <v>92749.818813966835</v>
      </c>
      <c r="AG46" s="461">
        <f>IF('Market Penetration'!K46=0,0,1000*K46*'Market Data'!$O$51/('Market Penetration'!K46*'Market Data'!$M$51))</f>
        <v>97939.937124893564</v>
      </c>
      <c r="AH46" s="461">
        <f>IF('Market Penetration'!L46=0,0,1000*L46*'Market Data'!$O$51/('Market Penetration'!L46*'Market Data'!$M$51))</f>
        <v>50193.097837930174</v>
      </c>
      <c r="AI46" s="462">
        <f>IF('Market Penetration'!M46=0,0,1000*M46*'Market Data'!$O$51/('Market Penetration'!M46*'Market Data'!$M$51))</f>
        <v>85905.856634704891</v>
      </c>
      <c r="AJ46" s="460">
        <f>IF('Market Penetration'!N46=0,0,1000*N46*'Market Data'!$Y$51/('Market Penetration'!N46*'Market Data'!$W$51))</f>
        <v>17767.312368860501</v>
      </c>
      <c r="AK46" s="461">
        <f>IF('Market Penetration'!O46=0,0,1000*O46*'Market Data'!$Y$51/('Market Penetration'!O46*'Market Data'!$W$51))</f>
        <v>43273.386948227584</v>
      </c>
      <c r="AL46" s="461">
        <f>IF('Market Penetration'!P46=0,0,1000*P46*'Market Data'!$Y$51/('Market Penetration'!P46*'Market Data'!$W$51))</f>
        <v>38788.247425519483</v>
      </c>
      <c r="AM46" s="695">
        <f>IF('Market Penetration'!Q46=0,0,1000*Q46*'Market Data'!$Y$51/('Market Penetration'!Q46*'Market Data'!$W$51))</f>
        <v>49029.707201094723</v>
      </c>
      <c r="AN46" s="461">
        <f>IF('Market Penetration'!R46=0,0,1000*R46*'Market Data'!$Y$51/('Market Penetration'!R46*'Market Data'!$W$51))</f>
        <v>57280.956654976064</v>
      </c>
      <c r="AO46" s="690">
        <f>IF('Market Penetration'!S46=0,0,1000*S46*'Market Data'!$Y$51/('Market Penetration'!S46*'Market Data'!$W$51))</f>
        <v>50386.042586611242</v>
      </c>
      <c r="AP46" s="460">
        <f>IF('Market Penetration'!T46=0,0,1000*T46*('Market Data'!$E$51+'Market Data'!$O$51+'Market Data'!$Y$51)/('Market Penetration'!T46*('Market Data'!$C$51+'Market Data'!$M$51+'Market Data'!$W$51)))</f>
        <v>17439.567425767691</v>
      </c>
      <c r="AQ46" s="462">
        <f>IF('Market Penetration'!U46=0,0,1000*U46*('Market Data'!$E$51+'Market Data'!$O$51+'Market Data'!$Y$51)/('Market Penetration'!U46*('Market Data'!$C$51+'Market Data'!$M$51+'Market Data'!$W$51)))</f>
        <v>98502.233830397672</v>
      </c>
    </row>
    <row r="47" spans="1:43" ht="15" x14ac:dyDescent="0.25">
      <c r="A47" s="402">
        <v>2045</v>
      </c>
      <c r="B47" s="426">
        <f t="shared" si="12"/>
        <v>1.8286925705627177E-2</v>
      </c>
      <c r="C47" s="427">
        <f>'7&amp;8 Sleep'!$M114+'7&amp;8 Sleep'!$Z114</f>
        <v>0.29568403799566118</v>
      </c>
      <c r="D47" s="427">
        <f>'7&amp;8 Sleep'!$M166+'7&amp;8 Sleep'!$Z166</f>
        <v>0.29393100070753692</v>
      </c>
      <c r="E47" s="701">
        <f>'7&amp;8 Sleep'!$M218+'7&amp;8 Sleep'!$Z218</f>
        <v>0.22154791250232669</v>
      </c>
      <c r="F47" s="427">
        <f>'7&amp;8 Sleep'!$M271+'7&amp;8 Sleep'!$Z271</f>
        <v>0.11352609946947907</v>
      </c>
      <c r="G47" s="659">
        <f>'7&amp;8 Sleep'!$M324+'7&amp;8 Sleep'!$Z324</f>
        <v>5.7024023619368966E-2</v>
      </c>
      <c r="H47" s="855">
        <f t="shared" si="13"/>
        <v>0.10250104051401787</v>
      </c>
      <c r="I47" s="659">
        <f>'7&amp;8 Day'!$M114+'7&amp;8 Day'!$Z114</f>
        <v>0.25278102682000902</v>
      </c>
      <c r="J47" s="659">
        <f>'7&amp;8 Day'!$M166+'7&amp;8 Day'!$Z166</f>
        <v>0.2524802215979951</v>
      </c>
      <c r="K47" s="659">
        <f>'7&amp;8 Day'!$M218+'7&amp;8 Day'!$Z218</f>
        <v>0.2124500921710227</v>
      </c>
      <c r="L47" s="659">
        <f>'7&amp;8 Day'!$M271+'7&amp;8 Day'!$Z271</f>
        <v>1.1906212450235988E-2</v>
      </c>
      <c r="M47" s="706">
        <f>'7&amp;8 Day'!$M324+'7&amp;8 Day'!$Z324</f>
        <v>0.16788140644671917</v>
      </c>
      <c r="N47" s="426">
        <f t="shared" si="14"/>
        <v>0.41574188476497143</v>
      </c>
      <c r="O47" s="427">
        <f>'7&amp;8 SU'!$M114+'7&amp;8 SU'!$Z114</f>
        <v>0.14775832465823147</v>
      </c>
      <c r="P47" s="427">
        <f>'7&amp;8 SU'!$M166+'7&amp;8 SU'!$Z166</f>
        <v>0.20218521777128542</v>
      </c>
      <c r="Q47" s="701">
        <f>'7&amp;8 SU'!$M218+'7&amp;8 SU'!$Z218</f>
        <v>0.10675544872112339</v>
      </c>
      <c r="R47" s="427">
        <f>'7&amp;8 SU'!$M271+'7&amp;8 SU'!$Z271</f>
        <v>7.9186697000123915E-2</v>
      </c>
      <c r="S47" s="659">
        <f>'7&amp;8 SU'!$M324+'7&amp;8 SU'!$Z324</f>
        <v>4.8372427084264411E-2</v>
      </c>
      <c r="T47" s="426">
        <f>B47*'Market Data'!$E$52+H47*'Market Data'!$O$52+N47*+N47*'Market Data'!$Y$52</f>
        <v>5.2517866865030252E-2</v>
      </c>
      <c r="U47" s="428">
        <f>SUM(C47:G47)*'Market Data'!$E$52+SUM(I47:M47)*'Market Data'!$O$52+SUM(O47:S47)*+N47*'Market Data'!$Y$52</f>
        <v>0.89508679591584994</v>
      </c>
      <c r="W47" s="402">
        <v>2045</v>
      </c>
      <c r="X47" s="463">
        <f>IF('Market Penetration'!B47=0,0,1000*B47*'Market Data'!$E$51/('Market Penetration'!B47*'Market Data'!$C$51))</f>
        <v>39130.354693388916</v>
      </c>
      <c r="Y47" s="464">
        <f>IF('Market Penetration'!C47=0,0,1000*C47*'Market Data'!$E$51/('Market Penetration'!C47*'Market Data'!$C$51))</f>
        <v>114617.53035710636</v>
      </c>
      <c r="Z47" s="464">
        <f>IF('Market Penetration'!D47=0,0,1000*D47*'Market Data'!$E$51/('Market Penetration'!D47*'Market Data'!$C$51))</f>
        <v>115360.65079176985</v>
      </c>
      <c r="AA47" s="696">
        <f>IF('Market Penetration'!E47=0,0,1000*E47*'Market Data'!$E$51/('Market Penetration'!E47*'Market Data'!$C$51))</f>
        <v>124417.00174707049</v>
      </c>
      <c r="AB47" s="464">
        <f>IF('Market Penetration'!F47=0,0,1000*F47*'Market Data'!$E$51/('Market Penetration'!F47*'Market Data'!$C$51))</f>
        <v>127992.03547609372</v>
      </c>
      <c r="AC47" s="691">
        <f>IF('Market Penetration'!G47=0,0,1000*G47*'Market Data'!$E$51/('Market Penetration'!G47*'Market Data'!$C$51))</f>
        <v>117100.71601166911</v>
      </c>
      <c r="AD47" s="463">
        <f>IF('Market Penetration'!H47=0,0,1000*H47*'Market Data'!$O$51/('Market Penetration'!H47*'Market Data'!$M$51))</f>
        <v>33805.919333139813</v>
      </c>
      <c r="AE47" s="464">
        <f>IF('Market Penetration'!I47=0,0,1000*I47*'Market Data'!$O$51/('Market Penetration'!I47*'Market Data'!$M$51))</f>
        <v>93339.075970340506</v>
      </c>
      <c r="AF47" s="464">
        <f>IF('Market Penetration'!J47=0,0,1000*J47*'Market Data'!$O$51/('Market Penetration'!J47*'Market Data'!$M$51))</f>
        <v>93474.366994281372</v>
      </c>
      <c r="AG47" s="464">
        <f>IF('Market Penetration'!K47=0,0,1000*K47*'Market Data'!$O$51/('Market Penetration'!K47*'Market Data'!$M$51))</f>
        <v>93682.546430151648</v>
      </c>
      <c r="AH47" s="464">
        <f>IF('Market Penetration'!L47=0,0,1000*L47*'Market Data'!$O$51/('Market Penetration'!L47*'Market Data'!$M$51))</f>
        <v>48102.995065913259</v>
      </c>
      <c r="AI47" s="465">
        <f>IF('Market Penetration'!M47=0,0,1000*M47*'Market Data'!$O$51/('Market Penetration'!M47*'Market Data'!$M$51))</f>
        <v>82578.706545755995</v>
      </c>
      <c r="AJ47" s="463">
        <f>IF('Market Penetration'!N47=0,0,1000*N47*'Market Data'!$Y$51/('Market Penetration'!N47*'Market Data'!$W$51))</f>
        <v>17767.312316150081</v>
      </c>
      <c r="AK47" s="464">
        <f>IF('Market Penetration'!O47=0,0,1000*O47*'Market Data'!$Y$51/('Market Penetration'!O47*'Market Data'!$W$51))</f>
        <v>43827.026505198432</v>
      </c>
      <c r="AL47" s="464">
        <f>IF('Market Penetration'!P47=0,0,1000*P47*'Market Data'!$Y$51/('Market Penetration'!P47*'Market Data'!$W$51))</f>
        <v>39180.784051712042</v>
      </c>
      <c r="AM47" s="696">
        <f>IF('Market Penetration'!Q47=0,0,1000*Q47*'Market Data'!$Y$51/('Market Penetration'!Q47*'Market Data'!$W$51))</f>
        <v>49729.373266222115</v>
      </c>
      <c r="AN47" s="464">
        <f>IF('Market Penetration'!R47=0,0,1000*R47*'Market Data'!$Y$51/('Market Penetration'!R47*'Market Data'!$W$51))</f>
        <v>51453.924505425828</v>
      </c>
      <c r="AO47" s="691">
        <f>IF('Market Penetration'!S47=0,0,1000*S47*'Market Data'!$Y$51/('Market Penetration'!S47*'Market Data'!$W$51))</f>
        <v>45388.949292329431</v>
      </c>
      <c r="AP47" s="463">
        <f>IF('Market Penetration'!T47=0,0,1000*T47*('Market Data'!$E$51+'Market Data'!$O$51+'Market Data'!$Y$51)/('Market Penetration'!T47*('Market Data'!$C$51+'Market Data'!$M$51+'Market Data'!$W$51)))</f>
        <v>16703.010495720606</v>
      </c>
      <c r="AQ47" s="465">
        <f>IF('Market Penetration'!U47=0,0,1000*U47*('Market Data'!$E$51+'Market Data'!$O$51+'Market Data'!$Y$51)/('Market Penetration'!U47*('Market Data'!$C$51+'Market Data'!$M$51+'Market Data'!$W$51)))</f>
        <v>97973.594621394266</v>
      </c>
    </row>
    <row r="48" spans="1:43" ht="15" x14ac:dyDescent="0.25">
      <c r="A48" s="403">
        <v>2046</v>
      </c>
      <c r="B48" s="430">
        <f t="shared" si="12"/>
        <v>1.8414824772568283E-2</v>
      </c>
      <c r="C48" s="431">
        <f>'7&amp;8 Sleep'!$M115+'7&amp;8 Sleep'!$Z115</f>
        <v>0.28890107688242855</v>
      </c>
      <c r="D48" s="431">
        <f>'7&amp;8 Sleep'!$M167+'7&amp;8 Sleep'!$Z167</f>
        <v>0.28723807293704784</v>
      </c>
      <c r="E48" s="702">
        <f>'7&amp;8 Sleep'!$M219+'7&amp;8 Sleep'!$Z219</f>
        <v>0.21549958090282487</v>
      </c>
      <c r="F48" s="431">
        <f>'7&amp;8 Sleep'!$M272+'7&amp;8 Sleep'!$Z272</f>
        <v>0.13035851958416092</v>
      </c>
      <c r="G48" s="660">
        <f>'7&amp;8 Sleep'!$M325+'7&amp;8 Sleep'!$Z325</f>
        <v>5.9587924920969627E-2</v>
      </c>
      <c r="H48" s="856">
        <f t="shared" si="13"/>
        <v>9.2580015042425412E-2</v>
      </c>
      <c r="I48" s="660">
        <f>'7&amp;8 Day'!$M115+'7&amp;8 Day'!$Z115</f>
        <v>0.24975869238631088</v>
      </c>
      <c r="J48" s="660">
        <f>'7&amp;8 Day'!$M167+'7&amp;8 Day'!$Z167</f>
        <v>0.2491033214716557</v>
      </c>
      <c r="K48" s="660">
        <f>'7&amp;8 Day'!$M219+'7&amp;8 Day'!$Z219</f>
        <v>0.22183090189991073</v>
      </c>
      <c r="L48" s="660">
        <f>'7&amp;8 Day'!$M272+'7&amp;8 Day'!$Z272</f>
        <v>1.6110646323116609E-2</v>
      </c>
      <c r="M48" s="707">
        <f>'7&amp;8 Day'!$M325+'7&amp;8 Day'!$Z325</f>
        <v>0.17061642287658058</v>
      </c>
      <c r="N48" s="430">
        <f t="shared" si="14"/>
        <v>0.4157418840037429</v>
      </c>
      <c r="O48" s="431">
        <f>'7&amp;8 SU'!$M115+'7&amp;8 SU'!$Z115</f>
        <v>0.14202905235936694</v>
      </c>
      <c r="P48" s="431">
        <f>'7&amp;8 SU'!$M167+'7&amp;8 SU'!$Z167</f>
        <v>0.19323928177006577</v>
      </c>
      <c r="Q48" s="702">
        <f>'7&amp;8 SU'!$M219+'7&amp;8 SU'!$Z219</f>
        <v>0.10328053891846496</v>
      </c>
      <c r="R48" s="431">
        <f>'7&amp;8 SU'!$M272+'7&amp;8 SU'!$Z272</f>
        <v>8.7751216664754217E-2</v>
      </c>
      <c r="S48" s="660">
        <f>'7&amp;8 SU'!$M325+'7&amp;8 SU'!$Z325</f>
        <v>5.7958026283605232E-2</v>
      </c>
      <c r="T48" s="433">
        <f>B48*'Market Data'!$E$52+H48*'Market Data'!$O$52+N48*+N48*'Market Data'!$Y$52</f>
        <v>5.0203538169515109E-2</v>
      </c>
      <c r="U48" s="434">
        <f>SUM(C48:G48)*'Market Data'!$E$52+SUM(I48:M48)*'Market Data'!$O$52+SUM(O48:S48)*+N48*'Market Data'!$Y$52</f>
        <v>0.89740112454309928</v>
      </c>
      <c r="W48" s="403">
        <v>2046</v>
      </c>
      <c r="X48" s="466">
        <f>IF('Market Penetration'!B48=0,0,1000*B48*'Market Data'!$E$51/('Market Penetration'!B48*'Market Data'!$C$51))</f>
        <v>39194.121798840446</v>
      </c>
      <c r="Y48" s="467">
        <f>IF('Market Penetration'!C48=0,0,1000*C48*'Market Data'!$E$51/('Market Penetration'!C48*'Market Data'!$C$51))</f>
        <v>114772.78923168765</v>
      </c>
      <c r="Z48" s="467">
        <f>IF('Market Penetration'!D48=0,0,1000*D48*'Market Data'!$E$51/('Market Penetration'!D48*'Market Data'!$C$51))</f>
        <v>115505.33564703359</v>
      </c>
      <c r="AA48" s="697">
        <f>IF('Market Penetration'!E48=0,0,1000*E48*'Market Data'!$E$51/('Market Penetration'!E48*'Market Data'!$C$51))</f>
        <v>124744.7469234848</v>
      </c>
      <c r="AB48" s="467">
        <f>IF('Market Penetration'!F48=0,0,1000*F48*'Market Data'!$E$51/('Market Penetration'!F48*'Market Data'!$C$51))</f>
        <v>125490.65565902845</v>
      </c>
      <c r="AC48" s="692">
        <f>IF('Market Penetration'!G48=0,0,1000*G48*'Market Data'!$E$51/('Market Penetration'!G48*'Market Data'!$C$51))</f>
        <v>116944.73608384046</v>
      </c>
      <c r="AD48" s="466">
        <f>IF('Market Penetration'!H48=0,0,1000*H48*'Market Data'!$O$51/('Market Penetration'!H48*'Market Data'!$M$51))</f>
        <v>33252.397991137899</v>
      </c>
      <c r="AE48" s="467">
        <f>IF('Market Penetration'!I48=0,0,1000*I48*'Market Data'!$O$51/('Market Penetration'!I48*'Market Data'!$M$51))</f>
        <v>93681.03856895896</v>
      </c>
      <c r="AF48" s="467">
        <f>IF('Market Penetration'!J48=0,0,1000*J48*'Market Data'!$O$51/('Market Penetration'!J48*'Market Data'!$M$51))</f>
        <v>93643.217295858805</v>
      </c>
      <c r="AG48" s="467">
        <f>IF('Market Penetration'!K48=0,0,1000*K48*'Market Data'!$O$51/('Market Penetration'!K48*'Market Data'!$M$51))</f>
        <v>90888.633285144999</v>
      </c>
      <c r="AH48" s="467">
        <f>IF('Market Penetration'!L48=0,0,1000*L48*'Market Data'!$O$51/('Market Penetration'!L48*'Market Data'!$M$51))</f>
        <v>45972.902688984752</v>
      </c>
      <c r="AI48" s="861">
        <f>IF('Market Penetration'!M48=0,0,1000*M48*'Market Data'!$O$51/('Market Penetration'!M48*'Market Data'!$M$51))</f>
        <v>81708.793983536409</v>
      </c>
      <c r="AJ48" s="466">
        <f>IF('Market Penetration'!N48=0,0,1000*N48*'Market Data'!$Y$51/('Market Penetration'!N48*'Market Data'!$W$51))</f>
        <v>17767.312296758999</v>
      </c>
      <c r="AK48" s="467">
        <f>IF('Market Penetration'!O48=0,0,1000*O48*'Market Data'!$Y$51/('Market Penetration'!O48*'Market Data'!$W$51))</f>
        <v>44343.419195962713</v>
      </c>
      <c r="AL48" s="467">
        <f>IF('Market Penetration'!P48=0,0,1000*P48*'Market Data'!$Y$51/('Market Penetration'!P48*'Market Data'!$W$51))</f>
        <v>39558.596512334356</v>
      </c>
      <c r="AM48" s="697">
        <f>IF('Market Penetration'!Q48=0,0,1000*Q48*'Market Data'!$Y$51/('Market Penetration'!Q48*'Market Data'!$W$51))</f>
        <v>50354.005830591246</v>
      </c>
      <c r="AN48" s="467">
        <f>IF('Market Penetration'!R48=0,0,1000*R48*'Market Data'!$Y$51/('Market Penetration'!R48*'Market Data'!$W$51))</f>
        <v>48809.990487540083</v>
      </c>
      <c r="AO48" s="692">
        <f>IF('Market Penetration'!S48=0,0,1000*S48*'Market Data'!$Y$51/('Market Penetration'!S48*'Market Data'!$W$51))</f>
        <v>43045.618883402858</v>
      </c>
      <c r="AP48" s="468">
        <f>IF('Market Penetration'!T48=0,0,1000*T48*('Market Data'!$E$51+'Market Data'!$O$51+'Market Data'!$Y$51)/('Market Penetration'!T48*('Market Data'!$C$51+'Market Data'!$M$51+'Market Data'!$W$51)))</f>
        <v>16268.541046185414</v>
      </c>
      <c r="AQ48" s="469">
        <f>IF('Market Penetration'!U48=0,0,1000*U48*('Market Data'!$E$51+'Market Data'!$O$51+'Market Data'!$Y$51)/('Market Penetration'!U48*('Market Data'!$C$51+'Market Data'!$M$51+'Market Data'!$W$51)))</f>
        <v>97604.194605114142</v>
      </c>
    </row>
    <row r="49" spans="1:43" ht="15" x14ac:dyDescent="0.25">
      <c r="A49" s="403">
        <v>2047</v>
      </c>
      <c r="B49" s="423">
        <f t="shared" si="12"/>
        <v>1.861080312682728E-2</v>
      </c>
      <c r="C49" s="424">
        <f>'7&amp;8 Sleep'!$M116+'7&amp;8 Sleep'!$Z116</f>
        <v>0.28330162824438854</v>
      </c>
      <c r="D49" s="424">
        <f>'7&amp;8 Sleep'!$M168+'7&amp;8 Sleep'!$Z168</f>
        <v>0.28177400013520804</v>
      </c>
      <c r="E49" s="700">
        <f>'7&amp;8 Sleep'!$M220+'7&amp;8 Sleep'!$Z220</f>
        <v>0.21116320273680539</v>
      </c>
      <c r="F49" s="424">
        <f>'7&amp;8 Sleep'!$M273+'7&amp;8 Sleep'!$Z273</f>
        <v>0.14156193477573695</v>
      </c>
      <c r="G49" s="658">
        <f>'7&amp;8 Sleep'!$M326+'7&amp;8 Sleep'!$Z326</f>
        <v>6.3588430981033783E-2</v>
      </c>
      <c r="H49" s="854">
        <f t="shared" si="13"/>
        <v>8.7124830644328854E-2</v>
      </c>
      <c r="I49" s="658">
        <f>'7&amp;8 Day'!$M116+'7&amp;8 Day'!$Z116</f>
        <v>0.24705158390213544</v>
      </c>
      <c r="J49" s="658">
        <f>'7&amp;8 Day'!$M168+'7&amp;8 Day'!$Z168</f>
        <v>0.24694088393795532</v>
      </c>
      <c r="K49" s="658">
        <f>'7&amp;8 Day'!$M220+'7&amp;8 Day'!$Z220</f>
        <v>0.22627348521594687</v>
      </c>
      <c r="L49" s="658">
        <f>'7&amp;8 Day'!$M273+'7&amp;8 Day'!$Z273</f>
        <v>1.9381078207382718E-2</v>
      </c>
      <c r="M49" s="705">
        <f>'7&amp;8 Day'!$M326+'7&amp;8 Day'!$Z326</f>
        <v>0.17322813809225088</v>
      </c>
      <c r="N49" s="423">
        <f t="shared" si="14"/>
        <v>0.42923482106889987</v>
      </c>
      <c r="O49" s="424">
        <f>'7&amp;8 SU'!$M116+'7&amp;8 SU'!$Z116</f>
        <v>0.13632263378628443</v>
      </c>
      <c r="P49" s="424">
        <f>'7&amp;8 SU'!$M168+'7&amp;8 SU'!$Z168</f>
        <v>0.1814395064134689</v>
      </c>
      <c r="Q49" s="700">
        <f>'7&amp;8 SU'!$M220+'7&amp;8 SU'!$Z220</f>
        <v>9.9419312222853995E-2</v>
      </c>
      <c r="R49" s="424">
        <f>'7&amp;8 SU'!$M273+'7&amp;8 SU'!$Z273</f>
        <v>8.9509506874417444E-2</v>
      </c>
      <c r="S49" s="658">
        <f>'7&amp;8 SU'!$M326+'7&amp;8 SU'!$Z326</f>
        <v>6.4074219634075363E-2</v>
      </c>
      <c r="T49" s="423">
        <f>B49*'Market Data'!$E$52+H49*'Market Data'!$O$52+N49*+N49*'Market Data'!$Y$52</f>
        <v>5.0037411513927293E-2</v>
      </c>
      <c r="U49" s="425">
        <f>SUM(C49:G49)*'Market Data'!$E$52+SUM(I49:M49)*'Market Data'!$O$52+SUM(O49:S49)*+N49*'Market Data'!$Y$52</f>
        <v>0.89877727630432191</v>
      </c>
      <c r="W49" s="403">
        <v>2047</v>
      </c>
      <c r="X49" s="460">
        <f>IF('Market Penetration'!B49=0,0,1000*B49*'Market Data'!$E$51/('Market Penetration'!B49*'Market Data'!$C$51))</f>
        <v>39031.38887532473</v>
      </c>
      <c r="Y49" s="461">
        <f>IF('Market Penetration'!C49=0,0,1000*C49*'Market Data'!$E$51/('Market Penetration'!C49*'Market Data'!$C$51))</f>
        <v>115020.1502990898</v>
      </c>
      <c r="Z49" s="461">
        <f>IF('Market Penetration'!D49=0,0,1000*D49*'Market Data'!$E$51/('Market Penetration'!D49*'Market Data'!$C$51))</f>
        <v>115629.78052810077</v>
      </c>
      <c r="AA49" s="695">
        <f>IF('Market Penetration'!E49=0,0,1000*E49*'Market Data'!$E$51/('Market Penetration'!E49*'Market Data'!$C$51))</f>
        <v>124886.07638546756</v>
      </c>
      <c r="AB49" s="461">
        <f>IF('Market Penetration'!F49=0,0,1000*F49*'Market Data'!$E$51/('Market Penetration'!F49*'Market Data'!$C$51))</f>
        <v>124564.36089654472</v>
      </c>
      <c r="AC49" s="690">
        <f>IF('Market Penetration'!G49=0,0,1000*G49*'Market Data'!$E$51/('Market Penetration'!G49*'Market Data'!$C$51))</f>
        <v>116548.05982225464</v>
      </c>
      <c r="AD49" s="460">
        <f>IF('Market Penetration'!H49=0,0,1000*H49*'Market Data'!$O$51/('Market Penetration'!H49*'Market Data'!$M$51))</f>
        <v>33117.586211237802</v>
      </c>
      <c r="AE49" s="461">
        <f>IF('Market Penetration'!I49=0,0,1000*I49*'Market Data'!$O$51/('Market Penetration'!I49*'Market Data'!$M$51))</f>
        <v>93891.480607486621</v>
      </c>
      <c r="AF49" s="461">
        <f>IF('Market Penetration'!J49=0,0,1000*J49*'Market Data'!$O$51/('Market Penetration'!J49*'Market Data'!$M$51))</f>
        <v>93891.480607486621</v>
      </c>
      <c r="AG49" s="461">
        <f>IF('Market Penetration'!K49=0,0,1000*K49*'Market Data'!$O$51/('Market Penetration'!K49*'Market Data'!$M$51))</f>
        <v>89596.263268043054</v>
      </c>
      <c r="AH49" s="461">
        <f>IF('Market Penetration'!L49=0,0,1000*L49*'Market Data'!$O$51/('Market Penetration'!L49*'Market Data'!$M$51))</f>
        <v>44646.083682093376</v>
      </c>
      <c r="AI49" s="462">
        <f>IF('Market Penetration'!M49=0,0,1000*M49*'Market Data'!$O$51/('Market Penetration'!M49*'Market Data'!$M$51))</f>
        <v>81026.944394479957</v>
      </c>
      <c r="AJ49" s="460">
        <f>IF('Market Penetration'!N49=0,0,1000*N49*'Market Data'!$Y$51/('Market Penetration'!N49*'Market Data'!$W$51))</f>
        <v>17984.147578277938</v>
      </c>
      <c r="AK49" s="461">
        <f>IF('Market Penetration'!O49=0,0,1000*O49*'Market Data'!$Y$51/('Market Penetration'!O49*'Market Data'!$W$51))</f>
        <v>45043.07314690265</v>
      </c>
      <c r="AL49" s="461">
        <f>IF('Market Penetration'!P49=0,0,1000*P49*'Market Data'!$Y$51/('Market Penetration'!P49*'Market Data'!$W$51))</f>
        <v>40391.587878217244</v>
      </c>
      <c r="AM49" s="695">
        <f>IF('Market Penetration'!Q49=0,0,1000*Q49*'Market Data'!$Y$51/('Market Penetration'!Q49*'Market Data'!$W$51))</f>
        <v>51548.078278727342</v>
      </c>
      <c r="AN49" s="461">
        <f>IF('Market Penetration'!R49=0,0,1000*R49*'Market Data'!$Y$51/('Market Penetration'!R49*'Market Data'!$W$51))</f>
        <v>48490.047049952045</v>
      </c>
      <c r="AO49" s="690">
        <f>IF('Market Penetration'!S49=0,0,1000*S49*'Market Data'!$Y$51/('Market Penetration'!S49*'Market Data'!$W$51))</f>
        <v>42101.518776025914</v>
      </c>
      <c r="AP49" s="460">
        <f>IF('Market Penetration'!T49=0,0,1000*T49*('Market Data'!$E$51+'Market Data'!$O$51+'Market Data'!$Y$51)/('Market Penetration'!T49*('Market Data'!$C$51+'Market Data'!$M$51+'Market Data'!$W$51)))</f>
        <v>16164.711533300606</v>
      </c>
      <c r="AQ49" s="462">
        <f>IF('Market Penetration'!U49=0,0,1000*U49*('Market Data'!$E$51+'Market Data'!$O$51+'Market Data'!$Y$51)/('Market Penetration'!U49*('Market Data'!$C$51+'Market Data'!$M$51+'Market Data'!$W$51)))</f>
        <v>97855.451754873764</v>
      </c>
    </row>
    <row r="50" spans="1:43" ht="15" x14ac:dyDescent="0.25">
      <c r="A50" s="403">
        <v>2048</v>
      </c>
      <c r="B50" s="423">
        <f t="shared" si="12"/>
        <v>1.8610803126827391E-2</v>
      </c>
      <c r="C50" s="424">
        <f>'7&amp;8 Sleep'!$M117+'7&amp;8 Sleep'!$Z117</f>
        <v>0.27960558079952946</v>
      </c>
      <c r="D50" s="424">
        <f>'7&amp;8 Sleep'!$M169+'7&amp;8 Sleep'!$Z169</f>
        <v>0.27810190809866786</v>
      </c>
      <c r="E50" s="700">
        <f>'7&amp;8 Sleep'!$M221+'7&amp;8 Sleep'!$Z221</f>
        <v>0.20827786009410237</v>
      </c>
      <c r="F50" s="424">
        <f>'7&amp;8 Sleep'!$M274+'7&amp;8 Sleep'!$Z274</f>
        <v>0.14896315342598038</v>
      </c>
      <c r="G50" s="658">
        <f>'7&amp;8 Sleep'!$M327+'7&amp;8 Sleep'!$Z327</f>
        <v>6.6440694454892646E-2</v>
      </c>
      <c r="H50" s="854">
        <f t="shared" si="13"/>
        <v>7.8302521944055181E-2</v>
      </c>
      <c r="I50" s="658">
        <f>'7&amp;8 Day'!$M117+'7&amp;8 Day'!$Z117</f>
        <v>0.24560128509808182</v>
      </c>
      <c r="J50" s="658">
        <f>'7&amp;8 Day'!$M169+'7&amp;8 Day'!$Z169</f>
        <v>0.24549123499019135</v>
      </c>
      <c r="K50" s="658">
        <f>'7&amp;8 Day'!$M221+'7&amp;8 Day'!$Z221</f>
        <v>0.23112915556558131</v>
      </c>
      <c r="L50" s="658">
        <f>'7&amp;8 Day'!$M274+'7&amp;8 Day'!$Z274</f>
        <v>2.1240570505185727E-2</v>
      </c>
      <c r="M50" s="705">
        <f>'7&amp;8 Day'!$M327+'7&amp;8 Day'!$Z327</f>
        <v>0.17823523189690466</v>
      </c>
      <c r="N50" s="423">
        <f t="shared" si="14"/>
        <v>0.42923482106889987</v>
      </c>
      <c r="O50" s="424">
        <f>'7&amp;8 SU'!$M117+'7&amp;8 SU'!$Z117</f>
        <v>0.13373446136807016</v>
      </c>
      <c r="P50" s="424">
        <f>'7&amp;8 SU'!$M169+'7&amp;8 SU'!$Z169</f>
        <v>0.17747907107922511</v>
      </c>
      <c r="Q50" s="700">
        <f>'7&amp;8 SU'!$M221+'7&amp;8 SU'!$Z221</f>
        <v>9.7887134931774991E-2</v>
      </c>
      <c r="R50" s="424">
        <f>'7&amp;8 SU'!$M274+'7&amp;8 SU'!$Z274</f>
        <v>9.234049253243834E-2</v>
      </c>
      <c r="S50" s="658">
        <f>'7&amp;8 SU'!$M327+'7&amp;8 SU'!$Z327</f>
        <v>6.9324019019591537E-2</v>
      </c>
      <c r="T50" s="423">
        <f>B50*'Market Data'!$E$52+H50*'Market Data'!$O$52+N50*+N50*'Market Data'!$Y$52</f>
        <v>4.7903362574346929E-2</v>
      </c>
      <c r="U50" s="425">
        <f>SUM(C50:G50)*'Market Data'!$E$52+SUM(I50:M50)*'Market Data'!$O$52+SUM(O50:S50)*+N50*'Market Data'!$Y$52</f>
        <v>0.90091132524390227</v>
      </c>
      <c r="W50" s="403">
        <v>2048</v>
      </c>
      <c r="X50" s="460">
        <f>IF('Market Penetration'!B50=0,0,1000*B50*'Market Data'!$E$51/('Market Penetration'!B50*'Market Data'!$C$51))</f>
        <v>39031.38887532505</v>
      </c>
      <c r="Y50" s="461">
        <f>IF('Market Penetration'!C50=0,0,1000*C50*'Market Data'!$E$51/('Market Penetration'!C50*'Market Data'!$C$51))</f>
        <v>115133.33841333387</v>
      </c>
      <c r="Z50" s="461">
        <f>IF('Market Penetration'!D50=0,0,1000*D50*'Market Data'!$E$51/('Market Penetration'!D50*'Market Data'!$C$51))</f>
        <v>115747.24627785991</v>
      </c>
      <c r="AA50" s="695">
        <f>IF('Market Penetration'!E50=0,0,1000*E50*'Market Data'!$E$51/('Market Penetration'!E50*'Market Data'!$C$51))</f>
        <v>124968.6333926021</v>
      </c>
      <c r="AB50" s="461">
        <f>IF('Market Penetration'!F50=0,0,1000*F50*'Market Data'!$E$51/('Market Penetration'!F50*'Market Data'!$C$51))</f>
        <v>123865.41603409349</v>
      </c>
      <c r="AC50" s="690">
        <f>IF('Market Penetration'!G50=0,0,1000*G50*'Market Data'!$E$51/('Market Penetration'!G50*'Market Data'!$C$51))</f>
        <v>116081.80956154384</v>
      </c>
      <c r="AD50" s="460">
        <f>IF('Market Penetration'!H50=0,0,1000*H50*'Market Data'!$O$51/('Market Penetration'!H50*'Market Data'!$M$51))</f>
        <v>32908.3369167274</v>
      </c>
      <c r="AE50" s="461">
        <f>IF('Market Penetration'!I50=0,0,1000*I50*'Market Data'!$O$51/('Market Penetration'!I50*'Market Data'!$M$51))</f>
        <v>93828.563334938823</v>
      </c>
      <c r="AF50" s="461">
        <f>IF('Market Penetration'!J50=0,0,1000*J50*'Market Data'!$O$51/('Market Penetration'!J50*'Market Data'!$M$51))</f>
        <v>93828.563334938808</v>
      </c>
      <c r="AG50" s="461">
        <f>IF('Market Penetration'!K50=0,0,1000*K50*'Market Data'!$O$51/('Market Penetration'!K50*'Market Data'!$M$51))</f>
        <v>88663.42952370242</v>
      </c>
      <c r="AH50" s="461">
        <f>IF('Market Penetration'!L50=0,0,1000*L50*'Market Data'!$O$51/('Market Penetration'!L50*'Market Data'!$M$51))</f>
        <v>43976.944740015817</v>
      </c>
      <c r="AI50" s="462">
        <f>IF('Market Penetration'!M50=0,0,1000*M50*'Market Data'!$O$51/('Market Penetration'!M50*'Market Data'!$M$51))</f>
        <v>77953.788728480402</v>
      </c>
      <c r="AJ50" s="460">
        <f>IF('Market Penetration'!N50=0,0,1000*N50*'Market Data'!$Y$51/('Market Penetration'!N50*'Market Data'!$W$51))</f>
        <v>17984.147578277942</v>
      </c>
      <c r="AK50" s="461">
        <f>IF('Market Penetration'!O50=0,0,1000*O50*'Market Data'!$Y$51/('Market Penetration'!O50*'Market Data'!$W$51))</f>
        <v>45337.488885755047</v>
      </c>
      <c r="AL50" s="461">
        <f>IF('Market Penetration'!P50=0,0,1000*P50*'Market Data'!$Y$51/('Market Penetration'!P50*'Market Data'!$W$51))</f>
        <v>40616.025986132991</v>
      </c>
      <c r="AM50" s="695">
        <f>IF('Market Penetration'!Q50=0,0,1000*Q50*'Market Data'!$Y$51/('Market Penetration'!Q50*'Market Data'!$W$51))</f>
        <v>51891.755468381343</v>
      </c>
      <c r="AN50" s="461">
        <f>IF('Market Penetration'!R50=0,0,1000*R50*'Market Data'!$Y$51/('Market Penetration'!R50*'Market Data'!$W$51))</f>
        <v>47972.058141388297</v>
      </c>
      <c r="AO50" s="690">
        <f>IF('Market Penetration'!S50=0,0,1000*S50*'Market Data'!$Y$51/('Market Penetration'!S50*'Market Data'!$W$51))</f>
        <v>41158.345955190103</v>
      </c>
      <c r="AP50" s="460">
        <f>IF('Market Penetration'!T50=0,0,1000*T50*('Market Data'!$E$51+'Market Data'!$O$51+'Market Data'!$Y$51)/('Market Penetration'!T50*('Market Data'!$C$51+'Market Data'!$M$51+'Market Data'!$W$51)))</f>
        <v>15785.361120264311</v>
      </c>
      <c r="AQ50" s="462">
        <f>IF('Market Penetration'!U50=0,0,1000*U50*('Market Data'!$E$51+'Market Data'!$O$51+'Market Data'!$Y$51)/('Market Penetration'!U50*('Market Data'!$C$51+'Market Data'!$M$51+'Market Data'!$W$51)))</f>
        <v>97442.739398988881</v>
      </c>
    </row>
    <row r="51" spans="1:43" ht="15" x14ac:dyDescent="0.25">
      <c r="A51" s="403">
        <v>2049</v>
      </c>
      <c r="B51" s="423">
        <f t="shared" si="12"/>
        <v>1.8610803126827169E-2</v>
      </c>
      <c r="C51" s="424">
        <f>'7&amp;8 Sleep'!$M118+'7&amp;8 Sleep'!$Z118</f>
        <v>0.27628058897516122</v>
      </c>
      <c r="D51" s="424">
        <f>'7&amp;8 Sleep'!$M170+'7&amp;8 Sleep'!$Z170</f>
        <v>0.27479678049236356</v>
      </c>
      <c r="E51" s="700">
        <f>'7&amp;8 Sleep'!$M222+'7&amp;8 Sleep'!$Z222</f>
        <v>0.20353669075852773</v>
      </c>
      <c r="F51" s="424">
        <f>'7&amp;8 Sleep'!$M275+'7&amp;8 Sleep'!$Z275</f>
        <v>0.15385774676454098</v>
      </c>
      <c r="G51" s="658">
        <f>'7&amp;8 Sleep'!$M328+'7&amp;8 Sleep'!$Z328</f>
        <v>7.2917389882579273E-2</v>
      </c>
      <c r="H51" s="854">
        <f t="shared" si="13"/>
        <v>7.2676490709413621E-2</v>
      </c>
      <c r="I51" s="658">
        <f>'7&amp;8 Day'!$M118+'7&amp;8 Day'!$Z118</f>
        <v>0.24428705332393957</v>
      </c>
      <c r="J51" s="658">
        <f>'7&amp;8 Day'!$M170+'7&amp;8 Day'!$Z170</f>
        <v>0.24417759210282336</v>
      </c>
      <c r="K51" s="658">
        <f>'7&amp;8 Day'!$M222+'7&amp;8 Day'!$Z222</f>
        <v>0.23253207737344328</v>
      </c>
      <c r="L51" s="658">
        <f>'7&amp;8 Day'!$M275+'7&amp;8 Day'!$Z275</f>
        <v>2.2857102172844129E-2</v>
      </c>
      <c r="M51" s="705">
        <f>'7&amp;8 Day'!$M328+'7&amp;8 Day'!$Z328</f>
        <v>0.18346968431753607</v>
      </c>
      <c r="N51" s="423">
        <f t="shared" si="14"/>
        <v>0.42929339439338821</v>
      </c>
      <c r="O51" s="424">
        <f>'7&amp;8 SU'!$M118+'7&amp;8 SU'!$Z118</f>
        <v>0.13301093832183283</v>
      </c>
      <c r="P51" s="424">
        <f>'7&amp;8 SU'!$M170+'7&amp;8 SU'!$Z170</f>
        <v>0.17625127514752736</v>
      </c>
      <c r="Q51" s="700">
        <f>'7&amp;8 SU'!$M222+'7&amp;8 SU'!$Z222</f>
        <v>9.7497314558256137E-2</v>
      </c>
      <c r="R51" s="424">
        <f>'7&amp;8 SU'!$M275+'7&amp;8 SU'!$Z275</f>
        <v>9.188057711760228E-2</v>
      </c>
      <c r="S51" s="658">
        <f>'7&amp;8 SU'!$M328+'7&amp;8 SU'!$Z328</f>
        <v>7.2066500461393082E-2</v>
      </c>
      <c r="T51" s="423">
        <f>B51*'Market Data'!$E$52+H51*'Market Data'!$O$52+N51*+N51*'Market Data'!$Y$52</f>
        <v>4.6546978330882977E-2</v>
      </c>
      <c r="U51" s="425">
        <f>SUM(C51:G51)*'Market Data'!$E$52+SUM(I51:M51)*'Market Data'!$O$52+SUM(O51:S51)*+N51*'Market Data'!$Y$52</f>
        <v>0.9022729622498159</v>
      </c>
      <c r="W51" s="403">
        <v>2049</v>
      </c>
      <c r="X51" s="460">
        <f>IF('Market Penetration'!B51=0,0,1000*B51*'Market Data'!$E$51/('Market Penetration'!B51*'Market Data'!$C$51))</f>
        <v>39031.388875324657</v>
      </c>
      <c r="Y51" s="461">
        <f>IF('Market Penetration'!C51=0,0,1000*C51*'Market Data'!$E$51/('Market Penetration'!C51*'Market Data'!$C$51))</f>
        <v>115244.87472631985</v>
      </c>
      <c r="Z51" s="461">
        <f>IF('Market Penetration'!D51=0,0,1000*D51*'Market Data'!$E$51/('Market Penetration'!D51*'Market Data'!$C$51))</f>
        <v>115862.76241814088</v>
      </c>
      <c r="AA51" s="695">
        <f>IF('Market Penetration'!E51=0,0,1000*E51*'Market Data'!$E$51/('Market Penetration'!E51*'Market Data'!$C$51))</f>
        <v>125003.6800400662</v>
      </c>
      <c r="AB51" s="461">
        <f>IF('Market Penetration'!F51=0,0,1000*F51*'Market Data'!$E$51/('Market Penetration'!F51*'Market Data'!$C$51))</f>
        <v>123525.16407661616</v>
      </c>
      <c r="AC51" s="690">
        <f>IF('Market Penetration'!G51=0,0,1000*G51*'Market Data'!$E$51/('Market Penetration'!G51*'Market Data'!$C$51))</f>
        <v>115752.32769664728</v>
      </c>
      <c r="AD51" s="460">
        <f>IF('Market Penetration'!H51=0,0,1000*H51*'Market Data'!$O$51/('Market Penetration'!H51*'Market Data'!$M$51))</f>
        <v>33030.882176448111</v>
      </c>
      <c r="AE51" s="461">
        <f>IF('Market Penetration'!I51=0,0,1000*I51*'Market Data'!$O$51/('Market Penetration'!I51*'Market Data'!$M$51))</f>
        <v>93876.776888936423</v>
      </c>
      <c r="AF51" s="461">
        <f>IF('Market Penetration'!J51=0,0,1000*J51*'Market Data'!$O$51/('Market Penetration'!J51*'Market Data'!$M$51))</f>
        <v>93876.776888936452</v>
      </c>
      <c r="AG51" s="461">
        <f>IF('Market Penetration'!K51=0,0,1000*K51*'Market Data'!$O$51/('Market Penetration'!K51*'Market Data'!$M$51))</f>
        <v>88141.911897139391</v>
      </c>
      <c r="AH51" s="461">
        <f>IF('Market Penetration'!L51=0,0,1000*L51*'Market Data'!$O$51/('Market Penetration'!L51*'Market Data'!$M$51))</f>
        <v>43636.795821524865</v>
      </c>
      <c r="AI51" s="462">
        <f>IF('Market Penetration'!M51=0,0,1000*M51*'Market Data'!$O$51/('Market Penetration'!M51*'Market Data'!$M$51))</f>
        <v>75685.506711161899</v>
      </c>
      <c r="AJ51" s="460">
        <f>IF('Market Penetration'!N51=0,0,1000*N51*'Market Data'!$Y$51/('Market Penetration'!N51*'Market Data'!$W$51))</f>
        <v>17982.749120486536</v>
      </c>
      <c r="AK51" s="461">
        <f>IF('Market Penetration'!O51=0,0,1000*O51*'Market Data'!$Y$51/('Market Penetration'!O51*'Market Data'!$W$51))</f>
        <v>45448.611295506031</v>
      </c>
      <c r="AL51" s="461">
        <f>IF('Market Penetration'!P51=0,0,1000*P51*'Market Data'!$Y$51/('Market Penetration'!P51*'Market Data'!$W$51))</f>
        <v>40740.797782007758</v>
      </c>
      <c r="AM51" s="695">
        <f>IF('Market Penetration'!Q51=0,0,1000*Q51*'Market Data'!$Y$51/('Market Penetration'!Q51*'Market Data'!$W$51))</f>
        <v>52010.795085295184</v>
      </c>
      <c r="AN51" s="461">
        <f>IF('Market Penetration'!R51=0,0,1000*R51*'Market Data'!$Y$51/('Market Penetration'!R51*'Market Data'!$W$51))</f>
        <v>48091.287084636293</v>
      </c>
      <c r="AO51" s="690">
        <f>IF('Market Penetration'!S51=0,0,1000*S51*'Market Data'!$Y$51/('Market Penetration'!S51*'Market Data'!$W$51))</f>
        <v>40669.342766283633</v>
      </c>
      <c r="AP51" s="460">
        <f>IF('Market Penetration'!T51=0,0,1000*T51*('Market Data'!$E$51+'Market Data'!$O$51+'Market Data'!$Y$51)/('Market Penetration'!T51*('Market Data'!$C$51+'Market Data'!$M$51+'Market Data'!$W$51)))</f>
        <v>15558.223632927324</v>
      </c>
      <c r="AQ51" s="462">
        <f>IF('Market Penetration'!U51=0,0,1000*U51*('Market Data'!$E$51+'Market Data'!$O$51+'Market Data'!$Y$51)/('Market Penetration'!U51*('Market Data'!$C$51+'Market Data'!$M$51+'Market Data'!$W$51)))</f>
        <v>97139.516904059506</v>
      </c>
    </row>
    <row r="52" spans="1:43" ht="15.75" thickBot="1" x14ac:dyDescent="0.3">
      <c r="A52" s="404">
        <v>2050</v>
      </c>
      <c r="B52" s="435">
        <f t="shared" si="12"/>
        <v>1.8610803126827169E-2</v>
      </c>
      <c r="C52" s="436">
        <f>'7&amp;8 Sleep'!$M119+'7&amp;8 Sleep'!$Z119</f>
        <v>0.27362615214178609</v>
      </c>
      <c r="D52" s="436">
        <f>'7&amp;8 Sleep'!$M171+'7&amp;8 Sleep'!$Z171</f>
        <v>0.27215974326680886</v>
      </c>
      <c r="E52" s="703">
        <f>'7&amp;8 Sleep'!$M223+'7&amp;8 Sleep'!$Z223</f>
        <v>0.20125162021995119</v>
      </c>
      <c r="F52" s="436">
        <f>'7&amp;8 Sleep'!$M276+'7&amp;8 Sleep'!$Z276</f>
        <v>0.1574737012947468</v>
      </c>
      <c r="G52" s="661">
        <f>'7&amp;8 Sleep'!$M329+'7&amp;8 Sleep'!$Z329</f>
        <v>7.6877979949879743E-2</v>
      </c>
      <c r="H52" s="857">
        <f t="shared" si="13"/>
        <v>6.827800098900827E-2</v>
      </c>
      <c r="I52" s="661">
        <f>'7&amp;8 Day'!$M119+'7&amp;8 Day'!$Z119</f>
        <v>0.24350838272366304</v>
      </c>
      <c r="J52" s="661">
        <f>'7&amp;8 Day'!$M171+'7&amp;8 Day'!$Z171</f>
        <v>0.2433992704127064</v>
      </c>
      <c r="K52" s="661">
        <f>'7&amp;8 Day'!$M223+'7&amp;8 Day'!$Z223</f>
        <v>0.23321351442539434</v>
      </c>
      <c r="L52" s="661">
        <f>'7&amp;8 Day'!$M276+'7&amp;8 Day'!$Z276</f>
        <v>2.4421804158157548E-2</v>
      </c>
      <c r="M52" s="708">
        <f>'7&amp;8 Day'!$M329+'7&amp;8 Day'!$Z329</f>
        <v>0.18717902729107039</v>
      </c>
      <c r="N52" s="435">
        <f t="shared" si="14"/>
        <v>0.42929339439338832</v>
      </c>
      <c r="O52" s="436">
        <f>'7&amp;8 SU'!$M119+'7&amp;8 SU'!$Z119</f>
        <v>0.13217153900859055</v>
      </c>
      <c r="P52" s="436">
        <f>'7&amp;8 SU'!$M171+'7&amp;8 SU'!$Z171</f>
        <v>0.17499259083154362</v>
      </c>
      <c r="Q52" s="703">
        <f>'7&amp;8 SU'!$M223+'7&amp;8 SU'!$Z223</f>
        <v>9.6948918523070221E-2</v>
      </c>
      <c r="R52" s="436">
        <f>'7&amp;8 SU'!$M276+'7&amp;8 SU'!$Z276</f>
        <v>9.2524822314817262E-2</v>
      </c>
      <c r="S52" s="661">
        <f>'7&amp;8 SU'!$M329+'7&amp;8 SU'!$Z329</f>
        <v>7.4068734928589994E-2</v>
      </c>
      <c r="T52" s="435">
        <f>B52*'Market Data'!$E$52+H52*'Market Data'!$O$52+N52*+N52*'Market Data'!$Y$52</f>
        <v>4.548301733807672E-2</v>
      </c>
      <c r="U52" s="437">
        <f>SUM(C52:G52)*'Market Data'!$E$52+SUM(I52:M52)*'Market Data'!$O$52+SUM(O52:S52)*+N52*'Market Data'!$Y$52</f>
        <v>0.90333692324262216</v>
      </c>
      <c r="W52" s="404">
        <v>2050</v>
      </c>
      <c r="X52" s="470">
        <f>IF('Market Penetration'!B52=0,0,1000*B52*'Market Data'!$E$51/('Market Penetration'!B52*'Market Data'!$C$51))</f>
        <v>39031.388875324657</v>
      </c>
      <c r="Y52" s="471">
        <f>IF('Market Penetration'!C52=0,0,1000*C52*'Market Data'!$E$51/('Market Penetration'!C52*'Market Data'!$C$51))</f>
        <v>115330.52796958511</v>
      </c>
      <c r="Z52" s="471">
        <f>IF('Market Penetration'!D52=0,0,1000*D52*'Market Data'!$E$51/('Market Penetration'!D52*'Market Data'!$C$51))</f>
        <v>115950.37033210362</v>
      </c>
      <c r="AA52" s="698">
        <f>IF('Market Penetration'!E52=0,0,1000*E52*'Market Data'!$E$51/('Market Penetration'!E52*'Market Data'!$C$51))</f>
        <v>125117.16715653986</v>
      </c>
      <c r="AB52" s="471">
        <f>IF('Market Penetration'!F52=0,0,1000*F52*'Market Data'!$E$51/('Market Penetration'!F52*'Market Data'!$C$51))</f>
        <v>123263.88832146965</v>
      </c>
      <c r="AC52" s="693">
        <f>IF('Market Penetration'!G52=0,0,1000*G52*'Market Data'!$E$51/('Market Penetration'!G52*'Market Data'!$C$51))</f>
        <v>115252.51826588913</v>
      </c>
      <c r="AD52" s="470">
        <f>IF('Market Penetration'!H52=0,0,1000*H52*'Market Data'!$O$51/('Market Penetration'!H52*'Market Data'!$M$51))</f>
        <v>33643.752172415538</v>
      </c>
      <c r="AE52" s="471">
        <f>IF('Market Penetration'!I52=0,0,1000*I52*'Market Data'!$O$51/('Market Penetration'!I52*'Market Data'!$M$51))</f>
        <v>93921.036825914693</v>
      </c>
      <c r="AF52" s="471">
        <f>IF('Market Penetration'!J52=0,0,1000*J52*'Market Data'!$O$51/('Market Penetration'!J52*'Market Data'!$M$51))</f>
        <v>93921.036825914707</v>
      </c>
      <c r="AG52" s="471">
        <f>IF('Market Penetration'!K52=0,0,1000*K52*'Market Data'!$O$51/('Market Penetration'!K52*'Market Data'!$M$51))</f>
        <v>87717.013967372885</v>
      </c>
      <c r="AH52" s="471">
        <f>IF('Market Penetration'!L52=0,0,1000*L52*'Market Data'!$O$51/('Market Penetration'!L52*'Market Data'!$M$51))</f>
        <v>43003.45771118594</v>
      </c>
      <c r="AI52" s="472">
        <f>IF('Market Penetration'!M52=0,0,1000*M52*'Market Data'!$O$51/('Market Penetration'!M52*'Market Data'!$M$51))</f>
        <v>73423.518803162806</v>
      </c>
      <c r="AJ52" s="470">
        <f>IF('Market Penetration'!N52=0,0,1000*N52*'Market Data'!$Y$51/('Market Penetration'!N52*'Market Data'!$W$51))</f>
        <v>17982.74912048654</v>
      </c>
      <c r="AK52" s="471">
        <f>IF('Market Penetration'!O52=0,0,1000*O52*'Market Data'!$Y$51/('Market Penetration'!O52*'Market Data'!$W$51))</f>
        <v>45515.489386297944</v>
      </c>
      <c r="AL52" s="471">
        <f>IF('Market Penetration'!P52=0,0,1000*P52*'Market Data'!$Y$51/('Market Penetration'!P52*'Market Data'!$W$51))</f>
        <v>40791.159957878874</v>
      </c>
      <c r="AM52" s="698">
        <f>IF('Market Penetration'!Q52=0,0,1000*Q52*'Market Data'!$Y$51/('Market Penetration'!Q52*'Market Data'!$W$51))</f>
        <v>52103.122340875729</v>
      </c>
      <c r="AN52" s="471">
        <f>IF('Market Penetration'!R52=0,0,1000*R52*'Market Data'!$Y$51/('Market Penetration'!R52*'Market Data'!$W$51))</f>
        <v>47910.83874386565</v>
      </c>
      <c r="AO52" s="693">
        <f>IF('Market Penetration'!S52=0,0,1000*S52*'Market Data'!$Y$51/('Market Penetration'!S52*'Market Data'!$W$51))</f>
        <v>40604.404315101616</v>
      </c>
      <c r="AP52" s="470">
        <f>IF('Market Penetration'!T52=0,0,1000*T52*('Market Data'!$E$51+'Market Data'!$O$51+'Market Data'!$Y$51)/('Market Penetration'!T52*('Market Data'!$C$51+'Market Data'!$M$51+'Market Data'!$W$51)))</f>
        <v>15415.50024607749</v>
      </c>
      <c r="AQ52" s="472">
        <f>IF('Market Penetration'!U52=0,0,1000*U52*('Market Data'!$E$51+'Market Data'!$O$51+'Market Data'!$Y$51)/('Market Penetration'!U52*('Market Data'!$C$51+'Market Data'!$M$51+'Market Data'!$W$51)))</f>
        <v>96823.344801292726</v>
      </c>
    </row>
    <row r="53" spans="1:43" x14ac:dyDescent="0.2">
      <c r="A53" s="398"/>
      <c r="B53" s="398"/>
    </row>
    <row r="54" spans="1:43" x14ac:dyDescent="0.2">
      <c r="A54" s="408" t="str">
        <f>"Run id: '"&amp;'Run Model'!B3&amp;"'"</f>
        <v>Run id: 'BaSce FY2020 Final Run'</v>
      </c>
      <c r="B54" s="398"/>
      <c r="F54" s="1286"/>
      <c r="O54" s="1286"/>
      <c r="T54" s="1286"/>
    </row>
    <row r="55" spans="1:43" x14ac:dyDescent="0.2">
      <c r="A55" s="408" t="s">
        <v>126</v>
      </c>
      <c r="B55" s="398"/>
    </row>
    <row r="56" spans="1:43" x14ac:dyDescent="0.2">
      <c r="A56" s="473" t="str">
        <f>"Combination, Centrally Refueled: " &amp;TEXT(RtimeCls1Cent1,"mm/dd/yyyy hh:mm")</f>
        <v>Combination, Centrally Refueled: 04/26/2020 19:05</v>
      </c>
      <c r="B56" s="399"/>
    </row>
    <row r="57" spans="1:43" x14ac:dyDescent="0.2">
      <c r="A57" s="473" t="str">
        <f>"Combination, Non-Centrally Refueled: " &amp;TEXT(RtimeCls1NCent1,"mm/dd/yyyy hh:mm")</f>
        <v>Combination, Non-Centrally Refueled: 04/26/2020 19:05</v>
      </c>
    </row>
    <row r="58" spans="1:43" x14ac:dyDescent="0.2">
      <c r="A58" s="473" t="str">
        <f>"Single Unit, Centrally Refueled: " &amp;TEXT(RtimeCls2Cent1,"mm/dd/yyyy hh:mm")</f>
        <v>Single Unit, Centrally Refueled: 04/26/2020 19:05</v>
      </c>
    </row>
    <row r="59" spans="1:43" x14ac:dyDescent="0.2">
      <c r="A59" s="473" t="str">
        <f>"Single Unit, Non-Centrally Refueled: " &amp;TEXT(RtimeCls2NCent1,"mm/dd/yyyy hh:mm")</f>
        <v>Single Unit, Non-Centrally Refueled: 04/26/2020 19:05</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3" activePane="bottomLeft" state="frozen"/>
      <selection pane="bottomLeft" activeCell="O52" sqref="O52:S52"/>
    </sheetView>
  </sheetViews>
  <sheetFormatPr defaultColWidth="9.140625" defaultRowHeight="12.75" x14ac:dyDescent="0.2"/>
  <cols>
    <col min="1" max="1" width="9.140625" style="397"/>
    <col min="2" max="2" width="13.28515625" style="397" customWidth="1"/>
    <col min="3" max="7" width="10.42578125" style="397" customWidth="1"/>
    <col min="8" max="8" width="13.85546875" style="397" customWidth="1"/>
    <col min="9" max="13" width="10.42578125" style="397" customWidth="1"/>
    <col min="14" max="14" width="13.28515625" style="397" customWidth="1"/>
    <col min="15" max="15" width="11.28515625" style="397" bestFit="1" customWidth="1"/>
    <col min="16" max="17" width="9.140625" style="397"/>
    <col min="18" max="18" width="10.42578125" style="397" customWidth="1"/>
    <col min="19" max="20" width="9.140625" style="397"/>
    <col min="21" max="21" width="11.7109375" style="397" customWidth="1"/>
    <col min="22" max="25" width="9.140625" style="397"/>
    <col min="26" max="26" width="9.42578125" style="397" customWidth="1"/>
    <col min="27" max="16384" width="9.140625" style="397"/>
  </cols>
  <sheetData>
    <row r="1" spans="1:26" x14ac:dyDescent="0.2">
      <c r="A1" s="862" t="s">
        <v>262</v>
      </c>
    </row>
    <row r="3" spans="1:26" ht="19.5" thickBot="1" x14ac:dyDescent="0.35">
      <c r="A3" s="1604" t="s">
        <v>128</v>
      </c>
      <c r="B3" s="1605"/>
      <c r="C3" s="1605"/>
      <c r="D3" s="1605"/>
      <c r="E3" s="1605"/>
      <c r="F3" s="1605"/>
      <c r="G3" s="1605"/>
      <c r="H3" s="1605"/>
      <c r="I3" s="1605"/>
      <c r="J3" s="1605"/>
      <c r="K3" s="1605"/>
      <c r="L3" s="1605"/>
      <c r="M3" s="1605"/>
      <c r="N3" s="1605"/>
      <c r="O3" s="1605"/>
      <c r="P3" s="1605"/>
      <c r="Q3" s="1605"/>
      <c r="R3" s="1605"/>
      <c r="S3" s="1605"/>
      <c r="T3" s="1605"/>
      <c r="U3" s="1605"/>
    </row>
    <row r="4" spans="1:26" ht="15" x14ac:dyDescent="0.25">
      <c r="A4" s="400"/>
      <c r="B4" s="1606" t="s">
        <v>250</v>
      </c>
      <c r="C4" s="1607"/>
      <c r="D4" s="1607"/>
      <c r="E4" s="1607"/>
      <c r="F4" s="1607"/>
      <c r="G4" s="1608"/>
      <c r="H4" s="1606" t="s">
        <v>251</v>
      </c>
      <c r="I4" s="1607"/>
      <c r="J4" s="1607"/>
      <c r="K4" s="1607"/>
      <c r="L4" s="1607"/>
      <c r="M4" s="1608"/>
      <c r="N4" s="1606" t="s">
        <v>155</v>
      </c>
      <c r="O4" s="1607"/>
      <c r="P4" s="1607"/>
      <c r="Q4" s="1607"/>
      <c r="R4" s="1607"/>
      <c r="S4" s="1608"/>
      <c r="T4" s="1613" t="s">
        <v>154</v>
      </c>
      <c r="U4" s="1614"/>
    </row>
    <row r="5" spans="1:26" ht="15" x14ac:dyDescent="0.25">
      <c r="A5" s="401"/>
      <c r="B5" s="1609" t="s">
        <v>129</v>
      </c>
      <c r="C5" s="1610"/>
      <c r="D5" s="1610"/>
      <c r="E5" s="1610"/>
      <c r="F5" s="1610"/>
      <c r="G5" s="1611"/>
      <c r="H5" s="1609" t="s">
        <v>129</v>
      </c>
      <c r="I5" s="1610"/>
      <c r="J5" s="1610"/>
      <c r="K5" s="1610"/>
      <c r="L5" s="1610"/>
      <c r="M5" s="1611"/>
      <c r="N5" s="1609" t="s">
        <v>129</v>
      </c>
      <c r="O5" s="1610"/>
      <c r="P5" s="1610"/>
      <c r="Q5" s="1610"/>
      <c r="R5" s="1610"/>
      <c r="S5" s="1611"/>
      <c r="T5" s="1612" t="s">
        <v>129</v>
      </c>
      <c r="U5" s="1591"/>
    </row>
    <row r="6" spans="1:26" ht="15" x14ac:dyDescent="0.25">
      <c r="A6" s="401"/>
      <c r="B6" s="1101" t="s">
        <v>69</v>
      </c>
      <c r="C6" s="1102" t="s">
        <v>65</v>
      </c>
      <c r="D6" s="1102" t="s">
        <v>66</v>
      </c>
      <c r="E6" s="1102" t="s">
        <v>67</v>
      </c>
      <c r="F6" s="1102" t="s">
        <v>206</v>
      </c>
      <c r="G6" s="1103" t="s">
        <v>207</v>
      </c>
      <c r="H6" s="1101" t="s">
        <v>69</v>
      </c>
      <c r="I6" s="1102" t="s">
        <v>65</v>
      </c>
      <c r="J6" s="1102" t="s">
        <v>66</v>
      </c>
      <c r="K6" s="1102" t="s">
        <v>67</v>
      </c>
      <c r="L6" s="1102" t="s">
        <v>206</v>
      </c>
      <c r="M6" s="1103" t="s">
        <v>207</v>
      </c>
      <c r="N6" s="1101" t="s">
        <v>69</v>
      </c>
      <c r="O6" s="1102" t="s">
        <v>65</v>
      </c>
      <c r="P6" s="1102" t="s">
        <v>66</v>
      </c>
      <c r="Q6" s="1102" t="s">
        <v>67</v>
      </c>
      <c r="R6" s="1102" t="s">
        <v>206</v>
      </c>
      <c r="S6" s="1103" t="s">
        <v>207</v>
      </c>
      <c r="T6" s="649"/>
      <c r="U6" s="650"/>
      <c r="V6" s="397" t="s">
        <v>361</v>
      </c>
    </row>
    <row r="7" spans="1:26" s="849" customFormat="1" ht="30" x14ac:dyDescent="0.2">
      <c r="A7" s="843"/>
      <c r="B7" s="1104" t="str">
        <f t="shared" ref="B7:G7" si="0">INDEX(TECH_OPT_DESC_Cls1,MATCH(B6,TECH_OPT_ROWS_Cls1,0))</f>
        <v>Conventional Diesel ICE</v>
      </c>
      <c r="C7" s="1105" t="str">
        <f t="shared" si="0"/>
        <v>Adv Conv</v>
      </c>
      <c r="D7" s="1105" t="str">
        <f t="shared" si="0"/>
        <v>ISG</v>
      </c>
      <c r="E7" s="1105" t="str">
        <f t="shared" si="0"/>
        <v>HEV</v>
      </c>
      <c r="F7" s="1105" t="str">
        <f t="shared" si="0"/>
        <v>PHEV</v>
      </c>
      <c r="G7" s="1106" t="str">
        <f t="shared" si="0"/>
        <v>FCHEV</v>
      </c>
      <c r="H7" s="1104" t="str">
        <f t="shared" ref="H7:M7" si="1">INDEX(TECH_OPT_DESC_Cls2,MATCH(H6,TECH_OPT_ROWS_Cls2,0))</f>
        <v>Conventional Diesel ICE</v>
      </c>
      <c r="I7" s="1105" t="str">
        <f t="shared" si="1"/>
        <v>Adv Conv</v>
      </c>
      <c r="J7" s="1105" t="str">
        <f t="shared" si="1"/>
        <v>ISG</v>
      </c>
      <c r="K7" s="1105" t="str">
        <f t="shared" si="1"/>
        <v>PHEV</v>
      </c>
      <c r="L7" s="1105" t="str">
        <f t="shared" si="1"/>
        <v>BEV</v>
      </c>
      <c r="M7" s="1106" t="str">
        <f t="shared" si="1"/>
        <v>FCHEV</v>
      </c>
      <c r="N7" s="1104" t="str">
        <f t="shared" ref="N7:S7" si="2">INDEX(TECH_OPT_DESC_Cls3,MATCH(N6,TECH_OPT_ROWS_Cls3,0))</f>
        <v>Conventional Diesel ICE</v>
      </c>
      <c r="O7" s="1105" t="str">
        <f t="shared" si="2"/>
        <v>Adv Conv</v>
      </c>
      <c r="P7" s="1105" t="str">
        <f t="shared" si="2"/>
        <v>ISG</v>
      </c>
      <c r="Q7" s="1105" t="str">
        <f t="shared" si="2"/>
        <v>HEV</v>
      </c>
      <c r="R7" s="1105" t="str">
        <f t="shared" si="2"/>
        <v>PHEV</v>
      </c>
      <c r="S7" s="1106" t="str">
        <f t="shared" si="2"/>
        <v>BEV</v>
      </c>
      <c r="T7" s="847" t="s">
        <v>70</v>
      </c>
      <c r="U7" s="848" t="s">
        <v>139</v>
      </c>
      <c r="V7" s="849" t="s">
        <v>322</v>
      </c>
      <c r="W7" s="849" t="s">
        <v>323</v>
      </c>
      <c r="X7" s="849" t="s">
        <v>325</v>
      </c>
      <c r="Y7" s="849" t="s">
        <v>324</v>
      </c>
      <c r="Z7" s="849" t="s">
        <v>360</v>
      </c>
    </row>
    <row r="8" spans="1:26" ht="30.75" thickBot="1" x14ac:dyDescent="0.3">
      <c r="A8" s="405" t="s">
        <v>3</v>
      </c>
      <c r="B8" s="1107" t="str">
        <f t="shared" ref="B8:G8" si="3">INDEX(TECH_OPT_FUEL1_Cls1,MATCH(B6,TECH_OPT_ROWS_Cls1,0))</f>
        <v>Diesel</v>
      </c>
      <c r="C8" s="1108" t="str">
        <f t="shared" si="3"/>
        <v>Diesel</v>
      </c>
      <c r="D8" s="1108" t="str">
        <f t="shared" si="3"/>
        <v>Diesel</v>
      </c>
      <c r="E8" s="1108" t="str">
        <f t="shared" si="3"/>
        <v>Diesel</v>
      </c>
      <c r="F8" s="1108" t="str">
        <f t="shared" si="3"/>
        <v>Diesel</v>
      </c>
      <c r="G8" s="1109" t="str">
        <f t="shared" si="3"/>
        <v>Hydrogen</v>
      </c>
      <c r="H8" s="1110" t="str">
        <f t="shared" ref="H8:M8" si="4">INDEX(TECH_OPT_FUEL1_Cls2,MATCH(H6,TECH_OPT_ROWS_Cls2,0))</f>
        <v>Diesel</v>
      </c>
      <c r="I8" s="1108" t="str">
        <f t="shared" si="4"/>
        <v>Diesel</v>
      </c>
      <c r="J8" s="1108" t="str">
        <f t="shared" si="4"/>
        <v>Diesel</v>
      </c>
      <c r="K8" s="1108" t="str">
        <f t="shared" si="4"/>
        <v>Diesel</v>
      </c>
      <c r="L8" s="1108" t="str">
        <f t="shared" si="4"/>
        <v>Electricity</v>
      </c>
      <c r="M8" s="1109" t="str">
        <f t="shared" si="4"/>
        <v>Hydrogen</v>
      </c>
      <c r="N8" s="1107" t="str">
        <f t="shared" ref="N8:S8" si="5">INDEX(TECH_OPT_FUEL1_Cls3,MATCH(N6,TECH_OPT_ROWS_Cls3,0))</f>
        <v>Diesel</v>
      </c>
      <c r="O8" s="1108" t="str">
        <f t="shared" si="5"/>
        <v>Diesel</v>
      </c>
      <c r="P8" s="1108" t="str">
        <f t="shared" si="5"/>
        <v>Diesel</v>
      </c>
      <c r="Q8" s="1108" t="str">
        <f t="shared" si="5"/>
        <v>Diesel</v>
      </c>
      <c r="R8" s="1108" t="str">
        <f t="shared" si="5"/>
        <v>Diesel</v>
      </c>
      <c r="S8" s="1109" t="str">
        <f t="shared" si="5"/>
        <v>Electricity</v>
      </c>
      <c r="T8" s="666"/>
      <c r="U8" s="418"/>
    </row>
    <row r="9" spans="1:26" ht="15.75" thickTop="1" x14ac:dyDescent="0.25">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5">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5">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5">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5">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5">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5">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5">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5">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5">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5">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5">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6">
        <f>1-SUM(V20:Y20)</f>
        <v>1</v>
      </c>
    </row>
    <row r="21" spans="1:26" ht="15" x14ac:dyDescent="0.25">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5">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5">
      <c r="A23" s="648">
        <v>2021</v>
      </c>
      <c r="B23" s="683">
        <f t="shared" si="6"/>
        <v>0.95654086901128665</v>
      </c>
      <c r="C23" s="684">
        <f>'7&amp;8 Sleep'!$N90+'7&amp;8 Sleep'!$AA90</f>
        <v>2.8067212193927625E-2</v>
      </c>
      <c r="D23" s="684">
        <f>'7&amp;8 Sleep'!$N142+'7&amp;8 Sleep'!$AA142</f>
        <v>1.5391918794785768E-2</v>
      </c>
      <c r="E23" s="684">
        <f>'7&amp;8 Sleep'!$N194+'7&amp;8 Sleep'!$AA194</f>
        <v>0</v>
      </c>
      <c r="F23" s="684">
        <f>'7&amp;8 Sleep'!$N247+'7&amp;8 Sleep'!$AA247</f>
        <v>0</v>
      </c>
      <c r="G23" s="685">
        <f>'7&amp;8 Sleep'!$N300+'7&amp;8 Sleep'!$AA300</f>
        <v>0</v>
      </c>
      <c r="H23" s="660">
        <f t="shared" si="7"/>
        <v>0.9673711553561638</v>
      </c>
      <c r="I23" s="660">
        <f>'7&amp;8 Day'!$N90+'7&amp;8 Day'!$AA90</f>
        <v>1.9200559355869843E-2</v>
      </c>
      <c r="J23" s="660">
        <f>'7&amp;8 Day'!$N142+'7&amp;8 Day'!$AA142</f>
        <v>1.3428285287966388E-2</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0.97095377945831762</v>
      </c>
      <c r="U23" s="432">
        <f>SUM(C23:G23)*'Market Data'!$C$52+SUM(I23:M23)*'Market Data'!$M$52+SUM(O23:S23)*'Market Data'!$W$52</f>
        <v>2.904622054168246E-2</v>
      </c>
      <c r="X23" s="117"/>
    </row>
    <row r="24" spans="1:26" ht="15" x14ac:dyDescent="0.25">
      <c r="A24" s="403">
        <v>2022</v>
      </c>
      <c r="B24" s="675">
        <f t="shared" si="6"/>
        <v>0.89236548552737205</v>
      </c>
      <c r="C24" s="676">
        <f>'7&amp;8 Sleep'!$N91+'7&amp;8 Sleep'!$AA91</f>
        <v>6.2367304147263984E-2</v>
      </c>
      <c r="D24" s="676">
        <f>'7&amp;8 Sleep'!$N143+'7&amp;8 Sleep'!$AA143</f>
        <v>4.5263831483943168E-2</v>
      </c>
      <c r="E24" s="676">
        <f>'7&amp;8 Sleep'!$N195+'7&amp;8 Sleep'!$AA195</f>
        <v>3.3788414208377051E-6</v>
      </c>
      <c r="F24" s="676">
        <f>'7&amp;8 Sleep'!$N248+'7&amp;8 Sleep'!$AA248</f>
        <v>0</v>
      </c>
      <c r="G24" s="677">
        <f>'7&amp;8 Sleep'!$N301+'7&amp;8 Sleep'!$AA301</f>
        <v>0</v>
      </c>
      <c r="H24" s="658">
        <f t="shared" si="7"/>
        <v>0.9200078523846773</v>
      </c>
      <c r="I24" s="658">
        <f>'7&amp;8 Day'!$N91+'7&amp;8 Day'!$AA91</f>
        <v>4.7668575227319904E-2</v>
      </c>
      <c r="J24" s="658">
        <f>'7&amp;8 Day'!$N143+'7&amp;8 Day'!$AA143</f>
        <v>3.2323572388002812E-2</v>
      </c>
      <c r="K24" s="658">
        <f>'7&amp;8 Day'!$N195+'7&amp;8 Day'!$AA195</f>
        <v>0</v>
      </c>
      <c r="L24" s="658">
        <f>'7&amp;8 Day'!$N248+'7&amp;8 Day'!$AA248</f>
        <v>0</v>
      </c>
      <c r="M24" s="658">
        <f>'7&amp;8 Day'!$N301+'7&amp;8 Day'!$AA301</f>
        <v>0</v>
      </c>
      <c r="N24" s="675">
        <f t="shared" si="8"/>
        <v>0.97345335766383456</v>
      </c>
      <c r="O24" s="676">
        <f>'7&amp;8 SU'!$N91+'7&amp;8 SU'!$AA91</f>
        <v>1.2526454428275713E-2</v>
      </c>
      <c r="P24" s="676">
        <f>'7&amp;8 SU'!$N143+'7&amp;8 SU'!$AA143</f>
        <v>1.3389937653002915E-2</v>
      </c>
      <c r="Q24" s="676">
        <f>'7&amp;8 SU'!$N195+'7&amp;8 SU'!$AA195</f>
        <v>6.3025025488685582E-4</v>
      </c>
      <c r="R24" s="676">
        <f>'7&amp;8 SU'!$N248+'7&amp;8 SU'!$AA248</f>
        <v>0</v>
      </c>
      <c r="S24" s="677">
        <f>'7&amp;8 SU'!$N301+'7&amp;8 SU'!$AA301</f>
        <v>0</v>
      </c>
      <c r="T24" s="662">
        <f>B24*'Market Data'!$C$52+H24*'Market Data'!$M$52+N24*'Market Data'!$W$52</f>
        <v>0.92115999614470645</v>
      </c>
      <c r="U24" s="425">
        <f>SUM(C24:G24)*'Market Data'!$C$52+SUM(I24:M24)*'Market Data'!$M$52+SUM(O24:S24)*'Market Data'!$W$52</f>
        <v>7.8840003855293439E-2</v>
      </c>
      <c r="X24" s="117"/>
    </row>
    <row r="25" spans="1:26" ht="15" x14ac:dyDescent="0.25">
      <c r="A25" s="403">
        <v>2023</v>
      </c>
      <c r="B25" s="675">
        <f t="shared" si="6"/>
        <v>0.75880265840941585</v>
      </c>
      <c r="C25" s="676">
        <f>'7&amp;8 Sleep'!$N92+'7&amp;8 Sleep'!$AA92</f>
        <v>0.13062136176266903</v>
      </c>
      <c r="D25" s="676">
        <f>'7&amp;8 Sleep'!$N144+'7&amp;8 Sleep'!$AA144</f>
        <v>0.10956439667382765</v>
      </c>
      <c r="E25" s="676">
        <f>'7&amp;8 Sleep'!$N196+'7&amp;8 Sleep'!$AA196</f>
        <v>1.0115831540874498E-3</v>
      </c>
      <c r="F25" s="676">
        <f>'7&amp;8 Sleep'!$N249+'7&amp;8 Sleep'!$AA249</f>
        <v>0</v>
      </c>
      <c r="G25" s="677">
        <f>'7&amp;8 Sleep'!$N302+'7&amp;8 Sleep'!$AA302</f>
        <v>0</v>
      </c>
      <c r="H25" s="658">
        <f t="shared" si="7"/>
        <v>0.83387381086285139</v>
      </c>
      <c r="I25" s="658">
        <f>'7&amp;8 Day'!$N92+'7&amp;8 Day'!$AA92</f>
        <v>0.10287608158051777</v>
      </c>
      <c r="J25" s="658">
        <f>'7&amp;8 Day'!$N144+'7&amp;8 Day'!$AA144</f>
        <v>6.3250107556630852E-2</v>
      </c>
      <c r="K25" s="658">
        <f>'7&amp;8 Day'!$N196+'7&amp;8 Day'!$AA196</f>
        <v>0</v>
      </c>
      <c r="L25" s="658">
        <f>'7&amp;8 Day'!$N249+'7&amp;8 Day'!$AA249</f>
        <v>0</v>
      </c>
      <c r="M25" s="658">
        <f>'7&amp;8 Day'!$N302+'7&amp;8 Day'!$AA302</f>
        <v>0</v>
      </c>
      <c r="N25" s="675">
        <f t="shared" si="8"/>
        <v>0.93566087047043245</v>
      </c>
      <c r="O25" s="676">
        <f>'7&amp;8 SU'!$N92+'7&amp;8 SU'!$AA92</f>
        <v>3.1003211619410619E-2</v>
      </c>
      <c r="P25" s="676">
        <f>'7&amp;8 SU'!$N144+'7&amp;8 SU'!$AA144</f>
        <v>3.1080865563348221E-2</v>
      </c>
      <c r="Q25" s="676">
        <f>'7&amp;8 SU'!$N196+'7&amp;8 SU'!$AA196</f>
        <v>2.2550523468086669E-3</v>
      </c>
      <c r="R25" s="676">
        <f>'7&amp;8 SU'!$N249+'7&amp;8 SU'!$AA249</f>
        <v>0</v>
      </c>
      <c r="S25" s="677">
        <f>'7&amp;8 SU'!$N302+'7&amp;8 SU'!$AA302</f>
        <v>0</v>
      </c>
      <c r="T25" s="662">
        <f>B25*'Market Data'!$C$52+H25*'Market Data'!$M$52+N25*'Market Data'!$W$52</f>
        <v>0.8253874691605787</v>
      </c>
      <c r="U25" s="425">
        <f>SUM(C25:G25)*'Market Data'!$C$52+SUM(I25:M25)*'Market Data'!$M$52+SUM(O25:S25)*'Market Data'!$W$52</f>
        <v>0.17461253083942133</v>
      </c>
      <c r="X25" s="117"/>
    </row>
    <row r="26" spans="1:26" ht="15" x14ac:dyDescent="0.25">
      <c r="A26" s="403">
        <v>2024</v>
      </c>
      <c r="B26" s="675">
        <f t="shared" si="6"/>
        <v>0.55793674499050638</v>
      </c>
      <c r="C26" s="676">
        <f>'7&amp;8 Sleep'!$N93+'7&amp;8 Sleep'!$AA93</f>
        <v>0.22920964774359376</v>
      </c>
      <c r="D26" s="676">
        <f>'7&amp;8 Sleep'!$N145+'7&amp;8 Sleep'!$AA145</f>
        <v>0.2031673988179879</v>
      </c>
      <c r="E26" s="676">
        <f>'7&amp;8 Sleep'!$N197+'7&amp;8 Sleep'!$AA197</f>
        <v>9.6862084479119939E-3</v>
      </c>
      <c r="F26" s="676">
        <f>'7&amp;8 Sleep'!$N250+'7&amp;8 Sleep'!$AA250</f>
        <v>0</v>
      </c>
      <c r="G26" s="677">
        <f>'7&amp;8 Sleep'!$N303+'7&amp;8 Sleep'!$AA303</f>
        <v>0</v>
      </c>
      <c r="H26" s="658">
        <f t="shared" si="7"/>
        <v>0.74400709318765945</v>
      </c>
      <c r="I26" s="658">
        <f>'7&amp;8 Day'!$N93+'7&amp;8 Day'!$AA93</f>
        <v>0.14107831604941565</v>
      </c>
      <c r="J26" s="658">
        <f>'7&amp;8 Day'!$N145+'7&amp;8 Day'!$AA145</f>
        <v>0.1149145907629249</v>
      </c>
      <c r="K26" s="658">
        <f>'7&amp;8 Day'!$N197+'7&amp;8 Day'!$AA197</f>
        <v>0</v>
      </c>
      <c r="L26" s="658">
        <f>'7&amp;8 Day'!$N250+'7&amp;8 Day'!$AA250</f>
        <v>0</v>
      </c>
      <c r="M26" s="658">
        <f>'7&amp;8 Day'!$N303+'7&amp;8 Day'!$AA303</f>
        <v>0</v>
      </c>
      <c r="N26" s="675">
        <f t="shared" si="8"/>
        <v>0.87544025065535902</v>
      </c>
      <c r="O26" s="676">
        <f>'7&amp;8 SU'!$N93+'7&amp;8 SU'!$AA93</f>
        <v>6.1180637280756234E-2</v>
      </c>
      <c r="P26" s="676">
        <f>'7&amp;8 SU'!$N145+'7&amp;8 SU'!$AA145</f>
        <v>5.6464978739997826E-2</v>
      </c>
      <c r="Q26" s="676">
        <f>'7&amp;8 SU'!$N197+'7&amp;8 SU'!$AA197</f>
        <v>6.9141333238869479E-3</v>
      </c>
      <c r="R26" s="676">
        <f>'7&amp;8 SU'!$N250+'7&amp;8 SU'!$AA250</f>
        <v>0</v>
      </c>
      <c r="S26" s="677">
        <f>'7&amp;8 SU'!$N303+'7&amp;8 SU'!$AA303</f>
        <v>0</v>
      </c>
      <c r="T26" s="662">
        <f>B26*'Market Data'!$C$52+H26*'Market Data'!$M$52+N26*'Market Data'!$W$52</f>
        <v>0.69059839583967286</v>
      </c>
      <c r="U26" s="425">
        <f>SUM(C26:G26)*'Market Data'!$C$52+SUM(I26:M26)*'Market Data'!$M$52+SUM(O26:S26)*'Market Data'!$W$52</f>
        <v>0.30940160416032714</v>
      </c>
      <c r="X26" s="117"/>
    </row>
    <row r="27" spans="1:26" ht="15" x14ac:dyDescent="0.25">
      <c r="A27" s="402">
        <v>2025</v>
      </c>
      <c r="B27" s="678">
        <f t="shared" si="6"/>
        <v>0.36504081441911285</v>
      </c>
      <c r="C27" s="679">
        <f>'7&amp;8 Sleep'!$N94+'7&amp;8 Sleep'!$AA94</f>
        <v>0.31178948469326639</v>
      </c>
      <c r="D27" s="679">
        <f>'7&amp;8 Sleep'!$N146+'7&amp;8 Sleep'!$AA146</f>
        <v>0.28878707472782</v>
      </c>
      <c r="E27" s="679">
        <f>'7&amp;8 Sleep'!$N198+'7&amp;8 Sleep'!$AA198</f>
        <v>3.4382626159800776E-2</v>
      </c>
      <c r="F27" s="679">
        <f>'7&amp;8 Sleep'!$N251+'7&amp;8 Sleep'!$AA251</f>
        <v>0</v>
      </c>
      <c r="G27" s="680">
        <f>'7&amp;8 Sleep'!$N304+'7&amp;8 Sleep'!$AA304</f>
        <v>0</v>
      </c>
      <c r="H27" s="659">
        <f t="shared" si="7"/>
        <v>0.65334509771230387</v>
      </c>
      <c r="I27" s="659">
        <f>'7&amp;8 Day'!$N94+'7&amp;8 Day'!$AA94</f>
        <v>0.17773239499555313</v>
      </c>
      <c r="J27" s="659">
        <f>'7&amp;8 Day'!$N146+'7&amp;8 Day'!$AA146</f>
        <v>0.16892250729214303</v>
      </c>
      <c r="K27" s="659">
        <f>'7&amp;8 Day'!$N198+'7&amp;8 Day'!$AA198</f>
        <v>0</v>
      </c>
      <c r="L27" s="659">
        <f>'7&amp;8 Day'!$N251+'7&amp;8 Day'!$AA251</f>
        <v>0</v>
      </c>
      <c r="M27" s="659">
        <f>'7&amp;8 Day'!$N304+'7&amp;8 Day'!$AA304</f>
        <v>0</v>
      </c>
      <c r="N27" s="678">
        <f t="shared" si="8"/>
        <v>0.84971564533831634</v>
      </c>
      <c r="O27" s="679">
        <f>'7&amp;8 SU'!$N94+'7&amp;8 SU'!$AA94</f>
        <v>5.8214585332785798E-2</v>
      </c>
      <c r="P27" s="679">
        <f>'7&amp;8 SU'!$N146+'7&amp;8 SU'!$AA146</f>
        <v>7.47661705215001E-2</v>
      </c>
      <c r="Q27" s="679">
        <f>'7&amp;8 SU'!$N198+'7&amp;8 SU'!$AA198</f>
        <v>1.730356963689237E-2</v>
      </c>
      <c r="R27" s="679">
        <f>'7&amp;8 SU'!$N251+'7&amp;8 SU'!$AA251</f>
        <v>2.9170505438254891E-8</v>
      </c>
      <c r="S27" s="680">
        <f>'7&amp;8 SU'!$N304+'7&amp;8 SU'!$AA304</f>
        <v>0</v>
      </c>
      <c r="T27" s="663">
        <f>B27*'Market Data'!$C$52+H27*'Market Data'!$M$52+N27*'Market Data'!$W$52</f>
        <v>0.56864236528695633</v>
      </c>
      <c r="U27" s="428">
        <f>SUM(C27:G27)*'Market Data'!$C$52+SUM(I27:M27)*'Market Data'!$M$52+SUM(O27:S27)*'Market Data'!$W$52</f>
        <v>0.43135763471304356</v>
      </c>
      <c r="X27" s="117"/>
    </row>
    <row r="28" spans="1:26" ht="15" x14ac:dyDescent="0.25">
      <c r="A28" s="648">
        <v>2026</v>
      </c>
      <c r="B28" s="683">
        <f t="shared" si="6"/>
        <v>0.21432599400789687</v>
      </c>
      <c r="C28" s="684">
        <f>'7&amp;8 Sleep'!$N95+'7&amp;8 Sleep'!$AA95</f>
        <v>0.36597901145733031</v>
      </c>
      <c r="D28" s="684">
        <f>'7&amp;8 Sleep'!$N147+'7&amp;8 Sleep'!$AA147</f>
        <v>0.34495957184987691</v>
      </c>
      <c r="E28" s="684">
        <f>'7&amp;8 Sleep'!$N199+'7&amp;8 Sleep'!$AA199</f>
        <v>7.473542268489583E-2</v>
      </c>
      <c r="F28" s="684">
        <f>'7&amp;8 Sleep'!$N252+'7&amp;8 Sleep'!$AA252</f>
        <v>0</v>
      </c>
      <c r="G28" s="685">
        <f>'7&amp;8 Sleep'!$N305+'7&amp;8 Sleep'!$AA305</f>
        <v>0</v>
      </c>
      <c r="H28" s="660">
        <f t="shared" si="7"/>
        <v>0.53933819478499057</v>
      </c>
      <c r="I28" s="660">
        <f>'7&amp;8 Day'!$N95+'7&amp;8 Day'!$AA95</f>
        <v>0.23591322627632402</v>
      </c>
      <c r="J28" s="660">
        <f>'7&amp;8 Day'!$N147+'7&amp;8 Day'!$AA147</f>
        <v>0.22474857893868538</v>
      </c>
      <c r="K28" s="660">
        <f>'7&amp;8 Day'!$N199+'7&amp;8 Day'!$AA199</f>
        <v>0</v>
      </c>
      <c r="L28" s="660">
        <f>'7&amp;8 Day'!$N252+'7&amp;8 Day'!$AA252</f>
        <v>0</v>
      </c>
      <c r="M28" s="660">
        <f>'7&amp;8 Day'!$N305+'7&amp;8 Day'!$AA305</f>
        <v>0</v>
      </c>
      <c r="N28" s="683">
        <f t="shared" si="8"/>
        <v>0.77475518667762455</v>
      </c>
      <c r="O28" s="684">
        <f>'7&amp;8 SU'!$N95+'7&amp;8 SU'!$AA95</f>
        <v>7.6387671910946309E-2</v>
      </c>
      <c r="P28" s="684">
        <f>'7&amp;8 SU'!$N147+'7&amp;8 SU'!$AA147</f>
        <v>0.11960781670461429</v>
      </c>
      <c r="Q28" s="684">
        <f>'7&amp;8 SU'!$N199+'7&amp;8 SU'!$AA199</f>
        <v>2.9248582260421832E-2</v>
      </c>
      <c r="R28" s="684">
        <f>'7&amp;8 SU'!$N252+'7&amp;8 SU'!$AA252</f>
        <v>7.4244639303966605E-7</v>
      </c>
      <c r="S28" s="685">
        <f>'7&amp;8 SU'!$N305+'7&amp;8 SU'!$AA305</f>
        <v>0</v>
      </c>
      <c r="T28" s="664">
        <f>B28*'Market Data'!$C$52+H28*'Market Data'!$M$52+N28*'Market Data'!$W$52</f>
        <v>0.44761287491301616</v>
      </c>
      <c r="U28" s="432">
        <f>SUM(C28:G28)*'Market Data'!$C$52+SUM(I28:M28)*'Market Data'!$M$52+SUM(O28:S28)*'Market Data'!$W$52</f>
        <v>0.55238712508698384</v>
      </c>
      <c r="X28" s="117"/>
    </row>
    <row r="29" spans="1:26" ht="15" x14ac:dyDescent="0.25">
      <c r="A29" s="403">
        <v>2027</v>
      </c>
      <c r="B29" s="675">
        <f t="shared" si="6"/>
        <v>0.13477642412168345</v>
      </c>
      <c r="C29" s="676">
        <f>'7&amp;8 Sleep'!$N96+'7&amp;8 Sleep'!$AA96</f>
        <v>0.37938106711222058</v>
      </c>
      <c r="D29" s="676">
        <f>'7&amp;8 Sleep'!$N148+'7&amp;8 Sleep'!$AA148</f>
        <v>0.36475319316406274</v>
      </c>
      <c r="E29" s="676">
        <f>'7&amp;8 Sleep'!$N200+'7&amp;8 Sleep'!$AA200</f>
        <v>0.12108931560203333</v>
      </c>
      <c r="F29" s="676">
        <f>'7&amp;8 Sleep'!$N253+'7&amp;8 Sleep'!$AA253</f>
        <v>0</v>
      </c>
      <c r="G29" s="677">
        <f>'7&amp;8 Sleep'!$N306+'7&amp;8 Sleep'!$AA306</f>
        <v>0</v>
      </c>
      <c r="H29" s="658">
        <f t="shared" si="7"/>
        <v>0.46178277684840463</v>
      </c>
      <c r="I29" s="658">
        <f>'7&amp;8 Day'!$N96+'7&amp;8 Day'!$AA96</f>
        <v>0.27308383549682302</v>
      </c>
      <c r="J29" s="658">
        <f>'7&amp;8 Day'!$N148+'7&amp;8 Day'!$AA148</f>
        <v>0.2651333876547724</v>
      </c>
      <c r="K29" s="658">
        <f>'7&amp;8 Day'!$N200+'7&amp;8 Day'!$AA200</f>
        <v>0</v>
      </c>
      <c r="L29" s="658">
        <f>'7&amp;8 Day'!$N253+'7&amp;8 Day'!$AA253</f>
        <v>0</v>
      </c>
      <c r="M29" s="658">
        <f>'7&amp;8 Day'!$N306+'7&amp;8 Day'!$AA306</f>
        <v>0</v>
      </c>
      <c r="N29" s="675">
        <f t="shared" si="8"/>
        <v>0.73508929845909021</v>
      </c>
      <c r="O29" s="676">
        <f>'7&amp;8 SU'!$N96+'7&amp;8 SU'!$AA96</f>
        <v>8.0501034092756357E-2</v>
      </c>
      <c r="P29" s="676">
        <f>'7&amp;8 SU'!$N148+'7&amp;8 SU'!$AA148</f>
        <v>0.14264915573545972</v>
      </c>
      <c r="Q29" s="676">
        <f>'7&amp;8 SU'!$N200+'7&amp;8 SU'!$AA200</f>
        <v>4.1747825752912006E-2</v>
      </c>
      <c r="R29" s="676">
        <f>'7&amp;8 SU'!$N253+'7&amp;8 SU'!$AA253</f>
        <v>1.2685959781645248E-5</v>
      </c>
      <c r="S29" s="677">
        <f>'7&amp;8 SU'!$N306+'7&amp;8 SU'!$AA306</f>
        <v>0</v>
      </c>
      <c r="T29" s="662">
        <f>B29*'Market Data'!$C$52+H29*'Market Data'!$M$52+N29*'Market Data'!$W$52</f>
        <v>0.37925756648520303</v>
      </c>
      <c r="U29" s="425">
        <f>SUM(C29:G29)*'Market Data'!$C$52+SUM(I29:M29)*'Market Data'!$M$52+SUM(O29:S29)*'Market Data'!$W$52</f>
        <v>0.62074243351479685</v>
      </c>
      <c r="X29" s="117"/>
    </row>
    <row r="30" spans="1:26" ht="15" x14ac:dyDescent="0.25">
      <c r="A30" s="403">
        <v>2028</v>
      </c>
      <c r="B30" s="675">
        <f t="shared" si="6"/>
        <v>9.5608166462045618E-2</v>
      </c>
      <c r="C30" s="676">
        <f>'7&amp;8 Sleep'!$N97+'7&amp;8 Sleep'!$AA97</f>
        <v>0.37789638942795117</v>
      </c>
      <c r="D30" s="676">
        <f>'7&amp;8 Sleep'!$N149+'7&amp;8 Sleep'!$AA149</f>
        <v>0.36743266034686006</v>
      </c>
      <c r="E30" s="676">
        <f>'7&amp;8 Sleep'!$N201+'7&amp;8 Sleep'!$AA201</f>
        <v>0.15906278376314315</v>
      </c>
      <c r="F30" s="676">
        <f>'7&amp;8 Sleep'!$N254+'7&amp;8 Sleep'!$AA254</f>
        <v>0</v>
      </c>
      <c r="G30" s="677">
        <f>'7&amp;8 Sleep'!$N307+'7&amp;8 Sleep'!$AA307</f>
        <v>0</v>
      </c>
      <c r="H30" s="658">
        <f t="shared" si="7"/>
        <v>0.41826299500843356</v>
      </c>
      <c r="I30" s="658">
        <f>'7&amp;8 Day'!$N97+'7&amp;8 Day'!$AA97</f>
        <v>0.29350823342880361</v>
      </c>
      <c r="J30" s="658">
        <f>'7&amp;8 Day'!$N149+'7&amp;8 Day'!$AA149</f>
        <v>0.28822877156276289</v>
      </c>
      <c r="K30" s="658">
        <f>'7&amp;8 Day'!$N201+'7&amp;8 Day'!$AA201</f>
        <v>0</v>
      </c>
      <c r="L30" s="658">
        <f>'7&amp;8 Day'!$N254+'7&amp;8 Day'!$AA254</f>
        <v>0</v>
      </c>
      <c r="M30" s="658">
        <f>'7&amp;8 Day'!$N307+'7&amp;8 Day'!$AA307</f>
        <v>0</v>
      </c>
      <c r="N30" s="675">
        <f t="shared" si="8"/>
        <v>0.69692032861322117</v>
      </c>
      <c r="O30" s="676">
        <f>'7&amp;8 SU'!$N97+'7&amp;8 SU'!$AA97</f>
        <v>9.4058888470744312E-2</v>
      </c>
      <c r="P30" s="676">
        <f>'7&amp;8 SU'!$N149+'7&amp;8 SU'!$AA149</f>
        <v>0.15726402232921408</v>
      </c>
      <c r="Q30" s="676">
        <f>'7&amp;8 SU'!$N201+'7&amp;8 SU'!$AA201</f>
        <v>5.1674141242069718E-2</v>
      </c>
      <c r="R30" s="676">
        <f>'7&amp;8 SU'!$N254+'7&amp;8 SU'!$AA254</f>
        <v>8.2619344750750574E-5</v>
      </c>
      <c r="S30" s="677">
        <f>'7&amp;8 SU'!$N307+'7&amp;8 SU'!$AA307</f>
        <v>0</v>
      </c>
      <c r="T30" s="662">
        <f>B30*'Market Data'!$C$52+H30*'Market Data'!$M$52+N30*'Market Data'!$W$52</f>
        <v>0.33924359435174567</v>
      </c>
      <c r="U30" s="425">
        <f>SUM(C30:G30)*'Market Data'!$C$52+SUM(I30:M30)*'Market Data'!$M$52+SUM(O30:S30)*'Market Data'!$W$52</f>
        <v>0.66075640564825422</v>
      </c>
      <c r="X30" s="117"/>
    </row>
    <row r="31" spans="1:26" ht="15" x14ac:dyDescent="0.25">
      <c r="A31" s="403">
        <v>2029</v>
      </c>
      <c r="B31" s="675">
        <f t="shared" si="6"/>
        <v>7.3660825530742047E-2</v>
      </c>
      <c r="C31" s="676">
        <f>'7&amp;8 Sleep'!$N98+'7&amp;8 Sleep'!$AA98</f>
        <v>0.36840887631518998</v>
      </c>
      <c r="D31" s="676">
        <f>'7&amp;8 Sleep'!$N150+'7&amp;8 Sleep'!$AA150</f>
        <v>0.3631667348527805</v>
      </c>
      <c r="E31" s="676">
        <f>'7&amp;8 Sleep'!$N202+'7&amp;8 Sleep'!$AA202</f>
        <v>0.19476356330128741</v>
      </c>
      <c r="F31" s="676">
        <f>'7&amp;8 Sleep'!$N255+'7&amp;8 Sleep'!$AA255</f>
        <v>0</v>
      </c>
      <c r="G31" s="677">
        <f>'7&amp;8 Sleep'!$N308+'7&amp;8 Sleep'!$AA308</f>
        <v>0</v>
      </c>
      <c r="H31" s="658">
        <f t="shared" si="7"/>
        <v>0.38038797992420681</v>
      </c>
      <c r="I31" s="658">
        <f>'7&amp;8 Day'!$N98+'7&amp;8 Day'!$AA98</f>
        <v>0.31014138892613485</v>
      </c>
      <c r="J31" s="658">
        <f>'7&amp;8 Day'!$N150+'7&amp;8 Day'!$AA150</f>
        <v>0.30947063114965834</v>
      </c>
      <c r="K31" s="658">
        <f>'7&amp;8 Day'!$N202+'7&amp;8 Day'!$AA202</f>
        <v>0</v>
      </c>
      <c r="L31" s="658">
        <f>'7&amp;8 Day'!$N255+'7&amp;8 Day'!$AA255</f>
        <v>0</v>
      </c>
      <c r="M31" s="658">
        <f>'7&amp;8 Day'!$N308+'7&amp;8 Day'!$AA308</f>
        <v>0</v>
      </c>
      <c r="N31" s="675">
        <f t="shared" si="8"/>
        <v>0.68195997509180173</v>
      </c>
      <c r="O31" s="676">
        <f>'7&amp;8 SU'!$N98+'7&amp;8 SU'!$AA98</f>
        <v>9.7587112456134689E-2</v>
      </c>
      <c r="P31" s="676">
        <f>'7&amp;8 SU'!$N150+'7&amp;8 SU'!$AA150</f>
        <v>0.15744395751044316</v>
      </c>
      <c r="Q31" s="676">
        <f>'7&amp;8 SU'!$N202+'7&amp;8 SU'!$AA202</f>
        <v>6.2629793557667762E-2</v>
      </c>
      <c r="R31" s="676">
        <f>'7&amp;8 SU'!$N255+'7&amp;8 SU'!$AA255</f>
        <v>3.7916138395272143E-4</v>
      </c>
      <c r="S31" s="677">
        <f>'7&amp;8 SU'!$N308+'7&amp;8 SU'!$AA308</f>
        <v>0</v>
      </c>
      <c r="T31" s="662">
        <f>B31*'Market Data'!$C$52+H31*'Market Data'!$M$52+N31*'Market Data'!$W$52</f>
        <v>0.31509258865173628</v>
      </c>
      <c r="U31" s="425">
        <f>SUM(C31:G31)*'Market Data'!$C$52+SUM(I31:M31)*'Market Data'!$M$52+SUM(O31:S31)*'Market Data'!$W$52</f>
        <v>0.68490741134826361</v>
      </c>
      <c r="V31"/>
      <c r="W31"/>
      <c r="X31"/>
      <c r="Y31"/>
      <c r="Z31"/>
    </row>
    <row r="32" spans="1:26" ht="15" x14ac:dyDescent="0.25">
      <c r="A32" s="402">
        <v>2030</v>
      </c>
      <c r="B32" s="678">
        <f t="shared" si="6"/>
        <v>6.2862281881080784E-2</v>
      </c>
      <c r="C32" s="679">
        <f>'7&amp;8 Sleep'!$N99+'7&amp;8 Sleep'!$AA99</f>
        <v>0.35889712948258684</v>
      </c>
      <c r="D32" s="679">
        <f>'7&amp;8 Sleep'!$N151+'7&amp;8 Sleep'!$AA151</f>
        <v>0.35581511117869052</v>
      </c>
      <c r="E32" s="679">
        <f>'7&amp;8 Sleep'!$N203+'7&amp;8 Sleep'!$AA203</f>
        <v>0.22242547745764185</v>
      </c>
      <c r="F32" s="679">
        <f>'7&amp;8 Sleep'!$N256+'7&amp;8 Sleep'!$AA256</f>
        <v>0</v>
      </c>
      <c r="G32" s="680">
        <f>'7&amp;8 Sleep'!$N309+'7&amp;8 Sleep'!$AA309</f>
        <v>0</v>
      </c>
      <c r="H32" s="659">
        <f t="shared" si="7"/>
        <v>0.35156656365143291</v>
      </c>
      <c r="I32" s="659">
        <f>'7&amp;8 Day'!$N99+'7&amp;8 Day'!$AA99</f>
        <v>0.32577089078793736</v>
      </c>
      <c r="J32" s="659">
        <f>'7&amp;8 Day'!$N151+'7&amp;8 Day'!$AA151</f>
        <v>0.32266254556062973</v>
      </c>
      <c r="K32" s="659">
        <f>'7&amp;8 Day'!$N203+'7&amp;8 Day'!$AA203</f>
        <v>0</v>
      </c>
      <c r="L32" s="659">
        <f>'7&amp;8 Day'!$N256+'7&amp;8 Day'!$AA256</f>
        <v>0</v>
      </c>
      <c r="M32" s="659">
        <f>'7&amp;8 Day'!$N309+'7&amp;8 Day'!$AA309</f>
        <v>0</v>
      </c>
      <c r="N32" s="678">
        <f t="shared" si="8"/>
        <v>0.6695100398786934</v>
      </c>
      <c r="O32" s="679">
        <f>'7&amp;8 SU'!$N99+'7&amp;8 SU'!$AA99</f>
        <v>0.10247139244273136</v>
      </c>
      <c r="P32" s="679">
        <f>'7&amp;8 SU'!$N151+'7&amp;8 SU'!$AA151</f>
        <v>0.15881519414973752</v>
      </c>
      <c r="Q32" s="679">
        <f>'7&amp;8 SU'!$N203+'7&amp;8 SU'!$AA203</f>
        <v>6.8299380976146629E-2</v>
      </c>
      <c r="R32" s="679">
        <f>'7&amp;8 SU'!$N256+'7&amp;8 SU'!$AA256</f>
        <v>9.0399255269105693E-4</v>
      </c>
      <c r="S32" s="680">
        <f>'7&amp;8 SU'!$N309+'7&amp;8 SU'!$AA309</f>
        <v>0</v>
      </c>
      <c r="T32" s="663">
        <f>B32*'Market Data'!$C$52+H32*'Market Data'!$M$52+N32*'Market Data'!$W$52</f>
        <v>0.29924024586559439</v>
      </c>
      <c r="U32" s="428">
        <f>SUM(C32:G32)*'Market Data'!$C$52+SUM(I32:M32)*'Market Data'!$M$52+SUM(O32:S32)*'Market Data'!$W$52</f>
        <v>0.7007597541344055</v>
      </c>
      <c r="V32" s="425">
        <f>D32*'Market Data'!$C$52+J32*'Market Data'!$M$52+P32*'Market Data'!$W$52</f>
        <v>0.2945602524298413</v>
      </c>
      <c r="W32" s="425">
        <f>E32*'Market Data'!$C$52+Q32*'Market Data'!$W$52</f>
        <v>0.12422730265307998</v>
      </c>
      <c r="X32" s="425">
        <f>F32*'Market Data'!$C$52+L32*'Market Data'!$M$52</f>
        <v>0</v>
      </c>
      <c r="Y32" s="425">
        <f>K32*'Market Data'!$M$52+R32*'Market Data'!$W$52</f>
        <v>2.4216122665123951E-4</v>
      </c>
      <c r="Z32" s="1286">
        <f>1-SUM(V32:Y32)</f>
        <v>0.58097028369042758</v>
      </c>
    </row>
    <row r="33" spans="1:26" ht="15" x14ac:dyDescent="0.25">
      <c r="A33" s="648">
        <v>2031</v>
      </c>
      <c r="B33" s="683">
        <f t="shared" si="6"/>
        <v>6.0984654009025308E-2</v>
      </c>
      <c r="C33" s="684">
        <f>'7&amp;8 Sleep'!$N100+'7&amp;8 Sleep'!$AA100</f>
        <v>0.35627189925843383</v>
      </c>
      <c r="D33" s="684">
        <f>'7&amp;8 Sleep'!$N152+'7&amp;8 Sleep'!$AA152</f>
        <v>0.35299529450779832</v>
      </c>
      <c r="E33" s="684">
        <f>'7&amp;8 Sleep'!$N204+'7&amp;8 Sleep'!$AA204</f>
        <v>0.22974815222474251</v>
      </c>
      <c r="F33" s="684">
        <f>'7&amp;8 Sleep'!$N257+'7&amp;8 Sleep'!$AA257</f>
        <v>0</v>
      </c>
      <c r="G33" s="685">
        <f>'7&amp;8 Sleep'!$N310+'7&amp;8 Sleep'!$AA310</f>
        <v>0</v>
      </c>
      <c r="H33" s="660">
        <f t="shared" si="7"/>
        <v>0.34737294727814927</v>
      </c>
      <c r="I33" s="660">
        <f>'7&amp;8 Day'!$N100+'7&amp;8 Day'!$AA100</f>
        <v>0.3266316780886831</v>
      </c>
      <c r="J33" s="660">
        <f>'7&amp;8 Day'!$N152+'7&amp;8 Day'!$AA152</f>
        <v>0.32589974981115266</v>
      </c>
      <c r="K33" s="660">
        <f>'7&amp;8 Day'!$N204+'7&amp;8 Day'!$AA204</f>
        <v>9.5624822014932432E-5</v>
      </c>
      <c r="L33" s="660">
        <f>'7&amp;8 Day'!$N257+'7&amp;8 Day'!$AA257</f>
        <v>0</v>
      </c>
      <c r="M33" s="660">
        <f>'7&amp;8 Day'!$N310+'7&amp;8 Day'!$AA310</f>
        <v>0</v>
      </c>
      <c r="N33" s="683">
        <f t="shared" si="8"/>
        <v>0.66796935876382113</v>
      </c>
      <c r="O33" s="684">
        <f>'7&amp;8 SU'!$N100+'7&amp;8 SU'!$AA100</f>
        <v>0.10286124002661828</v>
      </c>
      <c r="P33" s="684">
        <f>'7&amp;8 SU'!$N152+'7&amp;8 SU'!$AA152</f>
        <v>0.15669937215522983</v>
      </c>
      <c r="Q33" s="684">
        <f>'7&amp;8 SU'!$N204+'7&amp;8 SU'!$AA204</f>
        <v>7.1136006725103659E-2</v>
      </c>
      <c r="R33" s="684">
        <f>'7&amp;8 SU'!$N257+'7&amp;8 SU'!$AA257</f>
        <v>1.3340223292271104E-3</v>
      </c>
      <c r="S33" s="685">
        <f>'7&amp;8 SU'!$N310+'7&amp;8 SU'!$AA310</f>
        <v>0</v>
      </c>
      <c r="T33" s="664">
        <f>B33*'Market Data'!$C$52+H33*'Market Data'!$M$52+N33*'Market Data'!$W$52</f>
        <v>0.29686029844692496</v>
      </c>
      <c r="U33" s="432">
        <f>SUM(C33:G33)*'Market Data'!$C$52+SUM(I33:M33)*'Market Data'!$M$52+SUM(O33:S33)*'Market Data'!$W$52</f>
        <v>0.70313970155307504</v>
      </c>
    </row>
    <row r="34" spans="1:26" ht="15" x14ac:dyDescent="0.25">
      <c r="A34" s="403">
        <v>2032</v>
      </c>
      <c r="B34" s="675">
        <f t="shared" si="6"/>
        <v>6.0443568919070212E-2</v>
      </c>
      <c r="C34" s="676">
        <f>'7&amp;8 Sleep'!$N101+'7&amp;8 Sleep'!$AA101</f>
        <v>0.35331967302805933</v>
      </c>
      <c r="D34" s="676">
        <f>'7&amp;8 Sleep'!$N153+'7&amp;8 Sleep'!$AA153</f>
        <v>0.35082508590390327</v>
      </c>
      <c r="E34" s="676">
        <f>'7&amp;8 Sleep'!$N205+'7&amp;8 Sleep'!$AA205</f>
        <v>0.23541167214896716</v>
      </c>
      <c r="F34" s="676">
        <f>'7&amp;8 Sleep'!$N258+'7&amp;8 Sleep'!$AA258</f>
        <v>0</v>
      </c>
      <c r="G34" s="677">
        <f>'7&amp;8 Sleep'!$N311+'7&amp;8 Sleep'!$AA311</f>
        <v>0</v>
      </c>
      <c r="H34" s="658">
        <f t="shared" si="7"/>
        <v>0.3457609384153002</v>
      </c>
      <c r="I34" s="658">
        <f>'7&amp;8 Day'!$N101+'7&amp;8 Day'!$AA101</f>
        <v>0.32692615524268948</v>
      </c>
      <c r="J34" s="658">
        <f>'7&amp;8 Day'!$N153+'7&amp;8 Day'!$AA153</f>
        <v>0.32614420216073681</v>
      </c>
      <c r="K34" s="658">
        <f>'7&amp;8 Day'!$N205+'7&amp;8 Day'!$AA205</f>
        <v>1.1687041812735916E-3</v>
      </c>
      <c r="L34" s="658">
        <f>'7&amp;8 Day'!$N258+'7&amp;8 Day'!$AA258</f>
        <v>0</v>
      </c>
      <c r="M34" s="658">
        <f>'7&amp;8 Day'!$N311+'7&amp;8 Day'!$AA311</f>
        <v>0</v>
      </c>
      <c r="N34" s="675">
        <f t="shared" si="8"/>
        <v>0.65481229589403456</v>
      </c>
      <c r="O34" s="676">
        <f>'7&amp;8 SU'!$N101+'7&amp;8 SU'!$AA101</f>
        <v>0.10429414702148054</v>
      </c>
      <c r="P34" s="676">
        <f>'7&amp;8 SU'!$N153+'7&amp;8 SU'!$AA153</f>
        <v>0.16668885917455878</v>
      </c>
      <c r="Q34" s="676">
        <f>'7&amp;8 SU'!$N205+'7&amp;8 SU'!$AA205</f>
        <v>7.2315391886856373E-2</v>
      </c>
      <c r="R34" s="676">
        <f>'7&amp;8 SU'!$N258+'7&amp;8 SU'!$AA258</f>
        <v>1.8893060230698068E-3</v>
      </c>
      <c r="S34" s="677">
        <f>'7&amp;8 SU'!$N311+'7&amp;8 SU'!$AA311</f>
        <v>0</v>
      </c>
      <c r="T34" s="662">
        <f>B34*'Market Data'!$C$52+H34*'Market Data'!$M$52+N34*'Market Data'!$W$52</f>
        <v>0.29266563732723611</v>
      </c>
      <c r="U34" s="425">
        <f>SUM(C34:G34)*'Market Data'!$C$52+SUM(I34:M34)*'Market Data'!$M$52+SUM(O34:S34)*'Market Data'!$W$52</f>
        <v>0.70733436267276384</v>
      </c>
    </row>
    <row r="35" spans="1:26" ht="15" x14ac:dyDescent="0.25">
      <c r="A35" s="403">
        <v>2033</v>
      </c>
      <c r="B35" s="675">
        <f t="shared" si="6"/>
        <v>5.9601831474312306E-2</v>
      </c>
      <c r="C35" s="676">
        <f>'7&amp;8 Sleep'!$N102+'7&amp;8 Sleep'!$AA102</f>
        <v>0.35217379563362228</v>
      </c>
      <c r="D35" s="676">
        <f>'7&amp;8 Sleep'!$N154+'7&amp;8 Sleep'!$AA154</f>
        <v>0.34994841846175023</v>
      </c>
      <c r="E35" s="676">
        <f>'7&amp;8 Sleep'!$N206+'7&amp;8 Sleep'!$AA206</f>
        <v>0.2382759544303153</v>
      </c>
      <c r="F35" s="676">
        <f>'7&amp;8 Sleep'!$N259+'7&amp;8 Sleep'!$AA259</f>
        <v>0</v>
      </c>
      <c r="G35" s="677">
        <f>'7&amp;8 Sleep'!$N312+'7&amp;8 Sleep'!$AA312</f>
        <v>0</v>
      </c>
      <c r="H35" s="658">
        <f t="shared" si="7"/>
        <v>0.34255083219420301</v>
      </c>
      <c r="I35" s="658">
        <f>'7&amp;8 Day'!$N102+'7&amp;8 Day'!$AA102</f>
        <v>0.32733912302961676</v>
      </c>
      <c r="J35" s="658">
        <f>'7&amp;8 Day'!$N154+'7&amp;8 Day'!$AA154</f>
        <v>0.32561386815625259</v>
      </c>
      <c r="K35" s="658">
        <f>'7&amp;8 Day'!$N206+'7&amp;8 Day'!$AA206</f>
        <v>4.4961766199275739E-3</v>
      </c>
      <c r="L35" s="658">
        <f>'7&amp;8 Day'!$N259+'7&amp;8 Day'!$AA259</f>
        <v>0</v>
      </c>
      <c r="M35" s="658">
        <f>'7&amp;8 Day'!$N312+'7&amp;8 Day'!$AA312</f>
        <v>0</v>
      </c>
      <c r="N35" s="675">
        <f t="shared" si="8"/>
        <v>0.65461338975184524</v>
      </c>
      <c r="O35" s="676">
        <f>'7&amp;8 SU'!$N102+'7&amp;8 SU'!$AA102</f>
        <v>0.10658952831864757</v>
      </c>
      <c r="P35" s="676">
        <f>'7&amp;8 SU'!$N154+'7&amp;8 SU'!$AA154</f>
        <v>0.16390896992135212</v>
      </c>
      <c r="Q35" s="676">
        <f>'7&amp;8 SU'!$N206+'7&amp;8 SU'!$AA206</f>
        <v>7.2205348835302857E-2</v>
      </c>
      <c r="R35" s="676">
        <f>'7&amp;8 SU'!$N259+'7&amp;8 SU'!$AA259</f>
        <v>2.682763172852183E-3</v>
      </c>
      <c r="S35" s="677">
        <f>'7&amp;8 SU'!$N312+'7&amp;8 SU'!$AA312</f>
        <v>0</v>
      </c>
      <c r="T35" s="662">
        <f>B35*'Market Data'!$C$52+H35*'Market Data'!$M$52+N35*'Market Data'!$W$52</f>
        <v>0.29139011830026001</v>
      </c>
      <c r="U35" s="425">
        <f>SUM(C35:G35)*'Market Data'!$C$52+SUM(I35:M35)*'Market Data'!$M$52+SUM(O35:S35)*'Market Data'!$W$52</f>
        <v>0.70860988169973993</v>
      </c>
    </row>
    <row r="36" spans="1:26" ht="15" x14ac:dyDescent="0.25">
      <c r="A36" s="403">
        <v>2034</v>
      </c>
      <c r="B36" s="675">
        <f t="shared" si="6"/>
        <v>5.8645981271136738E-2</v>
      </c>
      <c r="C36" s="676">
        <f>'7&amp;8 Sleep'!$N103+'7&amp;8 Sleep'!$AA103</f>
        <v>0.35088858570195847</v>
      </c>
      <c r="D36" s="676">
        <f>'7&amp;8 Sleep'!$N155+'7&amp;8 Sleep'!$AA155</f>
        <v>0.34855676925063422</v>
      </c>
      <c r="E36" s="676">
        <f>'7&amp;8 Sleep'!$N207+'7&amp;8 Sleep'!$AA207</f>
        <v>0.24190866377627052</v>
      </c>
      <c r="F36" s="676">
        <f>'7&amp;8 Sleep'!$N260+'7&amp;8 Sleep'!$AA260</f>
        <v>0</v>
      </c>
      <c r="G36" s="677">
        <f>'7&amp;8 Sleep'!$N313+'7&amp;8 Sleep'!$AA313</f>
        <v>0</v>
      </c>
      <c r="H36" s="658">
        <f t="shared" si="7"/>
        <v>0.34249954699559226</v>
      </c>
      <c r="I36" s="658">
        <f>'7&amp;8 Day'!$N103+'7&amp;8 Day'!$AA103</f>
        <v>0.32263380011192883</v>
      </c>
      <c r="J36" s="658">
        <f>'7&amp;8 Day'!$N155+'7&amp;8 Day'!$AA155</f>
        <v>0.32248923293469584</v>
      </c>
      <c r="K36" s="658">
        <f>'7&amp;8 Day'!$N207+'7&amp;8 Day'!$AA207</f>
        <v>1.237741995778302E-2</v>
      </c>
      <c r="L36" s="658">
        <f>'7&amp;8 Day'!$N260+'7&amp;8 Day'!$AA260</f>
        <v>0</v>
      </c>
      <c r="M36" s="658">
        <f>'7&amp;8 Day'!$N313+'7&amp;8 Day'!$AA313</f>
        <v>0</v>
      </c>
      <c r="N36" s="675">
        <f t="shared" si="8"/>
        <v>0.65445604367226395</v>
      </c>
      <c r="O36" s="676">
        <f>'7&amp;8 SU'!$N103+'7&amp;8 SU'!$AA103</f>
        <v>0.10630115890269395</v>
      </c>
      <c r="P36" s="676">
        <f>'7&amp;8 SU'!$N155+'7&amp;8 SU'!$AA155</f>
        <v>0.16371755692418094</v>
      </c>
      <c r="Q36" s="676">
        <f>'7&amp;8 SU'!$N207+'7&amp;8 SU'!$AA207</f>
        <v>7.1804751611492343E-2</v>
      </c>
      <c r="R36" s="676">
        <f>'7&amp;8 SU'!$N260+'7&amp;8 SU'!$AA260</f>
        <v>3.720488889368872E-3</v>
      </c>
      <c r="S36" s="677">
        <f>'7&amp;8 SU'!$N313+'7&amp;8 SU'!$AA313</f>
        <v>0</v>
      </c>
      <c r="T36" s="662">
        <f>B36*'Market Data'!$C$52+H36*'Market Data'!$M$52+N36*'Market Data'!$W$52</f>
        <v>0.29087961777384319</v>
      </c>
      <c r="U36" s="425">
        <f>SUM(C36:G36)*'Market Data'!$C$52+SUM(I36:M36)*'Market Data'!$M$52+SUM(O36:S36)*'Market Data'!$W$52</f>
        <v>0.7091203822261567</v>
      </c>
    </row>
    <row r="37" spans="1:26" ht="15" x14ac:dyDescent="0.25">
      <c r="A37" s="402">
        <v>2035</v>
      </c>
      <c r="B37" s="678">
        <f t="shared" si="6"/>
        <v>5.5879731419485434E-2</v>
      </c>
      <c r="C37" s="679">
        <f>'7&amp;8 Sleep'!$N104+'7&amp;8 Sleep'!$AA104</f>
        <v>0.35197758604077267</v>
      </c>
      <c r="D37" s="679">
        <f>'7&amp;8 Sleep'!$N156+'7&amp;8 Sleep'!$AA156</f>
        <v>0.34858680759155569</v>
      </c>
      <c r="E37" s="679">
        <f>'7&amp;8 Sleep'!$N208+'7&amp;8 Sleep'!$AA208</f>
        <v>0.2435558749481862</v>
      </c>
      <c r="F37" s="679">
        <f>'7&amp;8 Sleep'!$N261+'7&amp;8 Sleep'!$AA261</f>
        <v>0</v>
      </c>
      <c r="G37" s="680">
        <f>'7&amp;8 Sleep'!$N314+'7&amp;8 Sleep'!$AA314</f>
        <v>0</v>
      </c>
      <c r="H37" s="659">
        <f t="shared" si="7"/>
        <v>0.33741089653828404</v>
      </c>
      <c r="I37" s="659">
        <f>'7&amp;8 Day'!$N104+'7&amp;8 Day'!$AA104</f>
        <v>0.31771174902361177</v>
      </c>
      <c r="J37" s="659">
        <f>'7&amp;8 Day'!$N156+'7&amp;8 Day'!$AA156</f>
        <v>0.31652768786241325</v>
      </c>
      <c r="K37" s="659">
        <f>'7&amp;8 Day'!$N208+'7&amp;8 Day'!$AA208</f>
        <v>2.8349666575690949E-2</v>
      </c>
      <c r="L37" s="659">
        <f>'7&amp;8 Day'!$N261+'7&amp;8 Day'!$AA261</f>
        <v>0</v>
      </c>
      <c r="M37" s="659">
        <f>'7&amp;8 Day'!$N314+'7&amp;8 Day'!$AA314</f>
        <v>0</v>
      </c>
      <c r="N37" s="678">
        <f t="shared" si="8"/>
        <v>0.65270709083451595</v>
      </c>
      <c r="O37" s="679">
        <f>'7&amp;8 SU'!$N104+'7&amp;8 SU'!$AA104</f>
        <v>0.10672120875648491</v>
      </c>
      <c r="P37" s="679">
        <f>'7&amp;8 SU'!$N156+'7&amp;8 SU'!$AA156</f>
        <v>0.16225185683786827</v>
      </c>
      <c r="Q37" s="679">
        <f>'7&amp;8 SU'!$N208+'7&amp;8 SU'!$AA208</f>
        <v>7.2994469539704565E-2</v>
      </c>
      <c r="R37" s="679">
        <f>'7&amp;8 SU'!$N261+'7&amp;8 SU'!$AA261</f>
        <v>5.322045058753124E-3</v>
      </c>
      <c r="S37" s="680">
        <f>'7&amp;8 SU'!$N314+'7&amp;8 SU'!$AA314</f>
        <v>3.3289726732154916E-6</v>
      </c>
      <c r="T37" s="663">
        <f>B37*'Market Data'!$C$52+H37*'Market Data'!$M$52+N37*'Market Data'!$W$52</f>
        <v>0.28779165974377113</v>
      </c>
      <c r="U37" s="428">
        <f>SUM(C37:G37)*'Market Data'!$C$52+SUM(I37:M37)*'Market Data'!$M$52+SUM(O37:S37)*'Market Data'!$W$52</f>
        <v>0.71220834025622881</v>
      </c>
    </row>
    <row r="38" spans="1:26" ht="15" x14ac:dyDescent="0.25">
      <c r="A38" s="648">
        <v>2036</v>
      </c>
      <c r="B38" s="683">
        <f t="shared" si="6"/>
        <v>5.5197509728408423E-2</v>
      </c>
      <c r="C38" s="684">
        <f>'7&amp;8 Sleep'!$N105+'7&amp;8 Sleep'!$AA105</f>
        <v>0.35095986029467852</v>
      </c>
      <c r="D38" s="684">
        <f>'7&amp;8 Sleep'!$N157+'7&amp;8 Sleep'!$AA157</f>
        <v>0.34785715015316998</v>
      </c>
      <c r="E38" s="684">
        <f>'7&amp;8 Sleep'!$N209+'7&amp;8 Sleep'!$AA209</f>
        <v>0.24597227018559412</v>
      </c>
      <c r="F38" s="684">
        <f>'7&amp;8 Sleep'!$N262+'7&amp;8 Sleep'!$AA262</f>
        <v>1.3209638149000296E-5</v>
      </c>
      <c r="G38" s="685">
        <f>'7&amp;8 Sleep'!$N315+'7&amp;8 Sleep'!$AA315</f>
        <v>0</v>
      </c>
      <c r="H38" s="660">
        <f t="shared" si="7"/>
        <v>0.32987754441672834</v>
      </c>
      <c r="I38" s="660">
        <f>'7&amp;8 Day'!$N105+'7&amp;8 Day'!$AA105</f>
        <v>0.31786946851617942</v>
      </c>
      <c r="J38" s="660">
        <f>'7&amp;8 Day'!$N157+'7&amp;8 Day'!$AA157</f>
        <v>0.31704072339184641</v>
      </c>
      <c r="K38" s="660">
        <f>'7&amp;8 Day'!$N209+'7&amp;8 Day'!$AA209</f>
        <v>3.5211865818970553E-2</v>
      </c>
      <c r="L38" s="660">
        <f>'7&amp;8 Day'!$N262+'7&amp;8 Day'!$AA262</f>
        <v>0</v>
      </c>
      <c r="M38" s="660">
        <f>'7&amp;8 Day'!$N315+'7&amp;8 Day'!$AA315</f>
        <v>3.9785627541661102E-7</v>
      </c>
      <c r="N38" s="683">
        <f t="shared" si="8"/>
        <v>0.65090810044095304</v>
      </c>
      <c r="O38" s="684">
        <f>'7&amp;8 SU'!$N105+'7&amp;8 SU'!$AA105</f>
        <v>0.10831787556386939</v>
      </c>
      <c r="P38" s="684">
        <f>'7&amp;8 SU'!$N157+'7&amp;8 SU'!$AA157</f>
        <v>0.16471280536922828</v>
      </c>
      <c r="Q38" s="684">
        <f>'7&amp;8 SU'!$N209+'7&amp;8 SU'!$AA209</f>
        <v>7.0113136639640194E-2</v>
      </c>
      <c r="R38" s="684">
        <f>'7&amp;8 SU'!$N262+'7&amp;8 SU'!$AA262</f>
        <v>5.9283609309171321E-3</v>
      </c>
      <c r="S38" s="685">
        <f>'7&amp;8 SU'!$N315+'7&amp;8 SU'!$AA315</f>
        <v>1.9721055391914827E-5</v>
      </c>
      <c r="T38" s="664">
        <f>B38*'Market Data'!$C$52+H38*'Market Data'!$M$52+N38*'Market Data'!$W$52</f>
        <v>0.28505731294311359</v>
      </c>
      <c r="U38" s="432">
        <f>SUM(C38:G38)*'Market Data'!$C$52+SUM(I38:M38)*'Market Data'!$M$52+SUM(O38:S38)*'Market Data'!$W$52</f>
        <v>0.71494268705688635</v>
      </c>
    </row>
    <row r="39" spans="1:26" ht="15" x14ac:dyDescent="0.25">
      <c r="A39" s="403">
        <v>2037</v>
      </c>
      <c r="B39" s="675">
        <f t="shared" si="6"/>
        <v>5.5193840234423086E-2</v>
      </c>
      <c r="C39" s="676">
        <f>'7&amp;8 Sleep'!$N106+'7&amp;8 Sleep'!$AA106</f>
        <v>0.35104757851227708</v>
      </c>
      <c r="D39" s="676">
        <f>'7&amp;8 Sleep'!$N158+'7&amp;8 Sleep'!$AA158</f>
        <v>0.34794447227606828</v>
      </c>
      <c r="E39" s="676">
        <f>'7&amp;8 Sleep'!$N210+'7&amp;8 Sleep'!$AA210</f>
        <v>0.24577166206379522</v>
      </c>
      <c r="F39" s="676">
        <f>'7&amp;8 Sleep'!$N263+'7&amp;8 Sleep'!$AA263</f>
        <v>4.2420882668269459E-5</v>
      </c>
      <c r="G39" s="677">
        <f>'7&amp;8 Sleep'!$N316+'7&amp;8 Sleep'!$AA316</f>
        <v>2.6030768135797323E-8</v>
      </c>
      <c r="H39" s="658">
        <f t="shared" si="7"/>
        <v>0.32987494174543375</v>
      </c>
      <c r="I39" s="658">
        <f>'7&amp;8 Day'!$N106+'7&amp;8 Day'!$AA106</f>
        <v>0.31494480504663103</v>
      </c>
      <c r="J39" s="658">
        <f>'7&amp;8 Day'!$N158+'7&amp;8 Day'!$AA158</f>
        <v>0.31411736775286225</v>
      </c>
      <c r="K39" s="658">
        <f>'7&amp;8 Day'!$N210+'7&amp;8 Day'!$AA210</f>
        <v>3.8956241856252086E-2</v>
      </c>
      <c r="L39" s="658">
        <f>'7&amp;8 Day'!$N263+'7&amp;8 Day'!$AA263</f>
        <v>0</v>
      </c>
      <c r="M39" s="658">
        <f>'7&amp;8 Day'!$N316+'7&amp;8 Day'!$AA316</f>
        <v>2.1066435988208055E-3</v>
      </c>
      <c r="N39" s="675">
        <f t="shared" si="8"/>
        <v>0.65090441492990458</v>
      </c>
      <c r="O39" s="676">
        <f>'7&amp;8 SU'!$N106+'7&amp;8 SU'!$AA106</f>
        <v>0.10786533909162559</v>
      </c>
      <c r="P39" s="676">
        <f>'7&amp;8 SU'!$N158+'7&amp;8 SU'!$AA158</f>
        <v>0.16488782432243432</v>
      </c>
      <c r="Q39" s="676">
        <f>'7&amp;8 SU'!$N210+'7&amp;8 SU'!$AA210</f>
        <v>7.021438910879943E-2</v>
      </c>
      <c r="R39" s="676">
        <f>'7&amp;8 SU'!$N263+'7&amp;8 SU'!$AA263</f>
        <v>6.0984603718710444E-3</v>
      </c>
      <c r="S39" s="677">
        <f>'7&amp;8 SU'!$N316+'7&amp;8 SU'!$AA316</f>
        <v>2.9572175364970884E-5</v>
      </c>
      <c r="T39" s="662">
        <f>B39*'Market Data'!$C$52+H39*'Market Data'!$M$52+N39*'Market Data'!$W$52</f>
        <v>0.28505391212122472</v>
      </c>
      <c r="U39" s="425">
        <f>SUM(C39:G39)*'Market Data'!$C$52+SUM(I39:M39)*'Market Data'!$M$52+SUM(O39:S39)*'Market Data'!$W$52</f>
        <v>0.71494608787877534</v>
      </c>
    </row>
    <row r="40" spans="1:26" ht="15" x14ac:dyDescent="0.25">
      <c r="A40" s="403">
        <v>2038</v>
      </c>
      <c r="B40" s="675">
        <f t="shared" si="6"/>
        <v>5.4496309267486831E-2</v>
      </c>
      <c r="C40" s="676">
        <f>'7&amp;8 Sleep'!$N107+'7&amp;8 Sleep'!$AA107</f>
        <v>0.35150350725612856</v>
      </c>
      <c r="D40" s="676">
        <f>'7&amp;8 Sleep'!$N159+'7&amp;8 Sleep'!$AA159</f>
        <v>0.34815283707542244</v>
      </c>
      <c r="E40" s="676">
        <f>'7&amp;8 Sleep'!$N211+'7&amp;8 Sleep'!$AA211</f>
        <v>0.24566178812351291</v>
      </c>
      <c r="F40" s="676">
        <f>'7&amp;8 Sleep'!$N264+'7&amp;8 Sleep'!$AA264</f>
        <v>1.7466749642449275E-4</v>
      </c>
      <c r="G40" s="677">
        <f>'7&amp;8 Sleep'!$N317+'7&amp;8 Sleep'!$AA317</f>
        <v>1.0890781024768489E-5</v>
      </c>
      <c r="H40" s="658">
        <f t="shared" si="7"/>
        <v>0.32987398427108594</v>
      </c>
      <c r="I40" s="658">
        <f>'7&amp;8 Day'!$N107+'7&amp;8 Day'!$AA107</f>
        <v>0.29776181224945247</v>
      </c>
      <c r="J40" s="658">
        <f>'7&amp;8 Day'!$N159+'7&amp;8 Day'!$AA159</f>
        <v>0.29762838982232387</v>
      </c>
      <c r="K40" s="658">
        <f>'7&amp;8 Day'!$N211+'7&amp;8 Day'!$AA211</f>
        <v>4.3755710132172387E-2</v>
      </c>
      <c r="L40" s="658">
        <f>'7&amp;8 Day'!$N264+'7&amp;8 Day'!$AA264</f>
        <v>0</v>
      </c>
      <c r="M40" s="658">
        <f>'7&amp;8 Day'!$N317+'7&amp;8 Day'!$AA317</f>
        <v>3.0980103524965334E-2</v>
      </c>
      <c r="N40" s="675">
        <f t="shared" si="8"/>
        <v>0.65090305908657986</v>
      </c>
      <c r="O40" s="676">
        <f>'7&amp;8 SU'!$N107+'7&amp;8 SU'!$AA107</f>
        <v>0.1099670537398177</v>
      </c>
      <c r="P40" s="676">
        <f>'7&amp;8 SU'!$N159+'7&amp;8 SU'!$AA159</f>
        <v>0.16199296193400356</v>
      </c>
      <c r="Q40" s="676">
        <f>'7&amp;8 SU'!$N211+'7&amp;8 SU'!$AA211</f>
        <v>7.0161778486476811E-2</v>
      </c>
      <c r="R40" s="676">
        <f>'7&amp;8 SU'!$N264+'7&amp;8 SU'!$AA264</f>
        <v>6.8730905802923707E-3</v>
      </c>
      <c r="S40" s="677">
        <f>'7&amp;8 SU'!$N317+'7&amp;8 SU'!$AA317</f>
        <v>1.0205617282973894E-4</v>
      </c>
      <c r="T40" s="662">
        <f>B40*'Market Data'!$C$52+H40*'Market Data'!$M$52+N40*'Market Data'!$W$52</f>
        <v>0.28472110119402183</v>
      </c>
      <c r="U40" s="425">
        <f>SUM(C40:G40)*'Market Data'!$C$52+SUM(I40:M40)*'Market Data'!$M$52+SUM(O40:S40)*'Market Data'!$W$52</f>
        <v>0.71527889880597817</v>
      </c>
    </row>
    <row r="41" spans="1:26" ht="15" x14ac:dyDescent="0.25">
      <c r="A41" s="403">
        <v>2039</v>
      </c>
      <c r="B41" s="675">
        <f t="shared" si="6"/>
        <v>5.3698074058623591E-2</v>
      </c>
      <c r="C41" s="676">
        <f>'7&amp;8 Sleep'!$N108+'7&amp;8 Sleep'!$AA108</f>
        <v>0.3500626159711655</v>
      </c>
      <c r="D41" s="676">
        <f>'7&amp;8 Sleep'!$N160+'7&amp;8 Sleep'!$AA160</f>
        <v>0.34627226073081813</v>
      </c>
      <c r="E41" s="676">
        <f>'7&amp;8 Sleep'!$N212+'7&amp;8 Sleep'!$AA212</f>
        <v>0.24522902061866014</v>
      </c>
      <c r="F41" s="676">
        <f>'7&amp;8 Sleep'!$N265+'7&amp;8 Sleep'!$AA265</f>
        <v>5.366376407530748E-4</v>
      </c>
      <c r="G41" s="677">
        <f>'7&amp;8 Sleep'!$N318+'7&amp;8 Sleep'!$AA318</f>
        <v>4.2013909799795031E-3</v>
      </c>
      <c r="H41" s="658">
        <f t="shared" si="7"/>
        <v>0.32987363203526943</v>
      </c>
      <c r="I41" s="658">
        <f>'7&amp;8 Day'!$N108+'7&amp;8 Day'!$AA108</f>
        <v>0.27388173275776351</v>
      </c>
      <c r="J41" s="658">
        <f>'7&amp;8 Day'!$N160+'7&amp;8 Day'!$AA160</f>
        <v>0.27375901062205815</v>
      </c>
      <c r="K41" s="658">
        <f>'7&amp;8 Day'!$N212+'7&amp;8 Day'!$AA212</f>
        <v>5.1408404177911024E-2</v>
      </c>
      <c r="L41" s="658">
        <f>'7&amp;8 Day'!$N265+'7&amp;8 Day'!$AA265</f>
        <v>0</v>
      </c>
      <c r="M41" s="658">
        <f>'7&amp;8 Day'!$N318+'7&amp;8 Day'!$AA318</f>
        <v>7.1077220406997932E-2</v>
      </c>
      <c r="N41" s="675">
        <f t="shared" si="8"/>
        <v>0.63788791439685633</v>
      </c>
      <c r="O41" s="676">
        <f>'7&amp;8 SU'!$N108+'7&amp;8 SU'!$AA108</f>
        <v>0.11150257091726699</v>
      </c>
      <c r="P41" s="676">
        <f>'7&amp;8 SU'!$N160+'7&amp;8 SU'!$AA160</f>
        <v>0.17185165024005006</v>
      </c>
      <c r="Q41" s="676">
        <f>'7&amp;8 SU'!$N212+'7&amp;8 SU'!$AA212</f>
        <v>7.0647286014427449E-2</v>
      </c>
      <c r="R41" s="676">
        <f>'7&amp;8 SU'!$N265+'7&amp;8 SU'!$AA265</f>
        <v>7.7903908348444621E-3</v>
      </c>
      <c r="S41" s="677">
        <f>'7&amp;8 SU'!$N318+'7&amp;8 SU'!$AA318</f>
        <v>3.2018759655478413E-4</v>
      </c>
      <c r="T41" s="662">
        <f>B41*'Market Data'!$C$52+H41*'Market Data'!$M$52+N41*'Market Data'!$W$52</f>
        <v>0.2808543547478875</v>
      </c>
      <c r="U41" s="425">
        <f>SUM(C41:G41)*'Market Data'!$C$52+SUM(I41:M41)*'Market Data'!$M$52+SUM(O41:S41)*'Market Data'!$W$52</f>
        <v>0.71914564525211244</v>
      </c>
    </row>
    <row r="42" spans="1:26" ht="15" x14ac:dyDescent="0.25">
      <c r="A42" s="402">
        <v>2040</v>
      </c>
      <c r="B42" s="678">
        <f t="shared" si="6"/>
        <v>5.3411834867049701E-2</v>
      </c>
      <c r="C42" s="679">
        <f>'7&amp;8 Sleep'!$N109+'7&amp;8 Sleep'!$AA109</f>
        <v>0.3438026047293169</v>
      </c>
      <c r="D42" s="679">
        <f>'7&amp;8 Sleep'!$N161+'7&amp;8 Sleep'!$AA161</f>
        <v>0.33989481024124224</v>
      </c>
      <c r="E42" s="679">
        <f>'7&amp;8 Sleep'!$N213+'7&amp;8 Sleep'!$AA213</f>
        <v>0.24243432508893911</v>
      </c>
      <c r="F42" s="679">
        <f>'7&amp;8 Sleep'!$N266+'7&amp;8 Sleep'!$AA266</f>
        <v>1.481779635410637E-3</v>
      </c>
      <c r="G42" s="680">
        <f>'7&amp;8 Sleep'!$N319+'7&amp;8 Sleep'!$AA319</f>
        <v>1.8974645438041372E-2</v>
      </c>
      <c r="H42" s="842">
        <f t="shared" si="7"/>
        <v>0.32862272052115538</v>
      </c>
      <c r="I42" s="842">
        <f>'7&amp;8 Day'!$N109+'7&amp;8 Day'!$AA109</f>
        <v>0.25560931285004129</v>
      </c>
      <c r="J42" s="842">
        <f>'7&amp;8 Day'!$N161+'7&amp;8 Day'!$AA161</f>
        <v>0.25535448833840757</v>
      </c>
      <c r="K42" s="842">
        <f>'7&amp;8 Day'!$N213+'7&amp;8 Day'!$AA213</f>
        <v>6.4382956879681957E-2</v>
      </c>
      <c r="L42" s="842">
        <f>'7&amp;8 Day'!$N266+'7&amp;8 Day'!$AA266</f>
        <v>0</v>
      </c>
      <c r="M42" s="842">
        <f>'7&amp;8 Day'!$N319+'7&amp;8 Day'!$AA319</f>
        <v>9.6030521410713818E-2</v>
      </c>
      <c r="N42" s="675">
        <f t="shared" si="8"/>
        <v>0.63788772406124306</v>
      </c>
      <c r="O42" s="676">
        <f>'7&amp;8 SU'!$N109+'7&amp;8 SU'!$AA109</f>
        <v>0.11145763291387448</v>
      </c>
      <c r="P42" s="676">
        <f>'7&amp;8 SU'!$N161+'7&amp;8 SU'!$AA161</f>
        <v>0.168967010669132</v>
      </c>
      <c r="Q42" s="676">
        <f>'7&amp;8 SU'!$N213+'7&amp;8 SU'!$AA213</f>
        <v>7.158816444253141E-2</v>
      </c>
      <c r="R42" s="676">
        <f>'7&amp;8 SU'!$N266+'7&amp;8 SU'!$AA266</f>
        <v>9.136320974344244E-3</v>
      </c>
      <c r="S42" s="677">
        <f>'7&amp;8 SU'!$N319+'7&amp;8 SU'!$AA319</f>
        <v>9.6314693887485493E-4</v>
      </c>
      <c r="T42" s="663">
        <f>B42*'Market Data'!$C$52+H42*'Market Data'!$M$52+N42*'Market Data'!$W$52</f>
        <v>0.28039791620615601</v>
      </c>
      <c r="U42" s="428">
        <f>SUM(C42:G42)*'Market Data'!$C$52+SUM(I42:M42)*'Market Data'!$M$52+SUM(O42:S42)*'Market Data'!$W$52</f>
        <v>0.71960208379384394</v>
      </c>
    </row>
    <row r="43" spans="1:26" ht="15" x14ac:dyDescent="0.25">
      <c r="A43" s="403">
        <v>2041</v>
      </c>
      <c r="B43" s="683">
        <f t="shared" si="6"/>
        <v>5.34117675307485E-2</v>
      </c>
      <c r="C43" s="684">
        <f>'7&amp;8 Sleep'!$N110+'7&amp;8 Sleep'!$AA110</f>
        <v>0.33713765703510418</v>
      </c>
      <c r="D43" s="684">
        <f>'7&amp;8 Sleep'!$N162+'7&amp;8 Sleep'!$AA162</f>
        <v>0.33326537559787572</v>
      </c>
      <c r="E43" s="684">
        <f>'7&amp;8 Sleep'!$N214+'7&amp;8 Sleep'!$AA214</f>
        <v>0.2398245478773243</v>
      </c>
      <c r="F43" s="684">
        <f>'7&amp;8 Sleep'!$N267+'7&amp;8 Sleep'!$AA267</f>
        <v>3.8237496428768667E-3</v>
      </c>
      <c r="G43" s="685">
        <f>'7&amp;8 Sleep'!$N320+'7&amp;8 Sleep'!$AA320</f>
        <v>3.2536902316070329E-2</v>
      </c>
      <c r="H43" s="660">
        <f t="shared" si="7"/>
        <v>0.32862267276219925</v>
      </c>
      <c r="I43" s="660">
        <f>'7&amp;8 Day'!$N110+'7&amp;8 Day'!$AA110</f>
        <v>0.24055152492886089</v>
      </c>
      <c r="J43" s="660">
        <f>'7&amp;8 Day'!$N162+'7&amp;8 Day'!$AA162</f>
        <v>0.24030697641600068</v>
      </c>
      <c r="K43" s="660">
        <f>'7&amp;8 Day'!$N214+'7&amp;8 Day'!$AA214</f>
        <v>7.9751466301697688E-2</v>
      </c>
      <c r="L43" s="660">
        <f>'7&amp;8 Day'!$N267+'7&amp;8 Day'!$AA267</f>
        <v>0</v>
      </c>
      <c r="M43" s="660">
        <f>'7&amp;8 Day'!$N320+'7&amp;8 Day'!$AA320</f>
        <v>0.1107673595912415</v>
      </c>
      <c r="N43" s="683">
        <f t="shared" si="8"/>
        <v>0.63788765404063363</v>
      </c>
      <c r="O43" s="684">
        <f>'7&amp;8 SU'!$N110+'7&amp;8 SU'!$AA110</f>
        <v>0.11019353757532968</v>
      </c>
      <c r="P43" s="684">
        <f>'7&amp;8 SU'!$N162+'7&amp;8 SU'!$AA162</f>
        <v>0.16754276732455736</v>
      </c>
      <c r="Q43" s="684">
        <f>'7&amp;8 SU'!$N214+'7&amp;8 SU'!$AA214</f>
        <v>7.0528973220083807E-2</v>
      </c>
      <c r="R43" s="684">
        <f>'7&amp;8 SU'!$N267+'7&amp;8 SU'!$AA267</f>
        <v>1.1434557563156703E-2</v>
      </c>
      <c r="S43" s="685">
        <f>'7&amp;8 SU'!$N320+'7&amp;8 SU'!$AA320</f>
        <v>2.4125102762388054E-3</v>
      </c>
      <c r="T43" s="667">
        <f>B43*'Market Data'!$C$52+H43*'Market Data'!$M$52+N43*'Market Data'!$W$52</f>
        <v>0.28039785315994342</v>
      </c>
      <c r="U43" s="434">
        <f>SUM(C43:G43)*'Market Data'!$C$52+SUM(I43:M43)*'Market Data'!$M$52+SUM(O43:S43)*'Market Data'!$W$52</f>
        <v>0.71960214684005652</v>
      </c>
    </row>
    <row r="44" spans="1:26" ht="15" x14ac:dyDescent="0.25">
      <c r="A44" s="403">
        <v>2042</v>
      </c>
      <c r="B44" s="675">
        <f t="shared" si="6"/>
        <v>5.3411742759104985E-2</v>
      </c>
      <c r="C44" s="676">
        <f>'7&amp;8 Sleep'!$N111+'7&amp;8 Sleep'!$AA111</f>
        <v>0.33051070996674337</v>
      </c>
      <c r="D44" s="676">
        <f>'7&amp;8 Sleep'!$N163+'7&amp;8 Sleep'!$AA163</f>
        <v>0.32701609700078987</v>
      </c>
      <c r="E44" s="676">
        <f>'7&amp;8 Sleep'!$N215+'7&amp;8 Sleep'!$AA215</f>
        <v>0.23233804020441789</v>
      </c>
      <c r="F44" s="676">
        <f>'7&amp;8 Sleep'!$N268+'7&amp;8 Sleep'!$AA268</f>
        <v>1.3404340740038592E-2</v>
      </c>
      <c r="G44" s="677">
        <f>'7&amp;8 Sleep'!$N321+'7&amp;8 Sleep'!$AA321</f>
        <v>4.3319069328905196E-2</v>
      </c>
      <c r="H44" s="658">
        <f t="shared" si="7"/>
        <v>0.3193134350102308</v>
      </c>
      <c r="I44" s="658">
        <f>'7&amp;8 Day'!$N111+'7&amp;8 Day'!$AA111</f>
        <v>0.22878851370116948</v>
      </c>
      <c r="J44" s="658">
        <f>'7&amp;8 Day'!$N163+'7&amp;8 Day'!$AA163</f>
        <v>0.22814810051510315</v>
      </c>
      <c r="K44" s="658">
        <f>'7&amp;8 Day'!$N215+'7&amp;8 Day'!$AA215</f>
        <v>0.10215660885883493</v>
      </c>
      <c r="L44" s="658">
        <f>'7&amp;8 Day'!$N268+'7&amp;8 Day'!$AA268</f>
        <v>4.4727041266095562E-5</v>
      </c>
      <c r="M44" s="658">
        <f>'7&amp;8 Day'!$N321+'7&amp;8 Day'!$AA321</f>
        <v>0.12154861487339552</v>
      </c>
      <c r="N44" s="675">
        <f t="shared" si="8"/>
        <v>0.63759486616835204</v>
      </c>
      <c r="O44" s="676">
        <f>'7&amp;8 SU'!$N111+'7&amp;8 SU'!$AA111</f>
        <v>0.10761772333371622</v>
      </c>
      <c r="P44" s="676">
        <f>'7&amp;8 SU'!$N163+'7&amp;8 SU'!$AA163</f>
        <v>0.16473981641634128</v>
      </c>
      <c r="Q44" s="676">
        <f>'7&amp;8 SU'!$N215+'7&amp;8 SU'!$AA215</f>
        <v>6.8476520186498274E-2</v>
      </c>
      <c r="R44" s="676">
        <f>'7&amp;8 SU'!$N268+'7&amp;8 SU'!$AA268</f>
        <v>1.5663542199924451E-2</v>
      </c>
      <c r="S44" s="677">
        <f>'7&amp;8 SU'!$N321+'7&amp;8 SU'!$AA321</f>
        <v>5.9075316951677382E-3</v>
      </c>
      <c r="T44" s="662">
        <f>B44*'Market Data'!$C$52+H44*'Market Data'!$M$52+N44*'Market Data'!$W$52</f>
        <v>0.27793749998036593</v>
      </c>
      <c r="U44" s="425">
        <f>SUM(C44:G44)*'Market Data'!$C$52+SUM(I44:M44)*'Market Data'!$M$52+SUM(O44:S44)*'Market Data'!$W$52</f>
        <v>0.72206250001963401</v>
      </c>
    </row>
    <row r="45" spans="1:26" ht="15" x14ac:dyDescent="0.25">
      <c r="A45" s="403">
        <v>2043</v>
      </c>
      <c r="B45" s="675">
        <f t="shared" si="6"/>
        <v>5.3411733646126502E-2</v>
      </c>
      <c r="C45" s="676">
        <f>'7&amp;8 Sleep'!$N112+'7&amp;8 Sleep'!$AA112</f>
        <v>0.31962529157380637</v>
      </c>
      <c r="D45" s="676">
        <f>'7&amp;8 Sleep'!$N164+'7&amp;8 Sleep'!$AA164</f>
        <v>0.31618238205224958</v>
      </c>
      <c r="E45" s="676">
        <f>'7&amp;8 Sleep'!$N216+'7&amp;8 Sleep'!$AA216</f>
        <v>0.22386261854350081</v>
      </c>
      <c r="F45" s="676">
        <f>'7&amp;8 Sleep'!$N269+'7&amp;8 Sleep'!$AA269</f>
        <v>3.768165700453583E-2</v>
      </c>
      <c r="G45" s="677">
        <f>'7&amp;8 Sleep'!$N322+'7&amp;8 Sleep'!$AA322</f>
        <v>4.9236317179780928E-2</v>
      </c>
      <c r="H45" s="658">
        <f t="shared" si="7"/>
        <v>0.28518239043533478</v>
      </c>
      <c r="I45" s="658">
        <f>'7&amp;8 Day'!$N112+'7&amp;8 Day'!$AA112</f>
        <v>0.22287944987423608</v>
      </c>
      <c r="J45" s="658">
        <f>'7&amp;8 Day'!$N164+'7&amp;8 Day'!$AA164</f>
        <v>0.22207082412038498</v>
      </c>
      <c r="K45" s="658">
        <f>'7&amp;8 Day'!$N216+'7&amp;8 Day'!$AA216</f>
        <v>0.13066093225186073</v>
      </c>
      <c r="L45" s="658">
        <f>'7&amp;8 Day'!$N269+'7&amp;8 Day'!$AA269</f>
        <v>2.2601229467512744E-3</v>
      </c>
      <c r="M45" s="658">
        <f>'7&amp;8 Day'!$N322+'7&amp;8 Day'!$AA322</f>
        <v>0.13694628037143219</v>
      </c>
      <c r="N45" s="675">
        <f t="shared" si="8"/>
        <v>0.63759485668442806</v>
      </c>
      <c r="O45" s="676">
        <f>'7&amp;8 SU'!$N112+'7&amp;8 SU'!$AA112</f>
        <v>0.10360652661448812</v>
      </c>
      <c r="P45" s="676">
        <f>'7&amp;8 SU'!$N164+'7&amp;8 SU'!$AA164</f>
        <v>0.15929828767143697</v>
      </c>
      <c r="Q45" s="676">
        <f>'7&amp;8 SU'!$N216+'7&amp;8 SU'!$AA216</f>
        <v>6.5606011544897258E-2</v>
      </c>
      <c r="R45" s="676">
        <f>'7&amp;8 SU'!$N269+'7&amp;8 SU'!$AA269</f>
        <v>2.2490135719338618E-2</v>
      </c>
      <c r="S45" s="677">
        <f>'7&amp;8 SU'!$N322+'7&amp;8 SU'!$AA322</f>
        <v>1.1404181765410937E-2</v>
      </c>
      <c r="T45" s="662">
        <f>B45*'Market Data'!$C$52+H45*'Market Data'!$M$52+N45*'Market Data'!$W$52</f>
        <v>0.26920454844479874</v>
      </c>
      <c r="U45" s="425">
        <f>SUM(C45:G45)*'Market Data'!$C$52+SUM(I45:M45)*'Market Data'!$M$52+SUM(O45:S45)*'Market Data'!$W$52</f>
        <v>0.7307954515552012</v>
      </c>
    </row>
    <row r="46" spans="1:26" ht="15" x14ac:dyDescent="0.25">
      <c r="A46" s="403">
        <v>2044</v>
      </c>
      <c r="B46" s="675">
        <f t="shared" si="6"/>
        <v>5.3411730293649096E-2</v>
      </c>
      <c r="C46" s="676">
        <f>'7&amp;8 Sleep'!$N113+'7&amp;8 Sleep'!$AA113</f>
        <v>0.30787127081573057</v>
      </c>
      <c r="D46" s="676">
        <f>'7&amp;8 Sleep'!$N165+'7&amp;8 Sleep'!$AA165</f>
        <v>0.30413858810988276</v>
      </c>
      <c r="E46" s="676">
        <f>'7&amp;8 Sleep'!$N217+'7&amp;8 Sleep'!$AA217</f>
        <v>0.21275401102958696</v>
      </c>
      <c r="F46" s="676">
        <f>'7&amp;8 Sleep'!$N270+'7&amp;8 Sleep'!$AA270</f>
        <v>6.9490384861531238E-2</v>
      </c>
      <c r="G46" s="677">
        <f>'7&amp;8 Sleep'!$N323+'7&amp;8 Sleep'!$AA323</f>
        <v>5.2334014889619425E-2</v>
      </c>
      <c r="H46" s="658">
        <f t="shared" si="7"/>
        <v>0.26147546422246837</v>
      </c>
      <c r="I46" s="658">
        <f>'7&amp;8 Day'!$N113+'7&amp;8 Day'!$AA113</f>
        <v>0.214014436518879</v>
      </c>
      <c r="J46" s="658">
        <f>'7&amp;8 Day'!$N165+'7&amp;8 Day'!$AA165</f>
        <v>0.21340074827300043</v>
      </c>
      <c r="K46" s="658">
        <f>'7&amp;8 Day'!$N217+'7&amp;8 Day'!$AA217</f>
        <v>0.15585531950426759</v>
      </c>
      <c r="L46" s="658">
        <f>'7&amp;8 Day'!$N270+'7&amp;8 Day'!$AA270</f>
        <v>9.6675397386533843E-3</v>
      </c>
      <c r="M46" s="658">
        <f>'7&amp;8 Day'!$N323+'7&amp;8 Day'!$AA323</f>
        <v>0.14558649174273117</v>
      </c>
      <c r="N46" s="675">
        <f t="shared" si="8"/>
        <v>0.63788761531909954</v>
      </c>
      <c r="O46" s="676">
        <f>'7&amp;8 SU'!$N113+'7&amp;8 SU'!$AA113</f>
        <v>9.8339207790477806E-2</v>
      </c>
      <c r="P46" s="676">
        <f>'7&amp;8 SU'!$N165+'7&amp;8 SU'!$AA165</f>
        <v>0.15100807740533687</v>
      </c>
      <c r="Q46" s="676">
        <f>'7&amp;8 SU'!$N217+'7&amp;8 SU'!$AA217</f>
        <v>6.2283470042486924E-2</v>
      </c>
      <c r="R46" s="676">
        <f>'7&amp;8 SU'!$N270+'7&amp;8 SU'!$AA270</f>
        <v>3.1523800632044199E-2</v>
      </c>
      <c r="S46" s="677">
        <f>'7&amp;8 SU'!$N323+'7&amp;8 SU'!$AA323</f>
        <v>1.8957828810554737E-2</v>
      </c>
      <c r="T46" s="662">
        <f>B46*'Market Data'!$C$52+H46*'Market Data'!$M$52+N46*'Market Data'!$W$52</f>
        <v>0.26321719483152861</v>
      </c>
      <c r="U46" s="425">
        <f>SUM(C46:G46)*'Market Data'!$C$52+SUM(I46:M46)*'Market Data'!$M$52+SUM(O46:S46)*'Market Data'!$W$52</f>
        <v>0.73678280516847128</v>
      </c>
    </row>
    <row r="47" spans="1:26" ht="15" x14ac:dyDescent="0.25">
      <c r="A47" s="402">
        <v>2045</v>
      </c>
      <c r="B47" s="678">
        <f t="shared" si="6"/>
        <v>5.3411729060341417E-2</v>
      </c>
      <c r="C47" s="679">
        <f>'7&amp;8 Sleep'!$N114+'7&amp;8 Sleep'!$AA114</f>
        <v>0.29484010372045216</v>
      </c>
      <c r="D47" s="679">
        <f>'7&amp;8 Sleep'!$N166+'7&amp;8 Sleep'!$AA166</f>
        <v>0.29120405432598745</v>
      </c>
      <c r="E47" s="679">
        <f>'7&amp;8 Sleep'!$N218+'7&amp;8 Sleep'!$AA218</f>
        <v>0.20351557550151639</v>
      </c>
      <c r="F47" s="679">
        <f>'7&amp;8 Sleep'!$N271+'7&amp;8 Sleep'!$AA271</f>
        <v>0.10137304508591</v>
      </c>
      <c r="G47" s="680">
        <f>'7&amp;8 Sleep'!$N324+'7&amp;8 Sleep'!$AA324</f>
        <v>5.5655492305792441E-2</v>
      </c>
      <c r="H47" s="659">
        <f t="shared" si="7"/>
        <v>0.23342131650972853</v>
      </c>
      <c r="I47" s="659">
        <f>'7&amp;8 Day'!$N114+'7&amp;8 Day'!$AA114</f>
        <v>0.20849035433533522</v>
      </c>
      <c r="J47" s="659">
        <f>'7&amp;8 Day'!$N166+'7&amp;8 Day'!$AA166</f>
        <v>0.20794085284846239</v>
      </c>
      <c r="K47" s="659">
        <f>'7&amp;8 Day'!$N218+'7&amp;8 Day'!$AA218</f>
        <v>0.17458351284574045</v>
      </c>
      <c r="L47" s="659">
        <f>'7&amp;8 Day'!$N271+'7&amp;8 Day'!$AA271</f>
        <v>1.905489239832741E-2</v>
      </c>
      <c r="M47" s="659">
        <f>'7&amp;8 Day'!$N324+'7&amp;8 Day'!$AA324</f>
        <v>0.15650907106240611</v>
      </c>
      <c r="N47" s="678">
        <f t="shared" si="8"/>
        <v>0.63788761403662675</v>
      </c>
      <c r="O47" s="679">
        <f>'7&amp;8 SU'!$N114+'7&amp;8 SU'!$AA114</f>
        <v>9.1907737925213936E-2</v>
      </c>
      <c r="P47" s="679">
        <f>'7&amp;8 SU'!$N166+'7&amp;8 SU'!$AA166</f>
        <v>0.14067547914362946</v>
      </c>
      <c r="Q47" s="679">
        <f>'7&amp;8 SU'!$N218+'7&amp;8 SU'!$AA218</f>
        <v>5.8522004043858641E-2</v>
      </c>
      <c r="R47" s="679">
        <f>'7&amp;8 SU'!$N271+'7&amp;8 SU'!$AA271</f>
        <v>4.1954239071092289E-2</v>
      </c>
      <c r="S47" s="680">
        <f>'7&amp;8 SU'!$N324+'7&amp;8 SU'!$AA324</f>
        <v>2.9052925779578881E-2</v>
      </c>
      <c r="T47" s="663">
        <f>B47*'Market Data'!$C$52+H47*'Market Data'!$M$52+N47*'Market Data'!$W$52</f>
        <v>0.25603911533994711</v>
      </c>
      <c r="U47" s="428">
        <f>SUM(C47:G47)*'Market Data'!$C$52+SUM(I47:M47)*'Market Data'!$M$52+SUM(O47:S47)*'Market Data'!$W$52</f>
        <v>0.74396088466005283</v>
      </c>
      <c r="V47" s="425">
        <f>D47*'Market Data'!$C$52+J47*'Market Data'!$M$52+P47*'Market Data'!$W$52</f>
        <v>0.22957635820377986</v>
      </c>
      <c r="W47" s="425">
        <f>E47*'Market Data'!$C$52+Q47*'Market Data'!$W$52</f>
        <v>0.11260220328418941</v>
      </c>
      <c r="X47" s="425">
        <f>F47*'Market Data'!$C$52+L47*'Market Data'!$M$52</f>
        <v>5.3154921187383609E-2</v>
      </c>
      <c r="Y47" s="425">
        <f>K47*'Market Data'!$M$52+R47*'Market Data'!$W$52</f>
        <v>5.5908523471352771E-2</v>
      </c>
      <c r="Z47" s="1286">
        <f>1-SUM(V47:Y47)</f>
        <v>0.54875799385329427</v>
      </c>
    </row>
    <row r="48" spans="1:26" ht="15" x14ac:dyDescent="0.25">
      <c r="A48" s="403">
        <v>2046</v>
      </c>
      <c r="B48" s="683">
        <f t="shared" si="6"/>
        <v>5.3697785300208078E-2</v>
      </c>
      <c r="C48" s="684">
        <f>'7&amp;8 Sleep'!$N115+'7&amp;8 Sleep'!$AA115</f>
        <v>0.28768680692352339</v>
      </c>
      <c r="D48" s="684">
        <f>'7&amp;8 Sleep'!$N167+'7&amp;8 Sleep'!$AA167</f>
        <v>0.28421675673649871</v>
      </c>
      <c r="E48" s="684">
        <f>'7&amp;8 Sleep'!$N219+'7&amp;8 Sleep'!$AA219</f>
        <v>0.19743942837011796</v>
      </c>
      <c r="F48" s="684">
        <f>'7&amp;8 Sleep'!$N272+'7&amp;8 Sleep'!$AA272</f>
        <v>0.11872379018047405</v>
      </c>
      <c r="G48" s="685">
        <f>'7&amp;8 Sleep'!$N325+'7&amp;8 Sleep'!$AA325</f>
        <v>5.8235432489177799E-2</v>
      </c>
      <c r="H48" s="660">
        <f t="shared" si="7"/>
        <v>0.21433804646976684</v>
      </c>
      <c r="I48" s="660">
        <f>'7&amp;8 Day'!$N115+'7&amp;8 Day'!$AA115</f>
        <v>0.20524562388991768</v>
      </c>
      <c r="J48" s="660">
        <f>'7&amp;8 Day'!$N167+'7&amp;8 Day'!$AA167</f>
        <v>0.20478973450654403</v>
      </c>
      <c r="K48" s="660">
        <f>'7&amp;8 Day'!$N219+'7&amp;8 Day'!$AA219</f>
        <v>0.18789596894742491</v>
      </c>
      <c r="L48" s="660">
        <f>'7&amp;8 Day'!$N272+'7&amp;8 Day'!$AA272</f>
        <v>2.6978390031892886E-2</v>
      </c>
      <c r="M48" s="660">
        <f>'7&amp;8 Day'!$N325+'7&amp;8 Day'!$AA325</f>
        <v>0.16075223615445372</v>
      </c>
      <c r="N48" s="683">
        <f t="shared" si="8"/>
        <v>0.63788761356483137</v>
      </c>
      <c r="O48" s="684">
        <f>'7&amp;8 SU'!$N115+'7&amp;8 SU'!$AA115</f>
        <v>8.7315257166393156E-2</v>
      </c>
      <c r="P48" s="684">
        <f>'7&amp;8 SU'!$N167+'7&amp;8 SU'!$AA167</f>
        <v>0.13316701502141759</v>
      </c>
      <c r="Q48" s="684">
        <f>'7&amp;8 SU'!$N219+'7&amp;8 SU'!$AA219</f>
        <v>5.5914776711071174E-2</v>
      </c>
      <c r="R48" s="684">
        <f>'7&amp;8 SU'!$N272+'7&amp;8 SU'!$AA272</f>
        <v>4.9010208375608558E-2</v>
      </c>
      <c r="S48" s="685">
        <f>'7&amp;8 SU'!$N325+'7&amp;8 SU'!$AA325</f>
        <v>3.6705129160678127E-2</v>
      </c>
      <c r="T48" s="667">
        <f>B48*'Market Data'!$C$52+H48*'Market Data'!$M$52+N48*'Market Data'!$W$52</f>
        <v>0.25129260733324976</v>
      </c>
      <c r="U48" s="434">
        <f>SUM(C48:G48)*'Market Data'!$C$52+SUM(I48:M48)*'Market Data'!$M$52+SUM(O48:S48)*'Market Data'!$W$52</f>
        <v>0.74870739266675024</v>
      </c>
    </row>
    <row r="49" spans="1:21" ht="15" x14ac:dyDescent="0.25">
      <c r="A49" s="403">
        <v>2047</v>
      </c>
      <c r="B49" s="675">
        <f t="shared" si="6"/>
        <v>5.4495523770948573E-2</v>
      </c>
      <c r="C49" s="676">
        <f>'7&amp;8 Sleep'!$N116+'7&amp;8 Sleep'!$AA116</f>
        <v>0.28150418855403753</v>
      </c>
      <c r="D49" s="676">
        <f>'7&amp;8 Sleep'!$N168+'7&amp;8 Sleep'!$AA168</f>
        <v>0.27851009242749419</v>
      </c>
      <c r="E49" s="676">
        <f>'7&amp;8 Sleep'!$N220+'7&amp;8 Sleep'!$AA220</f>
        <v>0.19324752497514991</v>
      </c>
      <c r="F49" s="676">
        <f>'7&amp;8 Sleep'!$N273+'7&amp;8 Sleep'!$AA273</f>
        <v>0.12988601929861848</v>
      </c>
      <c r="G49" s="677">
        <f>'7&amp;8 Sleep'!$N326+'7&amp;8 Sleep'!$AA326</f>
        <v>6.2356650973751433E-2</v>
      </c>
      <c r="H49" s="658">
        <f t="shared" si="7"/>
        <v>0.20252948684980732</v>
      </c>
      <c r="I49" s="658">
        <f>'7&amp;8 Day'!$N116+'7&amp;8 Day'!$AA116</f>
        <v>0.20256595036101122</v>
      </c>
      <c r="J49" s="658">
        <f>'7&amp;8 Day'!$N168+'7&amp;8 Day'!$AA168</f>
        <v>0.20247518371586415</v>
      </c>
      <c r="K49" s="658">
        <f>'7&amp;8 Day'!$N220+'7&amp;8 Day'!$AA220</f>
        <v>0.19442350131719349</v>
      </c>
      <c r="L49" s="658">
        <f>'7&amp;8 Day'!$N273+'7&amp;8 Day'!$AA273</f>
        <v>3.3419469840864503E-2</v>
      </c>
      <c r="M49" s="658">
        <f>'7&amp;8 Day'!$N326+'7&amp;8 Day'!$AA326</f>
        <v>0.1645864079152593</v>
      </c>
      <c r="N49" s="675">
        <f t="shared" si="8"/>
        <v>0.65064967005029262</v>
      </c>
      <c r="O49" s="676">
        <f>'7&amp;8 SU'!$N116+'7&amp;8 SU'!$AA116</f>
        <v>8.2505344144123971E-2</v>
      </c>
      <c r="P49" s="676">
        <f>'7&amp;8 SU'!$N168+'7&amp;8 SU'!$AA168</f>
        <v>0.12245684178459576</v>
      </c>
      <c r="Q49" s="676">
        <f>'7&amp;8 SU'!$N220+'7&amp;8 SU'!$AA220</f>
        <v>5.2577556701244206E-2</v>
      </c>
      <c r="R49" s="676">
        <f>'7&amp;8 SU'!$N273+'7&amp;8 SU'!$AA273</f>
        <v>5.0322091651306106E-2</v>
      </c>
      <c r="S49" s="677">
        <f>'7&amp;8 SU'!$N326+'7&amp;8 SU'!$AA326</f>
        <v>4.1488495668437424E-2</v>
      </c>
      <c r="T49" s="662">
        <f>B49*'Market Data'!$C$52+H49*'Market Data'!$M$52+N49*'Market Data'!$W$52</f>
        <v>0.25206983108130931</v>
      </c>
      <c r="U49" s="425">
        <f>SUM(C49:G49)*'Market Data'!$C$52+SUM(I49:M49)*'Market Data'!$M$52+SUM(O49:S49)*'Market Data'!$W$52</f>
        <v>0.74793016891869057</v>
      </c>
    </row>
    <row r="50" spans="1:21" ht="15" x14ac:dyDescent="0.25">
      <c r="A50" s="403">
        <v>2048</v>
      </c>
      <c r="B50" s="675">
        <f t="shared" si="6"/>
        <v>5.4495523770948462E-2</v>
      </c>
      <c r="C50" s="676">
        <f>'7&amp;8 Sleep'!$N117+'7&amp;8 Sleep'!$AA117</f>
        <v>0.27755845359196313</v>
      </c>
      <c r="D50" s="676">
        <f>'7&amp;8 Sleep'!$N169+'7&amp;8 Sleep'!$AA169</f>
        <v>0.27460157409299663</v>
      </c>
      <c r="E50" s="676">
        <f>'7&amp;8 Sleep'!$N221+'7&amp;8 Sleep'!$AA221</f>
        <v>0.19048106375285037</v>
      </c>
      <c r="F50" s="676">
        <f>'7&amp;8 Sleep'!$N274+'7&amp;8 Sleep'!$AA274</f>
        <v>0.13744802792778352</v>
      </c>
      <c r="G50" s="677">
        <f>'7&amp;8 Sleep'!$N327+'7&amp;8 Sleep'!$AA327</f>
        <v>6.5415356863457938E-2</v>
      </c>
      <c r="H50" s="658">
        <f t="shared" si="7"/>
        <v>0.18317862970419552</v>
      </c>
      <c r="I50" s="658">
        <f>'7&amp;8 Day'!$N117+'7&amp;8 Day'!$AA117</f>
        <v>0.20151183566437553</v>
      </c>
      <c r="J50" s="658">
        <f>'7&amp;8 Day'!$N169+'7&amp;8 Day'!$AA169</f>
        <v>0.20142154135159451</v>
      </c>
      <c r="K50" s="658">
        <f>'7&amp;8 Day'!$N221+'7&amp;8 Day'!$AA221</f>
        <v>0.20068513162895296</v>
      </c>
      <c r="L50" s="658">
        <f>'7&amp;8 Day'!$N274+'7&amp;8 Day'!$AA274</f>
        <v>3.7183144511854199E-2</v>
      </c>
      <c r="M50" s="658">
        <f>'7&amp;8 Day'!$N327+'7&amp;8 Day'!$AA327</f>
        <v>0.17601971713902723</v>
      </c>
      <c r="N50" s="675">
        <f t="shared" si="8"/>
        <v>0.65064967005029239</v>
      </c>
      <c r="O50" s="676">
        <f>'7&amp;8 SU'!$N117+'7&amp;8 SU'!$AA117</f>
        <v>8.0413320564110838E-2</v>
      </c>
      <c r="P50" s="676">
        <f>'7&amp;8 SU'!$N169+'7&amp;8 SU'!$AA169</f>
        <v>0.11912196370630931</v>
      </c>
      <c r="Q50" s="676">
        <f>'7&amp;8 SU'!$N221+'7&amp;8 SU'!$AA221</f>
        <v>5.1424417354391502E-2</v>
      </c>
      <c r="R50" s="676">
        <f>'7&amp;8 SU'!$N274+'7&amp;8 SU'!$AA274</f>
        <v>5.2474216247066746E-2</v>
      </c>
      <c r="S50" s="677">
        <f>'7&amp;8 SU'!$N327+'7&amp;8 SU'!$AA327</f>
        <v>4.5916412077829094E-2</v>
      </c>
      <c r="T50" s="662">
        <f>B50*'Market Data'!$C$52+H50*'Market Data'!$M$52+N50*'Market Data'!$W$52</f>
        <v>0.24711862121994851</v>
      </c>
      <c r="U50" s="425">
        <f>SUM(C50:G50)*'Market Data'!$C$52+SUM(I50:M50)*'Market Data'!$M$52+SUM(O50:S50)*'Market Data'!$W$52</f>
        <v>0.75288137878005146</v>
      </c>
    </row>
    <row r="51" spans="1:21" ht="15" x14ac:dyDescent="0.25">
      <c r="A51" s="403">
        <v>2049</v>
      </c>
      <c r="B51" s="675">
        <f t="shared" si="6"/>
        <v>5.4495523770948351E-2</v>
      </c>
      <c r="C51" s="676">
        <f>'7&amp;8 Sleep'!$N118+'7&amp;8 Sleep'!$AA118</f>
        <v>0.27399237340208965</v>
      </c>
      <c r="D51" s="676">
        <f>'7&amp;8 Sleep'!$N170+'7&amp;8 Sleep'!$AA170</f>
        <v>0.27106752023187464</v>
      </c>
      <c r="E51" s="676">
        <f>'7&amp;8 Sleep'!$N222+'7&amp;8 Sleep'!$AA222</f>
        <v>0.18609282635647212</v>
      </c>
      <c r="F51" s="676">
        <f>'7&amp;8 Sleep'!$N275+'7&amp;8 Sleep'!$AA275</f>
        <v>0.14235530293719578</v>
      </c>
      <c r="G51" s="677">
        <f>'7&amp;8 Sleep'!$N328+'7&amp;8 Sleep'!$AA328</f>
        <v>7.1996453301419419E-2</v>
      </c>
      <c r="H51" s="658">
        <f t="shared" si="7"/>
        <v>0.16938648922169297</v>
      </c>
      <c r="I51" s="658">
        <f>'7&amp;8 Day'!$N118+'7&amp;8 Day'!$AA118</f>
        <v>0.20033059066512526</v>
      </c>
      <c r="J51" s="658">
        <f>'7&amp;8 Day'!$N170+'7&amp;8 Day'!$AA170</f>
        <v>0.20024082564981738</v>
      </c>
      <c r="K51" s="658">
        <f>'7&amp;8 Day'!$N222+'7&amp;8 Day'!$AA222</f>
        <v>0.20309788266895573</v>
      </c>
      <c r="L51" s="658">
        <f>'7&amp;8 Day'!$N275+'7&amp;8 Day'!$AA275</f>
        <v>4.0324900738512207E-2</v>
      </c>
      <c r="M51" s="658">
        <f>'7&amp;8 Day'!$N328+'7&amp;8 Day'!$AA328</f>
        <v>0.18661931105589644</v>
      </c>
      <c r="N51" s="675">
        <f t="shared" si="8"/>
        <v>0.65078906335118714</v>
      </c>
      <c r="O51" s="676">
        <f>'7&amp;8 SU'!$N118+'7&amp;8 SU'!$AA118</f>
        <v>7.9782724854732506E-2</v>
      </c>
      <c r="P51" s="676">
        <f>'7&amp;8 SU'!$N170+'7&amp;8 SU'!$AA170</f>
        <v>0.1179355845662541</v>
      </c>
      <c r="Q51" s="676">
        <f>'7&amp;8 SU'!$N222+'7&amp;8 SU'!$AA222</f>
        <v>5.1102398733063326E-2</v>
      </c>
      <c r="R51" s="676">
        <f>'7&amp;8 SU'!$N275+'7&amp;8 SU'!$AA275</f>
        <v>5.2083413452950429E-2</v>
      </c>
      <c r="S51" s="677">
        <f>'7&amp;8 SU'!$N328+'7&amp;8 SU'!$AA328</f>
        <v>4.830681504181248E-2</v>
      </c>
      <c r="T51" s="662">
        <f>B51*'Market Data'!$C$52+H51*'Market Data'!$M$52+N51*'Market Data'!$W$52</f>
        <v>0.24362703383272516</v>
      </c>
      <c r="U51" s="425">
        <f>SUM(C51:G51)*'Market Data'!$C$52+SUM(I51:M51)*'Market Data'!$M$52+SUM(O51:S51)*'Market Data'!$W$52</f>
        <v>0.7563729661672749</v>
      </c>
    </row>
    <row r="52" spans="1:21" ht="15.75" thickBot="1" x14ac:dyDescent="0.3">
      <c r="A52" s="404">
        <v>2050</v>
      </c>
      <c r="B52" s="686">
        <f t="shared" si="6"/>
        <v>5.4495523770948351E-2</v>
      </c>
      <c r="C52" s="687">
        <f>'7&amp;8 Sleep'!$N119+'7&amp;8 Sleep'!$AA119</f>
        <v>0.27115838862160391</v>
      </c>
      <c r="D52" s="687">
        <f>'7&amp;8 Sleep'!$N171+'7&amp;8 Sleep'!$AA171</f>
        <v>0.26826342675080628</v>
      </c>
      <c r="E52" s="687">
        <f>'7&amp;8 Sleep'!$N223+'7&amp;8 Sleep'!$AA223</f>
        <v>0.18383669514985979</v>
      </c>
      <c r="F52" s="687">
        <f>'7&amp;8 Sleep'!$N276+'7&amp;8 Sleep'!$AA276</f>
        <v>0.14600976212422209</v>
      </c>
      <c r="G52" s="688">
        <f>'7&amp;8 Sleep'!$N329+'7&amp;8 Sleep'!$AA329</f>
        <v>7.6236203582559503E-2</v>
      </c>
      <c r="H52" s="661">
        <f t="shared" si="7"/>
        <v>0.15623609059467447</v>
      </c>
      <c r="I52" s="661">
        <f>'7&amp;8 Day'!$N119+'7&amp;8 Day'!$AA119</f>
        <v>0.1995979281778239</v>
      </c>
      <c r="J52" s="661">
        <f>'7&amp;8 Day'!$N171+'7&amp;8 Day'!$AA171</f>
        <v>0.19950849145715727</v>
      </c>
      <c r="K52" s="661">
        <f>'7&amp;8 Day'!$N223+'7&amp;8 Day'!$AA223</f>
        <v>0.20467974415037363</v>
      </c>
      <c r="L52" s="661">
        <f>'7&amp;8 Day'!$N276+'7&amp;8 Day'!$AA276</f>
        <v>4.3719920000205713E-2</v>
      </c>
      <c r="M52" s="661">
        <f>'7&amp;8 Day'!$N329+'7&amp;8 Day'!$AA329</f>
        <v>0.19625782561976507</v>
      </c>
      <c r="N52" s="686">
        <f t="shared" si="8"/>
        <v>0.65078906335118714</v>
      </c>
      <c r="O52" s="687">
        <f>'7&amp;8 SU'!$N119+'7&amp;8 SU'!$AA119</f>
        <v>7.9162746921358718E-2</v>
      </c>
      <c r="P52" s="687">
        <f>'7&amp;8 SU'!$N171+'7&amp;8 SU'!$AA171</f>
        <v>0.11694878956215884</v>
      </c>
      <c r="Q52" s="687">
        <f>'7&amp;8 SU'!$N223+'7&amp;8 SU'!$AA223</f>
        <v>5.072491693440058E-2</v>
      </c>
      <c r="R52" s="687">
        <f>'7&amp;8 SU'!$N276+'7&amp;8 SU'!$AA276</f>
        <v>5.2646149326962051E-2</v>
      </c>
      <c r="S52" s="688">
        <f>'7&amp;8 SU'!$N329+'7&amp;8 SU'!$AA329</f>
        <v>4.9728333903932651E-2</v>
      </c>
      <c r="T52" s="665">
        <f>B52*'Market Data'!$C$52+H52*'Market Data'!$M$52+N52*'Market Data'!$W$52</f>
        <v>0.24026230518670322</v>
      </c>
      <c r="U52" s="437">
        <f>SUM(C52:G52)*'Market Data'!$C$52+SUM(I52:M52)*'Market Data'!$M$52+SUM(O52:S52)*'Market Data'!$W$52</f>
        <v>0.75973769481329678</v>
      </c>
    </row>
    <row r="53" spans="1:21" x14ac:dyDescent="0.2">
      <c r="A53" s="398"/>
      <c r="B53" s="398"/>
    </row>
    <row r="54" spans="1:21" x14ac:dyDescent="0.2">
      <c r="A54" s="408" t="str">
        <f>"Run id: '"&amp;'Run Model'!B3&amp;"'"</f>
        <v>Run id: 'BaSce FY2020 Final Run'</v>
      </c>
      <c r="B54" s="398"/>
    </row>
    <row r="55" spans="1:21" x14ac:dyDescent="0.2">
      <c r="A55" s="408" t="s">
        <v>126</v>
      </c>
      <c r="B55" s="398"/>
    </row>
    <row r="56" spans="1:21" x14ac:dyDescent="0.2">
      <c r="A56" s="473" t="str">
        <f>"Combination, Centrally Refueled: " &amp;TEXT(RtimeCls1Cent1,"mm/dd/yyyy hh:mm")</f>
        <v>Combination, Centrally Refueled: 04/26/2020 19:05</v>
      </c>
    </row>
    <row r="57" spans="1:21" x14ac:dyDescent="0.2">
      <c r="A57" s="473" t="str">
        <f>"Combination, Non-Centrally Refueled: " &amp;TEXT(RtimeCls1NCent1,"mm/dd/yyyy hh:mm")</f>
        <v>Combination, Non-Centrally Refueled: 04/26/2020 19:05</v>
      </c>
    </row>
    <row r="58" spans="1:21" x14ac:dyDescent="0.2">
      <c r="A58" s="473" t="str">
        <f>"Single Unit, Centrally Refueled: " &amp;TEXT(RtimeCls2Cent1,"mm/dd/yyyy hh:mm")</f>
        <v>Single Unit, Centrally Refueled: 04/26/2020 19:05</v>
      </c>
    </row>
    <row r="59" spans="1:21" x14ac:dyDescent="0.2">
      <c r="A59" s="473" t="str">
        <f>"Single Unit, Non-Centrally Refueled: " &amp;TEXT(RtimeCls2NCent1,"mm/dd/yyyy hh:mm")</f>
        <v>Single Unit, Non-Centrally Refueled: 04/26/2020 19:05</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397"/>
    <col min="2" max="2" width="14.28515625" style="397" customWidth="1"/>
    <col min="3" max="7" width="10.42578125" style="397" customWidth="1"/>
    <col min="8" max="8" width="13.42578125" style="397" customWidth="1"/>
    <col min="9" max="14" width="10.42578125" style="397" customWidth="1"/>
    <col min="15" max="15" width="11.28515625" style="397" bestFit="1" customWidth="1"/>
    <col min="16" max="16384" width="9.140625" style="397"/>
  </cols>
  <sheetData>
    <row r="1" spans="1:24" x14ac:dyDescent="0.2">
      <c r="A1" s="862" t="s">
        <v>262</v>
      </c>
    </row>
    <row r="2" spans="1:24" ht="13.5" thickBot="1" x14ac:dyDescent="0.25"/>
    <row r="3" spans="1:24" ht="19.5" thickBot="1" x14ac:dyDescent="0.35">
      <c r="A3" s="1594" t="s">
        <v>152</v>
      </c>
      <c r="B3" s="1595"/>
      <c r="C3" s="1595"/>
      <c r="D3" s="1595"/>
      <c r="E3" s="1595"/>
      <c r="F3" s="1595"/>
      <c r="G3" s="1595"/>
      <c r="H3" s="1595"/>
      <c r="I3" s="1595"/>
      <c r="J3" s="1595"/>
      <c r="K3" s="1595"/>
      <c r="L3" s="1595"/>
      <c r="M3" s="1595"/>
      <c r="N3" s="1595"/>
      <c r="O3" s="1595"/>
      <c r="P3" s="1595"/>
      <c r="Q3" s="1595"/>
      <c r="R3" s="1595"/>
      <c r="S3" s="1595"/>
      <c r="T3" s="1595"/>
      <c r="U3" s="1596"/>
    </row>
    <row r="4" spans="1:24" ht="15" x14ac:dyDescent="0.25">
      <c r="A4" s="400"/>
      <c r="B4" s="1592" t="s">
        <v>250</v>
      </c>
      <c r="C4" s="1603"/>
      <c r="D4" s="1603"/>
      <c r="E4" s="1603"/>
      <c r="F4" s="1603"/>
      <c r="G4" s="1593"/>
      <c r="H4" s="1592" t="s">
        <v>251</v>
      </c>
      <c r="I4" s="1603"/>
      <c r="J4" s="1603"/>
      <c r="K4" s="1603"/>
      <c r="L4" s="1603"/>
      <c r="M4" s="1593"/>
      <c r="N4" s="1592" t="s">
        <v>155</v>
      </c>
      <c r="O4" s="1603"/>
      <c r="P4" s="1603"/>
      <c r="Q4" s="1603"/>
      <c r="R4" s="1603"/>
      <c r="S4" s="1593"/>
      <c r="T4" s="1615" t="s">
        <v>154</v>
      </c>
      <c r="U4" s="1614"/>
    </row>
    <row r="5" spans="1:24" ht="15" x14ac:dyDescent="0.25">
      <c r="A5" s="401"/>
      <c r="B5" s="1600" t="s">
        <v>129</v>
      </c>
      <c r="C5" s="1601"/>
      <c r="D5" s="1601"/>
      <c r="E5" s="1601"/>
      <c r="F5" s="1601"/>
      <c r="G5" s="1602"/>
      <c r="H5" s="1600" t="s">
        <v>129</v>
      </c>
      <c r="I5" s="1601"/>
      <c r="J5" s="1601"/>
      <c r="K5" s="1601"/>
      <c r="L5" s="1601"/>
      <c r="M5" s="1602"/>
      <c r="N5" s="1600" t="s">
        <v>129</v>
      </c>
      <c r="O5" s="1601"/>
      <c r="P5" s="1601"/>
      <c r="Q5" s="1601"/>
      <c r="R5" s="1601"/>
      <c r="S5" s="1602"/>
      <c r="T5" s="1590" t="s">
        <v>129</v>
      </c>
      <c r="U5" s="1591"/>
    </row>
    <row r="6" spans="1:24" ht="15" x14ac:dyDescent="0.25">
      <c r="A6" s="401"/>
      <c r="B6" s="1101" t="s">
        <v>69</v>
      </c>
      <c r="C6" s="1102" t="s">
        <v>65</v>
      </c>
      <c r="D6" s="1102" t="s">
        <v>66</v>
      </c>
      <c r="E6" s="1102" t="s">
        <v>67</v>
      </c>
      <c r="F6" s="1102" t="s">
        <v>206</v>
      </c>
      <c r="G6" s="1103" t="s">
        <v>207</v>
      </c>
      <c r="H6" s="1101" t="s">
        <v>69</v>
      </c>
      <c r="I6" s="1102" t="s">
        <v>65</v>
      </c>
      <c r="J6" s="1102" t="s">
        <v>66</v>
      </c>
      <c r="K6" s="1102" t="s">
        <v>67</v>
      </c>
      <c r="L6" s="1102" t="s">
        <v>206</v>
      </c>
      <c r="M6" s="1103" t="s">
        <v>207</v>
      </c>
      <c r="N6" s="1101" t="s">
        <v>69</v>
      </c>
      <c r="O6" s="1102" t="s">
        <v>65</v>
      </c>
      <c r="P6" s="1102" t="s">
        <v>66</v>
      </c>
      <c r="Q6" s="1102" t="s">
        <v>67</v>
      </c>
      <c r="R6" s="1102" t="s">
        <v>206</v>
      </c>
      <c r="S6" s="1103" t="s">
        <v>207</v>
      </c>
      <c r="T6" s="648"/>
      <c r="U6" s="650"/>
    </row>
    <row r="7" spans="1:24" ht="45" x14ac:dyDescent="0.25">
      <c r="A7" s="401"/>
      <c r="B7" s="1111" t="str">
        <f t="shared" ref="B7:G7" si="0">INDEX(TECH_OPT_DESC_Cls1,MATCH(B6,TECH_OPT_ROWS_Cls1,0))</f>
        <v>Conventional Diesel ICE</v>
      </c>
      <c r="C7" s="1112" t="str">
        <f t="shared" si="0"/>
        <v>Adv Conv</v>
      </c>
      <c r="D7" s="1112" t="str">
        <f t="shared" si="0"/>
        <v>ISG</v>
      </c>
      <c r="E7" s="1112" t="str">
        <f t="shared" si="0"/>
        <v>HEV</v>
      </c>
      <c r="F7" s="1112" t="str">
        <f t="shared" si="0"/>
        <v>PHEV</v>
      </c>
      <c r="G7" s="1113" t="str">
        <f t="shared" si="0"/>
        <v>FCHEV</v>
      </c>
      <c r="H7" s="1111" t="str">
        <f t="shared" ref="H7:M7" si="1">INDEX(TECH_OPT_DESC_Cls2,MATCH(H6,TECH_OPT_ROWS_Cls2,0))</f>
        <v>Conventional Diesel ICE</v>
      </c>
      <c r="I7" s="1112" t="str">
        <f t="shared" si="1"/>
        <v>Adv Conv</v>
      </c>
      <c r="J7" s="1112" t="str">
        <f t="shared" si="1"/>
        <v>ISG</v>
      </c>
      <c r="K7" s="1112" t="str">
        <f t="shared" si="1"/>
        <v>PHEV</v>
      </c>
      <c r="L7" s="1112" t="str">
        <f t="shared" si="1"/>
        <v>BEV</v>
      </c>
      <c r="M7" s="1113" t="str">
        <f t="shared" si="1"/>
        <v>FCHEV</v>
      </c>
      <c r="N7" s="1111" t="str">
        <f t="shared" ref="N7:S7" si="2">INDEX(TECH_OPT_DESC_Cls3,MATCH(N6,TECH_OPT_ROWS_Cls3,0))</f>
        <v>Conventional Diesel ICE</v>
      </c>
      <c r="O7" s="1112" t="str">
        <f t="shared" si="2"/>
        <v>Adv Conv</v>
      </c>
      <c r="P7" s="1112" t="str">
        <f t="shared" si="2"/>
        <v>ISG</v>
      </c>
      <c r="Q7" s="1112" t="str">
        <f t="shared" si="2"/>
        <v>HEV</v>
      </c>
      <c r="R7" s="1112" t="str">
        <f t="shared" si="2"/>
        <v>PHEV</v>
      </c>
      <c r="S7" s="1113" t="str">
        <f t="shared" si="2"/>
        <v>BEV</v>
      </c>
      <c r="T7" s="671" t="s">
        <v>69</v>
      </c>
      <c r="U7" s="417" t="s">
        <v>139</v>
      </c>
    </row>
    <row r="8" spans="1:24" ht="30.75" thickBot="1" x14ac:dyDescent="0.3">
      <c r="A8" s="405" t="s">
        <v>3</v>
      </c>
      <c r="B8" s="1107" t="str">
        <f t="shared" ref="B8:G8" si="3">INDEX(TECH_OPT_FUEL1_Cls1,MATCH(B6,TECH_OPT_ROWS_Cls1,0))</f>
        <v>Diesel</v>
      </c>
      <c r="C8" s="1108" t="str">
        <f t="shared" si="3"/>
        <v>Diesel</v>
      </c>
      <c r="D8" s="1108" t="str">
        <f t="shared" si="3"/>
        <v>Diesel</v>
      </c>
      <c r="E8" s="1108" t="str">
        <f t="shared" si="3"/>
        <v>Diesel</v>
      </c>
      <c r="F8" s="1108" t="str">
        <f t="shared" si="3"/>
        <v>Diesel</v>
      </c>
      <c r="G8" s="1109" t="str">
        <f t="shared" si="3"/>
        <v>Hydrogen</v>
      </c>
      <c r="H8" s="1107" t="str">
        <f t="shared" ref="H8:M8" si="4">INDEX(TECH_OPT_FUEL1_Cls2,MATCH(H6,TECH_OPT_ROWS_Cls2,0))</f>
        <v>Diesel</v>
      </c>
      <c r="I8" s="1108" t="str">
        <f t="shared" si="4"/>
        <v>Diesel</v>
      </c>
      <c r="J8" s="1108" t="str">
        <f t="shared" si="4"/>
        <v>Diesel</v>
      </c>
      <c r="K8" s="1108" t="str">
        <f t="shared" si="4"/>
        <v>Diesel</v>
      </c>
      <c r="L8" s="1108" t="str">
        <f t="shared" si="4"/>
        <v>Electricity</v>
      </c>
      <c r="M8" s="1109" t="str">
        <f t="shared" si="4"/>
        <v>Hydrogen</v>
      </c>
      <c r="N8" s="1107" t="str">
        <f t="shared" ref="N8:S8" si="5">INDEX(TECH_OPT_FUEL1_Cls3,MATCH(N6,TECH_OPT_ROWS_Cls3,0))</f>
        <v>Diesel</v>
      </c>
      <c r="O8" s="1108" t="str">
        <f t="shared" si="5"/>
        <v>Diesel</v>
      </c>
      <c r="P8" s="1108" t="str">
        <f t="shared" si="5"/>
        <v>Diesel</v>
      </c>
      <c r="Q8" s="1108" t="str">
        <f t="shared" si="5"/>
        <v>Diesel</v>
      </c>
      <c r="R8" s="1108" t="str">
        <f t="shared" si="5"/>
        <v>Diesel</v>
      </c>
      <c r="S8" s="1109" t="str">
        <f t="shared" si="5"/>
        <v>Electricity</v>
      </c>
      <c r="T8" s="419"/>
      <c r="U8" s="418"/>
    </row>
    <row r="9" spans="1:24" ht="15.75" thickTop="1" x14ac:dyDescent="0.25">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5">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5">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5">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5">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5">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5">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5">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5">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5">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5">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5">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5">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5">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5">
      <c r="A23" s="429">
        <v>2021</v>
      </c>
      <c r="B23" s="430">
        <f>'Market Data'!$E$52*'Mkt Pen Veh-Mi'!B23</f>
        <v>0.63827874967577225</v>
      </c>
      <c r="C23" s="431">
        <f>'Market Data'!$E$52*'Mkt Pen Veh-Mi'!C23</f>
        <v>1.942781870203953E-2</v>
      </c>
      <c r="D23" s="431">
        <f>'Market Data'!$E$52*'Mkt Pen Veh-Mi'!D23</f>
        <v>1.0722679362114755E-2</v>
      </c>
      <c r="E23" s="702">
        <f>'Market Data'!$E$52*'Mkt Pen Veh-Mi'!E23</f>
        <v>0</v>
      </c>
      <c r="F23" s="702">
        <f>'Market Data'!$E$52*'Mkt Pen Veh-Mi'!F23</f>
        <v>0</v>
      </c>
      <c r="G23" s="707">
        <f>'Market Data'!$E$52*'Mkt Pen Veh-Mi'!G23</f>
        <v>0</v>
      </c>
      <c r="H23" s="430">
        <f>'Market Data'!$O$52*'Mkt Pen Veh-Mi'!H23</f>
        <v>0.23289051657720261</v>
      </c>
      <c r="I23" s="431">
        <f>'Market Data'!$O$52*'Mkt Pen Veh-Mi'!I23</f>
        <v>5.4618208640668971E-3</v>
      </c>
      <c r="J23" s="431">
        <f>'Market Data'!$O$52*'Mkt Pen Veh-Mi'!J23</f>
        <v>3.5400075312255821E-3</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0.96084767354055312</v>
      </c>
      <c r="U23" s="434">
        <f t="shared" si="8"/>
        <v>3.915232645944676E-2</v>
      </c>
      <c r="X23" s="117"/>
    </row>
    <row r="24" spans="1:24" ht="15" x14ac:dyDescent="0.25">
      <c r="A24" s="403">
        <v>2022</v>
      </c>
      <c r="B24" s="423">
        <f>'Market Data'!$E$52*'Mkt Pen Veh-Mi'!B24</f>
        <v>0.59348269400998521</v>
      </c>
      <c r="C24" s="424">
        <f>'Market Data'!$E$52*'Mkt Pen Veh-Mi'!C24</f>
        <v>4.2789918821432509E-2</v>
      </c>
      <c r="D24" s="424">
        <f>'Market Data'!$E$52*'Mkt Pen Veh-Mi'!D24</f>
        <v>3.2152088375682564E-2</v>
      </c>
      <c r="E24" s="700">
        <f>'Market Data'!$E$52*'Mkt Pen Veh-Mi'!E24</f>
        <v>4.5465328262490318E-6</v>
      </c>
      <c r="F24" s="700">
        <f>'Market Data'!$E$52*'Mkt Pen Veh-Mi'!F24</f>
        <v>0</v>
      </c>
      <c r="G24" s="705">
        <f>'Market Data'!$E$52*'Mkt Pen Veh-Mi'!G24</f>
        <v>0</v>
      </c>
      <c r="H24" s="423">
        <f>'Market Data'!$O$52*'Mkt Pen Veh-Mi'!H24</f>
        <v>0.21978993005529482</v>
      </c>
      <c r="I24" s="424">
        <f>'Market Data'!$O$52*'Mkt Pen Veh-Mi'!I24</f>
        <v>1.2909794872531273E-2</v>
      </c>
      <c r="J24" s="424">
        <f>'Market Data'!$O$52*'Mkt Pen Veh-Mi'!J24</f>
        <v>9.1926200446690066E-3</v>
      </c>
      <c r="K24" s="700">
        <f>'Market Data'!$O$52*'Mkt Pen Veh-Mi'!K24</f>
        <v>0</v>
      </c>
      <c r="L24" s="700">
        <f>'Market Data'!$O$52*'Mkt Pen Veh-Mi'!L24</f>
        <v>0</v>
      </c>
      <c r="M24" s="705">
        <f>'Market Data'!$O$52*'Mkt Pen Veh-Mi'!M24</f>
        <v>0</v>
      </c>
      <c r="N24" s="423">
        <f>'Market Data'!$Y$52*'Mkt Pen Veh-Mi'!N24</f>
        <v>8.6895891471492695E-2</v>
      </c>
      <c r="O24" s="424">
        <f>'Market Data'!$Y$52*'Mkt Pen Veh-Mi'!O24</f>
        <v>1.2120501816910772E-3</v>
      </c>
      <c r="P24" s="424">
        <f>'Market Data'!$Y$52*'Mkt Pen Veh-Mi'!P24</f>
        <v>1.3827563949516935E-3</v>
      </c>
      <c r="Q24" s="700">
        <f>'Market Data'!$Y$52*'Mkt Pen Veh-Mi'!Q24</f>
        <v>1.8770923944284862E-4</v>
      </c>
      <c r="R24" s="700">
        <f>'Market Data'!$Y$52*'Mkt Pen Veh-Mi'!R24</f>
        <v>0</v>
      </c>
      <c r="S24" s="705">
        <f>'Market Data'!$Y$52*'Mkt Pen Veh-Mi'!S24</f>
        <v>0</v>
      </c>
      <c r="T24" s="423">
        <f t="shared" si="6"/>
        <v>0.90016851553677268</v>
      </c>
      <c r="U24" s="425">
        <f t="shared" si="8"/>
        <v>9.9831484463227219E-2</v>
      </c>
      <c r="X24" s="117"/>
    </row>
    <row r="25" spans="1:24" ht="15" x14ac:dyDescent="0.25">
      <c r="A25" s="403">
        <v>2023</v>
      </c>
      <c r="B25" s="423">
        <f>'Market Data'!$E$52*'Mkt Pen Veh-Mi'!B25</f>
        <v>0.50040768507677824</v>
      </c>
      <c r="C25" s="424">
        <f>'Market Data'!$E$52*'Mkt Pen Veh-Mi'!C25</f>
        <v>8.9301644721663243E-2</v>
      </c>
      <c r="D25" s="424">
        <f>'Market Data'!$E$52*'Mkt Pen Veh-Mi'!D25</f>
        <v>7.7488133376784188E-2</v>
      </c>
      <c r="E25" s="700">
        <f>'Market Data'!$E$52*'Mkt Pen Veh-Mi'!E25</f>
        <v>1.2317845647008456E-3</v>
      </c>
      <c r="F25" s="700">
        <f>'Market Data'!$E$52*'Mkt Pen Veh-Mi'!F25</f>
        <v>0</v>
      </c>
      <c r="G25" s="705">
        <f>'Market Data'!$E$52*'Mkt Pen Veh-Mi'!G25</f>
        <v>0</v>
      </c>
      <c r="H25" s="423">
        <f>'Market Data'!$O$52*'Mkt Pen Veh-Mi'!H25</f>
        <v>0.19425171206799099</v>
      </c>
      <c r="I25" s="424">
        <f>'Market Data'!$O$52*'Mkt Pen Veh-Mi'!I25</f>
        <v>2.7090185813625111E-2</v>
      </c>
      <c r="J25" s="424">
        <f>'Market Data'!$O$52*'Mkt Pen Veh-Mi'!J25</f>
        <v>2.0550447090878998E-2</v>
      </c>
      <c r="K25" s="700">
        <f>'Market Data'!$O$52*'Mkt Pen Veh-Mi'!K25</f>
        <v>0</v>
      </c>
      <c r="L25" s="700">
        <f>'Market Data'!$O$52*'Mkt Pen Veh-Mi'!L25</f>
        <v>0</v>
      </c>
      <c r="M25" s="705">
        <f>'Market Data'!$O$52*'Mkt Pen Veh-Mi'!M25</f>
        <v>0</v>
      </c>
      <c r="N25" s="423">
        <f>'Market Data'!$Y$52*'Mkt Pen Veh-Mi'!N25</f>
        <v>8.2904640040026109E-2</v>
      </c>
      <c r="O25" s="424">
        <f>'Market Data'!$Y$52*'Mkt Pen Veh-Mi'!O25</f>
        <v>2.941623069289385E-3</v>
      </c>
      <c r="P25" s="424">
        <f>'Market Data'!$Y$52*'Mkt Pen Veh-Mi'!P25</f>
        <v>3.2184244291751248E-3</v>
      </c>
      <c r="Q25" s="700">
        <f>'Market Data'!$Y$52*'Mkt Pen Veh-Mi'!Q25</f>
        <v>6.1371974908770168E-4</v>
      </c>
      <c r="R25" s="700">
        <f>'Market Data'!$Y$52*'Mkt Pen Veh-Mi'!R25</f>
        <v>0</v>
      </c>
      <c r="S25" s="705">
        <f>'Market Data'!$Y$52*'Mkt Pen Veh-Mi'!S25</f>
        <v>0</v>
      </c>
      <c r="T25" s="423">
        <f t="shared" si="6"/>
        <v>0.77756403718479528</v>
      </c>
      <c r="U25" s="425">
        <f t="shared" si="8"/>
        <v>0.22243596281520459</v>
      </c>
      <c r="X25" s="117"/>
    </row>
    <row r="26" spans="1:24" ht="15" x14ac:dyDescent="0.25">
      <c r="A26" s="403">
        <v>2024</v>
      </c>
      <c r="B26" s="423">
        <f>'Market Data'!$E$52*'Mkt Pen Veh-Mi'!B26</f>
        <v>0.35908936433130162</v>
      </c>
      <c r="C26" s="424">
        <f>'Market Data'!$E$52*'Mkt Pen Veh-Mi'!C26</f>
        <v>0.15646572005766948</v>
      </c>
      <c r="D26" s="424">
        <f>'Market Data'!$E$52*'Mkt Pen Veh-Mi'!D26</f>
        <v>0.14304983108036307</v>
      </c>
      <c r="E26" s="700">
        <f>'Market Data'!$E$52*'Mkt Pen Veh-Mi'!E26</f>
        <v>9.8243322705923661E-3</v>
      </c>
      <c r="F26" s="700">
        <f>'Market Data'!$E$52*'Mkt Pen Veh-Mi'!F26</f>
        <v>0</v>
      </c>
      <c r="G26" s="705">
        <f>'Market Data'!$E$52*'Mkt Pen Veh-Mi'!G26</f>
        <v>0</v>
      </c>
      <c r="H26" s="423">
        <f>'Market Data'!$O$52*'Mkt Pen Veh-Mi'!H26</f>
        <v>0.15903085443432594</v>
      </c>
      <c r="I26" s="424">
        <f>'Market Data'!$O$52*'Mkt Pen Veh-Mi'!I26</f>
        <v>4.3951778646002956E-2</v>
      </c>
      <c r="J26" s="424">
        <f>'Market Data'!$O$52*'Mkt Pen Veh-Mi'!J26</f>
        <v>3.8909711892166209E-2</v>
      </c>
      <c r="K26" s="700">
        <f>'Market Data'!$O$52*'Mkt Pen Veh-Mi'!K26</f>
        <v>0</v>
      </c>
      <c r="L26" s="700">
        <f>'Market Data'!$O$52*'Mkt Pen Veh-Mi'!L26</f>
        <v>0</v>
      </c>
      <c r="M26" s="705">
        <f>'Market Data'!$O$52*'Mkt Pen Veh-Mi'!M26</f>
        <v>0</v>
      </c>
      <c r="N26" s="423">
        <f>'Market Data'!$Y$52*'Mkt Pen Veh-Mi'!N26</f>
        <v>7.5884606214363493E-2</v>
      </c>
      <c r="O26" s="424">
        <f>'Market Data'!$Y$52*'Mkt Pen Veh-Mi'!O26</f>
        <v>5.8595444049355872E-3</v>
      </c>
      <c r="P26" s="424">
        <f>'Market Data'!$Y$52*'Mkt Pen Veh-Mi'!P26</f>
        <v>6.2132773290996769E-3</v>
      </c>
      <c r="Q26" s="700">
        <f>'Market Data'!$Y$52*'Mkt Pen Veh-Mi'!Q26</f>
        <v>1.7209793391795617E-3</v>
      </c>
      <c r="R26" s="700">
        <f>'Market Data'!$Y$52*'Mkt Pen Veh-Mi'!R26</f>
        <v>0</v>
      </c>
      <c r="S26" s="705">
        <f>'Market Data'!$Y$52*'Mkt Pen Veh-Mi'!S26</f>
        <v>0</v>
      </c>
      <c r="T26" s="423">
        <f t="shared" si="6"/>
        <v>0.59400482497999108</v>
      </c>
      <c r="U26" s="425">
        <f t="shared" si="8"/>
        <v>0.40599517502000887</v>
      </c>
      <c r="X26" s="117"/>
    </row>
    <row r="27" spans="1:24" ht="15" x14ac:dyDescent="0.25">
      <c r="A27" s="402">
        <v>2025</v>
      </c>
      <c r="B27" s="426">
        <f>'Market Data'!$E$52*'Mkt Pen Veh-Mi'!B27</f>
        <v>0.22011708078155776</v>
      </c>
      <c r="C27" s="427">
        <f>'Market Data'!$E$52*'Mkt Pen Veh-Mi'!C27</f>
        <v>0.21391796347110537</v>
      </c>
      <c r="D27" s="427">
        <f>'Market Data'!$E$52*'Mkt Pen Veh-Mi'!D27</f>
        <v>0.20330746858773072</v>
      </c>
      <c r="E27" s="701">
        <f>'Market Data'!$E$52*'Mkt Pen Veh-Mi'!E27</f>
        <v>3.1086734899532658E-2</v>
      </c>
      <c r="F27" s="701">
        <f>'Market Data'!$E$52*'Mkt Pen Veh-Mi'!F27</f>
        <v>0</v>
      </c>
      <c r="G27" s="706">
        <f>'Market Data'!$E$52*'Mkt Pen Veh-Mi'!G27</f>
        <v>0</v>
      </c>
      <c r="H27" s="426">
        <f>'Market Data'!$O$52*'Mkt Pen Veh-Mi'!H27</f>
        <v>0.12561458444404924</v>
      </c>
      <c r="I27" s="427">
        <f>'Market Data'!$O$52*'Mkt Pen Veh-Mi'!I27</f>
        <v>5.9242605108097091E-2</v>
      </c>
      <c r="J27" s="427">
        <f>'Market Data'!$O$52*'Mkt Pen Veh-Mi'!J27</f>
        <v>5.7035155420348746E-2</v>
      </c>
      <c r="K27" s="701">
        <f>'Market Data'!$O$52*'Mkt Pen Veh-Mi'!K27</f>
        <v>0</v>
      </c>
      <c r="L27" s="701">
        <f>'Market Data'!$O$52*'Mkt Pen Veh-Mi'!L27</f>
        <v>0</v>
      </c>
      <c r="M27" s="706">
        <f>'Market Data'!$O$52*'Mkt Pen Veh-Mi'!M27</f>
        <v>0</v>
      </c>
      <c r="N27" s="426">
        <f>'Market Data'!$Y$52*'Mkt Pen Veh-Mi'!N27</f>
        <v>6.8854578918157286E-2</v>
      </c>
      <c r="O27" s="427">
        <f>'Market Data'!$Y$52*'Mkt Pen Veh-Mi'!O27</f>
        <v>6.9996562634028741E-3</v>
      </c>
      <c r="P27" s="427">
        <f>'Market Data'!$Y$52*'Mkt Pen Veh-Mi'!P27</f>
        <v>9.9168886737807348E-3</v>
      </c>
      <c r="Q27" s="701">
        <f>'Market Data'!$Y$52*'Mkt Pen Veh-Mi'!Q27</f>
        <v>3.9072618412634638E-3</v>
      </c>
      <c r="R27" s="701">
        <f>'Market Data'!$Y$52*'Mkt Pen Veh-Mi'!R27</f>
        <v>2.159097395047302E-8</v>
      </c>
      <c r="S27" s="706">
        <f>'Market Data'!$Y$52*'Mkt Pen Veh-Mi'!S27</f>
        <v>0</v>
      </c>
      <c r="T27" s="426">
        <f t="shared" si="6"/>
        <v>0.41458624414376433</v>
      </c>
      <c r="U27" s="428">
        <f t="shared" si="8"/>
        <v>0.58541375585623556</v>
      </c>
      <c r="X27" s="117"/>
    </row>
    <row r="28" spans="1:24" ht="15" x14ac:dyDescent="0.25">
      <c r="A28" s="429">
        <v>2026</v>
      </c>
      <c r="B28" s="430">
        <f>'Market Data'!$E$52*'Mkt Pen Veh-Mi'!B28</f>
        <v>0.11644236264074775</v>
      </c>
      <c r="C28" s="431">
        <f>'Market Data'!$E$52*'Mkt Pen Veh-Mi'!C28</f>
        <v>0.24879676030543277</v>
      </c>
      <c r="D28" s="431">
        <f>'Market Data'!$E$52*'Mkt Pen Veh-Mi'!D28</f>
        <v>0.2401284312777357</v>
      </c>
      <c r="E28" s="702">
        <f>'Market Data'!$E$52*'Mkt Pen Veh-Mi'!E28</f>
        <v>6.306169351601032E-2</v>
      </c>
      <c r="F28" s="702">
        <f>'Market Data'!$E$52*'Mkt Pen Veh-Mi'!F28</f>
        <v>0</v>
      </c>
      <c r="G28" s="707">
        <f>'Market Data'!$E$52*'Mkt Pen Veh-Mi'!G28</f>
        <v>0</v>
      </c>
      <c r="H28" s="430">
        <f>'Market Data'!$O$52*'Mkt Pen Veh-Mi'!H28</f>
        <v>9.1555602476657616E-2</v>
      </c>
      <c r="I28" s="431">
        <f>'Market Data'!$O$52*'Mkt Pen Veh-Mi'!I28</f>
        <v>7.6470620388509963E-2</v>
      </c>
      <c r="J28" s="431">
        <f>'Market Data'!$O$52*'Mkt Pen Veh-Mi'!J28</f>
        <v>7.3866122107327528E-2</v>
      </c>
      <c r="K28" s="702">
        <f>'Market Data'!$O$52*'Mkt Pen Veh-Mi'!K28</f>
        <v>0</v>
      </c>
      <c r="L28" s="702">
        <f>'Market Data'!$O$52*'Mkt Pen Veh-Mi'!L28</f>
        <v>0</v>
      </c>
      <c r="M28" s="707">
        <f>'Market Data'!$O$52*'Mkt Pen Veh-Mi'!M28</f>
        <v>0</v>
      </c>
      <c r="N28" s="430">
        <f>'Market Data'!$Y$52*'Mkt Pen Veh-Mi'!N28</f>
        <v>5.7807458250674001E-2</v>
      </c>
      <c r="O28" s="431">
        <f>'Market Data'!$Y$52*'Mkt Pen Veh-Mi'!O28</f>
        <v>9.9594128608144396E-3</v>
      </c>
      <c r="P28" s="431">
        <f>'Market Data'!$Y$52*'Mkt Pen Veh-Mi'!P28</f>
        <v>1.5690075817317743E-2</v>
      </c>
      <c r="Q28" s="702">
        <f>'Market Data'!$Y$52*'Mkt Pen Veh-Mi'!Q28</f>
        <v>6.2209378508249983E-3</v>
      </c>
      <c r="R28" s="702">
        <f>'Market Data'!$Y$52*'Mkt Pen Veh-Mi'!R28</f>
        <v>5.2250794712429531E-7</v>
      </c>
      <c r="S28" s="707">
        <f>'Market Data'!$Y$52*'Mkt Pen Veh-Mi'!S28</f>
        <v>0</v>
      </c>
      <c r="T28" s="433">
        <f t="shared" si="6"/>
        <v>0.26580542336807939</v>
      </c>
      <c r="U28" s="434">
        <f t="shared" si="8"/>
        <v>0.73419457663192067</v>
      </c>
      <c r="X28" s="117"/>
    </row>
    <row r="29" spans="1:24" ht="15" x14ac:dyDescent="0.25">
      <c r="A29" s="403">
        <v>2027</v>
      </c>
      <c r="B29" s="423">
        <f>'Market Data'!$E$52*'Mkt Pen Veh-Mi'!B29</f>
        <v>6.2794342561871941E-2</v>
      </c>
      <c r="C29" s="424">
        <f>'Market Data'!$E$52*'Mkt Pen Veh-Mi'!C29</f>
        <v>0.25658767853161712</v>
      </c>
      <c r="D29" s="424">
        <f>'Market Data'!$E$52*'Mkt Pen Veh-Mi'!D29</f>
        <v>0.25158959810234355</v>
      </c>
      <c r="E29" s="700">
        <f>'Market Data'!$E$52*'Mkt Pen Veh-Mi'!E29</f>
        <v>9.7457628544093927E-2</v>
      </c>
      <c r="F29" s="700">
        <f>'Market Data'!$E$52*'Mkt Pen Veh-Mi'!F29</f>
        <v>0</v>
      </c>
      <c r="G29" s="705">
        <f>'Market Data'!$E$52*'Mkt Pen Veh-Mi'!G29</f>
        <v>0</v>
      </c>
      <c r="H29" s="423">
        <f>'Market Data'!$O$52*'Mkt Pen Veh-Mi'!H29</f>
        <v>6.9913278281563462E-2</v>
      </c>
      <c r="I29" s="424">
        <f>'Market Data'!$O$52*'Mkt Pen Veh-Mi'!I29</f>
        <v>8.6921806623557252E-2</v>
      </c>
      <c r="J29" s="424">
        <f>'Market Data'!$O$52*'Mkt Pen Veh-Mi'!J29</f>
        <v>8.5057260067374393E-2</v>
      </c>
      <c r="K29" s="700">
        <f>'Market Data'!$O$52*'Mkt Pen Veh-Mi'!K29</f>
        <v>0</v>
      </c>
      <c r="L29" s="700">
        <f>'Market Data'!$O$52*'Mkt Pen Veh-Mi'!L29</f>
        <v>0</v>
      </c>
      <c r="M29" s="705">
        <f>'Market Data'!$O$52*'Mkt Pen Veh-Mi'!M29</f>
        <v>0</v>
      </c>
      <c r="N29" s="423">
        <f>'Market Data'!$Y$52*'Mkt Pen Veh-Mi'!N29</f>
        <v>5.0395900479300863E-2</v>
      </c>
      <c r="O29" s="424">
        <f>'Market Data'!$Y$52*'Mkt Pen Veh-Mi'!O29</f>
        <v>1.2001415133361499E-2</v>
      </c>
      <c r="P29" s="424">
        <f>'Market Data'!$Y$52*'Mkt Pen Veh-Mi'!P29</f>
        <v>1.9001117299496537E-2</v>
      </c>
      <c r="Q29" s="700">
        <f>'Market Data'!$Y$52*'Mkt Pen Veh-Mi'!Q29</f>
        <v>8.272130058402544E-3</v>
      </c>
      <c r="R29" s="700">
        <f>'Market Data'!$Y$52*'Mkt Pen Veh-Mi'!R29</f>
        <v>7.8443170168725612E-6</v>
      </c>
      <c r="S29" s="705">
        <f>'Market Data'!$Y$52*'Mkt Pen Veh-Mi'!S29</f>
        <v>0</v>
      </c>
      <c r="T29" s="423">
        <f t="shared" si="6"/>
        <v>0.18310352132273627</v>
      </c>
      <c r="U29" s="425">
        <f t="shared" si="8"/>
        <v>0.81689647867726378</v>
      </c>
      <c r="X29" s="117"/>
    </row>
    <row r="30" spans="1:24" ht="15" x14ac:dyDescent="0.25">
      <c r="A30" s="403">
        <v>2028</v>
      </c>
      <c r="B30" s="423">
        <f>'Market Data'!$E$52*'Mkt Pen Veh-Mi'!B30</f>
        <v>3.6065897521277493E-2</v>
      </c>
      <c r="C30" s="424">
        <f>'Market Data'!$E$52*'Mkt Pen Veh-Mi'!C30</f>
        <v>0.25616692590818352</v>
      </c>
      <c r="D30" s="424">
        <f>'Market Data'!$E$52*'Mkt Pen Veh-Mi'!D30</f>
        <v>0.25202903701957147</v>
      </c>
      <c r="E30" s="700">
        <f>'Market Data'!$E$52*'Mkt Pen Veh-Mi'!E30</f>
        <v>0.12416738729089404</v>
      </c>
      <c r="F30" s="700">
        <f>'Market Data'!$E$52*'Mkt Pen Veh-Mi'!F30</f>
        <v>0</v>
      </c>
      <c r="G30" s="705">
        <f>'Market Data'!$E$52*'Mkt Pen Veh-Mi'!G30</f>
        <v>0</v>
      </c>
      <c r="H30" s="423">
        <f>'Market Data'!$O$52*'Mkt Pen Veh-Mi'!H30</f>
        <v>5.9006769011109073E-2</v>
      </c>
      <c r="I30" s="424">
        <f>'Market Data'!$O$52*'Mkt Pen Veh-Mi'!I30</f>
        <v>9.1986963334603794E-2</v>
      </c>
      <c r="J30" s="424">
        <f>'Market Data'!$O$52*'Mkt Pen Veh-Mi'!J30</f>
        <v>9.0898612626782213E-2</v>
      </c>
      <c r="K30" s="700">
        <f>'Market Data'!$O$52*'Mkt Pen Veh-Mi'!K30</f>
        <v>0</v>
      </c>
      <c r="L30" s="700">
        <f>'Market Data'!$O$52*'Mkt Pen Veh-Mi'!L30</f>
        <v>0</v>
      </c>
      <c r="M30" s="705">
        <f>'Market Data'!$O$52*'Mkt Pen Veh-Mi'!M30</f>
        <v>0</v>
      </c>
      <c r="N30" s="423">
        <f>'Market Data'!$Y$52*'Mkt Pen Veh-Mi'!N30</f>
        <v>4.4893938441647012E-2</v>
      </c>
      <c r="O30" s="424">
        <f>'Market Data'!$Y$52*'Mkt Pen Veh-Mi'!O30</f>
        <v>1.4007026253637108E-2</v>
      </c>
      <c r="P30" s="424">
        <f>'Market Data'!$Y$52*'Mkt Pen Veh-Mi'!P30</f>
        <v>2.0983153492794861E-2</v>
      </c>
      <c r="Q30" s="700">
        <f>'Market Data'!$Y$52*'Mkt Pen Veh-Mi'!Q30</f>
        <v>9.748309928607644E-3</v>
      </c>
      <c r="R30" s="700">
        <f>'Market Data'!$Y$52*'Mkt Pen Veh-Mi'!R30</f>
        <v>4.5979170891685055E-5</v>
      </c>
      <c r="S30" s="705">
        <f>'Market Data'!$Y$52*'Mkt Pen Veh-Mi'!S30</f>
        <v>0</v>
      </c>
      <c r="T30" s="423">
        <f t="shared" si="6"/>
        <v>0.13996660497403357</v>
      </c>
      <c r="U30" s="425">
        <f t="shared" si="8"/>
        <v>0.86003339502596643</v>
      </c>
      <c r="X30" s="117"/>
    </row>
    <row r="31" spans="1:24" ht="15" x14ac:dyDescent="0.25">
      <c r="A31" s="403">
        <v>2029</v>
      </c>
      <c r="B31" s="423">
        <f>'Market Data'!$E$52*'Mkt Pen Veh-Mi'!B31</f>
        <v>2.2666095852285448E-2</v>
      </c>
      <c r="C31" s="424">
        <f>'Market Data'!$E$52*'Mkt Pen Veh-Mi'!C31</f>
        <v>0.24991957395189279</v>
      </c>
      <c r="D31" s="424">
        <f>'Market Data'!$E$52*'Mkt Pen Veh-Mi'!D31</f>
        <v>0.24795840936072402</v>
      </c>
      <c r="E31" s="700">
        <f>'Market Data'!$E$52*'Mkt Pen Veh-Mi'!E31</f>
        <v>0.14788516857502423</v>
      </c>
      <c r="F31" s="700">
        <f>'Market Data'!$E$52*'Mkt Pen Veh-Mi'!F31</f>
        <v>0</v>
      </c>
      <c r="G31" s="705">
        <f>'Market Data'!$E$52*'Mkt Pen Veh-Mi'!G31</f>
        <v>0</v>
      </c>
      <c r="H31" s="423">
        <f>'Market Data'!$O$52*'Mkt Pen Veh-Mi'!H31</f>
        <v>5.051661376006298E-2</v>
      </c>
      <c r="I31" s="424">
        <f>'Market Data'!$O$52*'Mkt Pen Veh-Mi'!I31</f>
        <v>9.574681893746978E-2</v>
      </c>
      <c r="J31" s="424">
        <f>'Market Data'!$O$52*'Mkt Pen Veh-Mi'!J31</f>
        <v>9.5628912274962355E-2</v>
      </c>
      <c r="K31" s="700">
        <f>'Market Data'!$O$52*'Mkt Pen Veh-Mi'!K31</f>
        <v>0</v>
      </c>
      <c r="L31" s="700">
        <f>'Market Data'!$O$52*'Mkt Pen Veh-Mi'!L31</f>
        <v>0</v>
      </c>
      <c r="M31" s="705">
        <f>'Market Data'!$O$52*'Mkt Pen Veh-Mi'!M31</f>
        <v>0</v>
      </c>
      <c r="N31" s="423">
        <f>'Market Data'!$Y$52*'Mkt Pen Veh-Mi'!N31</f>
        <v>4.2155574998391669E-2</v>
      </c>
      <c r="O31" s="424">
        <f>'Market Data'!$Y$52*'Mkt Pen Veh-Mi'!O31</f>
        <v>1.4930324484242155E-2</v>
      </c>
      <c r="P31" s="424">
        <f>'Market Data'!$Y$52*'Mkt Pen Veh-Mi'!P31</f>
        <v>2.129749318804566E-2</v>
      </c>
      <c r="Q31" s="700">
        <f>'Market Data'!$Y$52*'Mkt Pen Veh-Mi'!Q31</f>
        <v>1.1102241080942267E-2</v>
      </c>
      <c r="R31" s="700">
        <f>'Market Data'!$Y$52*'Mkt Pen Veh-Mi'!R31</f>
        <v>1.9277353595656028E-4</v>
      </c>
      <c r="S31" s="705">
        <f>'Market Data'!$Y$52*'Mkt Pen Veh-Mi'!S31</f>
        <v>0</v>
      </c>
      <c r="T31" s="423">
        <f t="shared" si="6"/>
        <v>0.11533828461074008</v>
      </c>
      <c r="U31" s="425">
        <f t="shared" si="8"/>
        <v>0.88466171538925975</v>
      </c>
      <c r="X31" s="117"/>
    </row>
    <row r="32" spans="1:24" ht="15" x14ac:dyDescent="0.25">
      <c r="A32" s="402">
        <v>2030</v>
      </c>
      <c r="B32" s="426">
        <f>'Market Data'!$E$52*'Mkt Pen Veh-Mi'!B32</f>
        <v>1.6907766904518739E-2</v>
      </c>
      <c r="C32" s="427">
        <f>'Market Data'!$E$52*'Mkt Pen Veh-Mi'!C32</f>
        <v>0.24322509970489381</v>
      </c>
      <c r="D32" s="427">
        <f>'Market Data'!$E$52*'Mkt Pen Veh-Mi'!D32</f>
        <v>0.24236618776631189</v>
      </c>
      <c r="E32" s="701">
        <f>'Market Data'!$E$52*'Mkt Pen Veh-Mi'!E32</f>
        <v>0.16593019336420209</v>
      </c>
      <c r="F32" s="701">
        <f>'Market Data'!$E$52*'Mkt Pen Veh-Mi'!F32</f>
        <v>0</v>
      </c>
      <c r="G32" s="706">
        <f>'Market Data'!$E$52*'Mkt Pen Veh-Mi'!G32</f>
        <v>0</v>
      </c>
      <c r="H32" s="426">
        <f>'Market Data'!$O$52*'Mkt Pen Veh-Mi'!H32</f>
        <v>4.4172461461535209E-2</v>
      </c>
      <c r="I32" s="427">
        <f>'Market Data'!$O$52*'Mkt Pen Veh-Mi'!I32</f>
        <v>9.9204636897829795E-2</v>
      </c>
      <c r="J32" s="427">
        <f>'Market Data'!$O$52*'Mkt Pen Veh-Mi'!J32</f>
        <v>9.8515246613130075E-2</v>
      </c>
      <c r="K32" s="701">
        <f>'Market Data'!$O$52*'Mkt Pen Veh-Mi'!K32</f>
        <v>0</v>
      </c>
      <c r="L32" s="701">
        <f>'Market Data'!$O$52*'Mkt Pen Veh-Mi'!L32</f>
        <v>0</v>
      </c>
      <c r="M32" s="706">
        <f>'Market Data'!$O$52*'Mkt Pen Veh-Mi'!M32</f>
        <v>0</v>
      </c>
      <c r="N32" s="426">
        <f>'Market Data'!$Y$52*'Mkt Pen Veh-Mi'!N32</f>
        <v>4.0586878660634068E-2</v>
      </c>
      <c r="O32" s="427">
        <f>'Market Data'!$Y$52*'Mkt Pen Veh-Mi'!O32</f>
        <v>1.5554746292115271E-2</v>
      </c>
      <c r="P32" s="427">
        <f>'Market Data'!$Y$52*'Mkt Pen Veh-Mi'!P32</f>
        <v>2.1387588250726012E-2</v>
      </c>
      <c r="Q32" s="701">
        <f>'Market Data'!$Y$52*'Mkt Pen Veh-Mi'!Q32</f>
        <v>1.171321142664552E-2</v>
      </c>
      <c r="R32" s="701">
        <f>'Market Data'!$Y$52*'Mkt Pen Veh-Mi'!R32</f>
        <v>4.3598265745743741E-4</v>
      </c>
      <c r="S32" s="706">
        <f>'Market Data'!$Y$52*'Mkt Pen Veh-Mi'!S32</f>
        <v>0</v>
      </c>
      <c r="T32" s="426">
        <f t="shared" si="6"/>
        <v>0.10166710702668802</v>
      </c>
      <c r="U32" s="428">
        <f t="shared" si="8"/>
        <v>0.89833289297331187</v>
      </c>
      <c r="X32" s="117"/>
    </row>
    <row r="33" spans="1:21" ht="15" x14ac:dyDescent="0.25">
      <c r="A33" s="429">
        <v>2031</v>
      </c>
      <c r="B33" s="430">
        <f>'Market Data'!$E$52*'Mkt Pen Veh-Mi'!B33</f>
        <v>1.5780889101470699E-2</v>
      </c>
      <c r="C33" s="431">
        <f>'Market Data'!$E$52*'Mkt Pen Veh-Mi'!C33</f>
        <v>0.24154235328714896</v>
      </c>
      <c r="D33" s="431">
        <f>'Market Data'!$E$52*'Mkt Pen Veh-Mi'!D33</f>
        <v>0.24063742608174576</v>
      </c>
      <c r="E33" s="702">
        <f>'Market Data'!$E$52*'Mkt Pen Veh-Mi'!E33</f>
        <v>0.1704685792695611</v>
      </c>
      <c r="F33" s="702">
        <f>'Market Data'!$E$52*'Mkt Pen Veh-Mi'!F33</f>
        <v>0</v>
      </c>
      <c r="G33" s="707">
        <f>'Market Data'!$E$52*'Mkt Pen Veh-Mi'!G33</f>
        <v>0</v>
      </c>
      <c r="H33" s="430">
        <f>'Market Data'!$O$52*'Mkt Pen Veh-Mi'!H33</f>
        <v>4.3422125469955816E-2</v>
      </c>
      <c r="I33" s="431">
        <f>'Market Data'!$O$52*'Mkt Pen Veh-Mi'!I33</f>
        <v>9.9251816482866823E-2</v>
      </c>
      <c r="J33" s="431">
        <f>'Market Data'!$O$52*'Mkt Pen Veh-Mi'!J33</f>
        <v>9.9152093471436845E-2</v>
      </c>
      <c r="K33" s="702">
        <f>'Market Data'!$O$52*'Mkt Pen Veh-Mi'!K33</f>
        <v>6.6309548235615222E-5</v>
      </c>
      <c r="L33" s="702">
        <f>'Market Data'!$O$52*'Mkt Pen Veh-Mi'!L33</f>
        <v>0</v>
      </c>
      <c r="M33" s="707">
        <f>'Market Data'!$O$52*'Mkt Pen Veh-Mi'!M33</f>
        <v>0</v>
      </c>
      <c r="N33" s="430">
        <f>'Market Data'!$Y$52*'Mkt Pen Veh-Mi'!N33</f>
        <v>4.0372988115541061E-2</v>
      </c>
      <c r="O33" s="431">
        <f>'Market Data'!$Y$52*'Mkt Pen Veh-Mi'!O33</f>
        <v>1.5556732789382728E-2</v>
      </c>
      <c r="P33" s="431">
        <f>'Market Data'!$Y$52*'Mkt Pen Veh-Mi'!P33</f>
        <v>2.1141633304194291E-2</v>
      </c>
      <c r="Q33" s="702">
        <f>'Market Data'!$Y$52*'Mkt Pen Veh-Mi'!Q33</f>
        <v>1.1988916955728589E-2</v>
      </c>
      <c r="R33" s="702">
        <f>'Market Data'!$Y$52*'Mkt Pen Veh-Mi'!R33</f>
        <v>6.1813612273163587E-4</v>
      </c>
      <c r="S33" s="707">
        <f>'Market Data'!$Y$52*'Mkt Pen Veh-Mi'!S33</f>
        <v>0</v>
      </c>
      <c r="T33" s="433">
        <f t="shared" si="6"/>
        <v>9.9576002686967577E-2</v>
      </c>
      <c r="U33" s="434">
        <f t="shared" si="8"/>
        <v>0.90042399731303235</v>
      </c>
    </row>
    <row r="34" spans="1:21" ht="15" x14ac:dyDescent="0.25">
      <c r="A34" s="403">
        <v>2032</v>
      </c>
      <c r="B34" s="423">
        <f>'Market Data'!$E$52*'Mkt Pen Veh-Mi'!B34</f>
        <v>1.5404816125293498E-2</v>
      </c>
      <c r="C34" s="424">
        <f>'Market Data'!$E$52*'Mkt Pen Veh-Mi'!C34</f>
        <v>0.23997036512804276</v>
      </c>
      <c r="D34" s="424">
        <f>'Market Data'!$E$52*'Mkt Pen Veh-Mi'!D34</f>
        <v>0.23925504133081713</v>
      </c>
      <c r="E34" s="700">
        <f>'Market Data'!$E$52*'Mkt Pen Veh-Mi'!E34</f>
        <v>0.17379902515577317</v>
      </c>
      <c r="F34" s="700">
        <f>'Market Data'!$E$52*'Mkt Pen Veh-Mi'!F34</f>
        <v>0</v>
      </c>
      <c r="G34" s="705">
        <f>'Market Data'!$E$52*'Mkt Pen Veh-Mi'!G34</f>
        <v>0</v>
      </c>
      <c r="H34" s="423">
        <f>'Market Data'!$O$52*'Mkt Pen Veh-Mi'!H34</f>
        <v>4.3174450186669294E-2</v>
      </c>
      <c r="I34" s="424">
        <f>'Market Data'!$O$52*'Mkt Pen Veh-Mi'!I34</f>
        <v>9.9019109759348481E-2</v>
      </c>
      <c r="J34" s="424">
        <f>'Market Data'!$O$52*'Mkt Pen Veh-Mi'!J34</f>
        <v>9.8911534576632709E-2</v>
      </c>
      <c r="K34" s="700">
        <f>'Market Data'!$O$52*'Mkt Pen Veh-Mi'!K34</f>
        <v>7.8725044984459677E-4</v>
      </c>
      <c r="L34" s="700">
        <f>'Market Data'!$O$52*'Mkt Pen Veh-Mi'!L34</f>
        <v>0</v>
      </c>
      <c r="M34" s="705">
        <f>'Market Data'!$O$52*'Mkt Pen Veh-Mi'!M34</f>
        <v>0</v>
      </c>
      <c r="N34" s="423">
        <f>'Market Data'!$Y$52*'Mkt Pen Veh-Mi'!N34</f>
        <v>3.9106303155696416E-2</v>
      </c>
      <c r="O34" s="424">
        <f>'Market Data'!$Y$52*'Mkt Pen Veh-Mi'!O34</f>
        <v>1.5634078564714424E-2</v>
      </c>
      <c r="P34" s="424">
        <f>'Market Data'!$Y$52*'Mkt Pen Veh-Mi'!P34</f>
        <v>2.2019384024748383E-2</v>
      </c>
      <c r="Q34" s="700">
        <f>'Market Data'!$Y$52*'Mkt Pen Veh-Mi'!Q34</f>
        <v>1.2085881880734461E-2</v>
      </c>
      <c r="R34" s="700">
        <f>'Market Data'!$Y$52*'Mkt Pen Veh-Mi'!R34</f>
        <v>8.3275966168461994E-4</v>
      </c>
      <c r="S34" s="705">
        <f>'Market Data'!$Y$52*'Mkt Pen Veh-Mi'!S34</f>
        <v>0</v>
      </c>
      <c r="T34" s="423">
        <f t="shared" si="6"/>
        <v>9.7685569467659217E-2</v>
      </c>
      <c r="U34" s="425">
        <f t="shared" si="8"/>
        <v>0.90231443053234073</v>
      </c>
    </row>
    <row r="35" spans="1:21" ht="15" x14ac:dyDescent="0.25">
      <c r="A35" s="403">
        <v>2033</v>
      </c>
      <c r="B35" s="423">
        <f>'Market Data'!$E$52*'Mkt Pen Veh-Mi'!B35</f>
        <v>1.5160608643794687E-2</v>
      </c>
      <c r="C35" s="424">
        <f>'Market Data'!$E$52*'Mkt Pen Veh-Mi'!C35</f>
        <v>0.2389561475347497</v>
      </c>
      <c r="D35" s="424">
        <f>'Market Data'!$E$52*'Mkt Pen Veh-Mi'!D35</f>
        <v>0.23851948060235842</v>
      </c>
      <c r="E35" s="700">
        <f>'Market Data'!$E$52*'Mkt Pen Veh-Mi'!E35</f>
        <v>0.17579301095902375</v>
      </c>
      <c r="F35" s="700">
        <f>'Market Data'!$E$52*'Mkt Pen Veh-Mi'!F35</f>
        <v>0</v>
      </c>
      <c r="G35" s="705">
        <f>'Market Data'!$E$52*'Mkt Pen Veh-Mi'!G35</f>
        <v>0</v>
      </c>
      <c r="H35" s="423">
        <f>'Market Data'!$O$52*'Mkt Pen Veh-Mi'!H35</f>
        <v>4.2493016583284617E-2</v>
      </c>
      <c r="I35" s="424">
        <f>'Market Data'!$O$52*'Mkt Pen Veh-Mi'!I35</f>
        <v>9.849346788836931E-2</v>
      </c>
      <c r="J35" s="424">
        <f>'Market Data'!$O$52*'Mkt Pen Veh-Mi'!J35</f>
        <v>9.812337418828794E-2</v>
      </c>
      <c r="K35" s="700">
        <f>'Market Data'!$O$52*'Mkt Pen Veh-Mi'!K35</f>
        <v>2.7824863125532426E-3</v>
      </c>
      <c r="L35" s="700">
        <f>'Market Data'!$O$52*'Mkt Pen Veh-Mi'!L35</f>
        <v>0</v>
      </c>
      <c r="M35" s="705">
        <f>'Market Data'!$O$52*'Mkt Pen Veh-Mi'!M35</f>
        <v>0</v>
      </c>
      <c r="N35" s="423">
        <f>'Market Data'!$Y$52*'Mkt Pen Veh-Mi'!N35</f>
        <v>3.9077162192633109E-2</v>
      </c>
      <c r="O35" s="424">
        <f>'Market Data'!$Y$52*'Mkt Pen Veh-Mi'!O35</f>
        <v>1.5822604282166631E-2</v>
      </c>
      <c r="P35" s="424">
        <f>'Market Data'!$Y$52*'Mkt Pen Veh-Mi'!P35</f>
        <v>2.1675106149888129E-2</v>
      </c>
      <c r="Q35" s="700">
        <f>'Market Data'!$Y$52*'Mkt Pen Veh-Mi'!Q35</f>
        <v>1.1996281211174733E-2</v>
      </c>
      <c r="R35" s="700">
        <f>'Market Data'!$Y$52*'Mkt Pen Veh-Mi'!R35</f>
        <v>1.1072534517157118E-3</v>
      </c>
      <c r="S35" s="705">
        <f>'Market Data'!$Y$52*'Mkt Pen Veh-Mi'!S35</f>
        <v>0</v>
      </c>
      <c r="T35" s="423">
        <f t="shared" si="6"/>
        <v>9.6730787419712416E-2</v>
      </c>
      <c r="U35" s="425">
        <f t="shared" si="8"/>
        <v>0.90326921258028758</v>
      </c>
    </row>
    <row r="36" spans="1:21" ht="15" x14ac:dyDescent="0.25">
      <c r="A36" s="403">
        <v>2034</v>
      </c>
      <c r="B36" s="423">
        <f>'Market Data'!$E$52*'Mkt Pen Veh-Mi'!B36</f>
        <v>1.4851100462193161E-2</v>
      </c>
      <c r="C36" s="424">
        <f>'Market Data'!$E$52*'Mkt Pen Veh-Mi'!C36</f>
        <v>0.23810217469057018</v>
      </c>
      <c r="D36" s="424">
        <f>'Market Data'!$E$52*'Mkt Pen Veh-Mi'!D36</f>
        <v>0.23767744758918913</v>
      </c>
      <c r="E36" s="700">
        <f>'Market Data'!$E$52*'Mkt Pen Veh-Mi'!E36</f>
        <v>0.17779852499797399</v>
      </c>
      <c r="F36" s="700">
        <f>'Market Data'!$E$52*'Mkt Pen Veh-Mi'!F36</f>
        <v>0</v>
      </c>
      <c r="G36" s="705">
        <f>'Market Data'!$E$52*'Mkt Pen Veh-Mi'!G36</f>
        <v>0</v>
      </c>
      <c r="H36" s="423">
        <f>'Market Data'!$O$52*'Mkt Pen Veh-Mi'!H36</f>
        <v>4.2477462172905781E-2</v>
      </c>
      <c r="I36" s="424">
        <f>'Market Data'!$O$52*'Mkt Pen Veh-Mi'!I36</f>
        <v>9.6340667423624515E-2</v>
      </c>
      <c r="J36" s="424">
        <f>'Market Data'!$O$52*'Mkt Pen Veh-Mi'!J36</f>
        <v>9.6297498672125614E-2</v>
      </c>
      <c r="K36" s="700">
        <f>'Market Data'!$O$52*'Mkt Pen Veh-Mi'!K36</f>
        <v>6.7767167038391843E-3</v>
      </c>
      <c r="L36" s="700">
        <f>'Market Data'!$O$52*'Mkt Pen Veh-Mi'!L36</f>
        <v>0</v>
      </c>
      <c r="M36" s="705">
        <f>'Market Data'!$O$52*'Mkt Pen Veh-Mi'!M36</f>
        <v>0</v>
      </c>
      <c r="N36" s="423">
        <f>'Market Data'!$Y$52*'Mkt Pen Veh-Mi'!N36</f>
        <v>3.906302970054331E-2</v>
      </c>
      <c r="O36" s="424">
        <f>'Market Data'!$Y$52*'Mkt Pen Veh-Mi'!O36</f>
        <v>1.5723894073074805E-2</v>
      </c>
      <c r="P36" s="424">
        <f>'Market Data'!$Y$52*'Mkt Pen Veh-Mi'!P36</f>
        <v>2.1579020227512086E-2</v>
      </c>
      <c r="Q36" s="700">
        <f>'Market Data'!$Y$52*'Mkt Pen Veh-Mi'!Q36</f>
        <v>1.1882379400166338E-2</v>
      </c>
      <c r="R36" s="700">
        <f>'Market Data'!$Y$52*'Mkt Pen Veh-Mi'!R36</f>
        <v>1.4300838862817723E-3</v>
      </c>
      <c r="S36" s="705">
        <f>'Market Data'!$Y$52*'Mkt Pen Veh-Mi'!S36</f>
        <v>0</v>
      </c>
      <c r="T36" s="423">
        <f t="shared" si="6"/>
        <v>9.6391592335642248E-2</v>
      </c>
      <c r="U36" s="425">
        <f t="shared" si="8"/>
        <v>0.90360840766435768</v>
      </c>
    </row>
    <row r="37" spans="1:21" ht="15" x14ac:dyDescent="0.25">
      <c r="A37" s="402">
        <v>2035</v>
      </c>
      <c r="B37" s="426">
        <f>'Market Data'!$E$52*'Mkt Pen Veh-Mi'!B37</f>
        <v>1.3329920631162066E-2</v>
      </c>
      <c r="C37" s="427">
        <f>'Market Data'!$E$52*'Mkt Pen Veh-Mi'!C37</f>
        <v>0.23871252597905276</v>
      </c>
      <c r="D37" s="427">
        <f>'Market Data'!$E$52*'Mkt Pen Veh-Mi'!D37</f>
        <v>0.23771341740327395</v>
      </c>
      <c r="E37" s="701">
        <f>'Market Data'!$E$52*'Mkt Pen Veh-Mi'!E37</f>
        <v>0.17867338372643771</v>
      </c>
      <c r="F37" s="701">
        <f>'Market Data'!$E$52*'Mkt Pen Veh-Mi'!F37</f>
        <v>0</v>
      </c>
      <c r="G37" s="706">
        <f>'Market Data'!$E$52*'Mkt Pen Veh-Mi'!G37</f>
        <v>0</v>
      </c>
      <c r="H37" s="426">
        <f>'Market Data'!$O$52*'Mkt Pen Veh-Mi'!H37</f>
        <v>4.1526803711925575E-2</v>
      </c>
      <c r="I37" s="427">
        <f>'Market Data'!$O$52*'Mkt Pen Veh-Mi'!I37</f>
        <v>9.3444442919856222E-2</v>
      </c>
      <c r="J37" s="427">
        <f>'Market Data'!$O$52*'Mkt Pen Veh-Mi'!J37</f>
        <v>9.3165563860987358E-2</v>
      </c>
      <c r="K37" s="701">
        <f>'Market Data'!$O$52*'Mkt Pen Veh-Mi'!K37</f>
        <v>1.3755534479725931E-2</v>
      </c>
      <c r="L37" s="701">
        <f>'Market Data'!$O$52*'Mkt Pen Veh-Mi'!L37</f>
        <v>0</v>
      </c>
      <c r="M37" s="706">
        <f>'Market Data'!$O$52*'Mkt Pen Veh-Mi'!M37</f>
        <v>0</v>
      </c>
      <c r="N37" s="426">
        <f>'Market Data'!$Y$52*'Mkt Pen Veh-Mi'!N37</f>
        <v>3.8770714967759128E-2</v>
      </c>
      <c r="O37" s="427">
        <f>'Market Data'!$Y$52*'Mkt Pen Veh-Mi'!O37</f>
        <v>1.5689992856241345E-2</v>
      </c>
      <c r="P37" s="427">
        <f>'Market Data'!$Y$52*'Mkt Pen Veh-Mi'!P37</f>
        <v>2.1409499547254563E-2</v>
      </c>
      <c r="Q37" s="701">
        <f>'Market Data'!$Y$52*'Mkt Pen Veh-Mi'!Q37</f>
        <v>1.1914068259572566E-2</v>
      </c>
      <c r="R37" s="701">
        <f>'Market Data'!$Y$52*'Mkt Pen Veh-Mi'!R37</f>
        <v>1.8933473849655122E-3</v>
      </c>
      <c r="S37" s="706">
        <f>'Market Data'!$Y$52*'Mkt Pen Veh-Mi'!S37</f>
        <v>7.842717851969398E-7</v>
      </c>
      <c r="T37" s="426">
        <f t="shared" si="6"/>
        <v>9.3627439310846772E-2</v>
      </c>
      <c r="U37" s="428">
        <f t="shared" si="8"/>
        <v>0.90637256068915306</v>
      </c>
    </row>
    <row r="38" spans="1:21" ht="15" x14ac:dyDescent="0.25">
      <c r="A38" s="429">
        <v>2036</v>
      </c>
      <c r="B38" s="430">
        <f>'Market Data'!$E$52*'Mkt Pen Veh-Mi'!B38</f>
        <v>1.2964476121860849E-2</v>
      </c>
      <c r="C38" s="431">
        <f>'Market Data'!$E$52*'Mkt Pen Veh-Mi'!C38</f>
        <v>0.23804886348555004</v>
      </c>
      <c r="D38" s="431">
        <f>'Market Data'!$E$52*'Mkt Pen Veh-Mi'!D38</f>
        <v>0.23701954824998855</v>
      </c>
      <c r="E38" s="702">
        <f>'Market Data'!$E$52*'Mkt Pen Veh-Mi'!E38</f>
        <v>0.18037897301978756</v>
      </c>
      <c r="F38" s="702">
        <f>'Market Data'!$E$52*'Mkt Pen Veh-Mi'!F38</f>
        <v>1.7386862739515834E-5</v>
      </c>
      <c r="G38" s="707">
        <f>'Market Data'!$E$52*'Mkt Pen Veh-Mi'!G38</f>
        <v>0</v>
      </c>
      <c r="H38" s="430">
        <f>'Market Data'!$O$52*'Mkt Pen Veh-Mi'!H38</f>
        <v>4.0306813017776062E-2</v>
      </c>
      <c r="I38" s="431">
        <f>'Market Data'!$O$52*'Mkt Pen Veh-Mi'!I38</f>
        <v>9.2610359417404989E-2</v>
      </c>
      <c r="J38" s="431">
        <f>'Market Data'!$O$52*'Mkt Pen Veh-Mi'!J38</f>
        <v>9.2504107005435085E-2</v>
      </c>
      <c r="K38" s="702">
        <f>'Market Data'!$O$52*'Mkt Pen Veh-Mi'!K38</f>
        <v>1.6470862338186003E-2</v>
      </c>
      <c r="L38" s="702">
        <f>'Market Data'!$O$52*'Mkt Pen Veh-Mi'!L38</f>
        <v>0</v>
      </c>
      <c r="M38" s="707">
        <f>'Market Data'!$O$52*'Mkt Pen Veh-Mi'!M38</f>
        <v>2.0319369294217143E-7</v>
      </c>
      <c r="N38" s="430">
        <f>'Market Data'!$Y$52*'Mkt Pen Veh-Mi'!N38</f>
        <v>3.8503783409733545E-2</v>
      </c>
      <c r="O38" s="431">
        <f>'Market Data'!$Y$52*'Mkt Pen Veh-Mi'!O38</f>
        <v>1.5875853726236292E-2</v>
      </c>
      <c r="P38" s="431">
        <f>'Market Data'!$Y$52*'Mkt Pen Veh-Mi'!P38</f>
        <v>2.1644963447637E-2</v>
      </c>
      <c r="Q38" s="702">
        <f>'Market Data'!$Y$52*'Mkt Pen Veh-Mi'!Q38</f>
        <v>1.1605663613900119E-2</v>
      </c>
      <c r="R38" s="702">
        <f>'Market Data'!$Y$52*'Mkt Pen Veh-Mi'!R38</f>
        <v>2.0434970118855394E-3</v>
      </c>
      <c r="S38" s="707">
        <f>'Market Data'!$Y$52*'Mkt Pen Veh-Mi'!S38</f>
        <v>4.6460781858102034E-6</v>
      </c>
      <c r="T38" s="433">
        <f t="shared" si="6"/>
        <v>9.1775072549370451E-2</v>
      </c>
      <c r="U38" s="434">
        <f t="shared" si="8"/>
        <v>0.90822492745062955</v>
      </c>
    </row>
    <row r="39" spans="1:21" ht="15" x14ac:dyDescent="0.25">
      <c r="A39" s="403">
        <v>2037</v>
      </c>
      <c r="B39" s="423">
        <f>'Market Data'!$E$52*'Mkt Pen Veh-Mi'!B39</f>
        <v>1.29619303791667E-2</v>
      </c>
      <c r="C39" s="424">
        <f>'Market Data'!$E$52*'Mkt Pen Veh-Mi'!C39</f>
        <v>0.23810642635767262</v>
      </c>
      <c r="D39" s="424">
        <f>'Market Data'!$E$52*'Mkt Pen Veh-Mi'!D39</f>
        <v>0.23707689877579985</v>
      </c>
      <c r="E39" s="700">
        <f>'Market Data'!$E$52*'Mkt Pen Veh-Mi'!E39</f>
        <v>0.1802280410029248</v>
      </c>
      <c r="F39" s="700">
        <f>'Market Data'!$E$52*'Mkt Pen Veh-Mi'!F39</f>
        <v>5.5917531968333154E-5</v>
      </c>
      <c r="G39" s="705">
        <f>'Market Data'!$E$52*'Mkt Pen Veh-Mi'!G39</f>
        <v>3.3692394230190158E-8</v>
      </c>
      <c r="H39" s="423">
        <f>'Market Data'!$O$52*'Mkt Pen Veh-Mi'!H39</f>
        <v>4.0306030084935905E-2</v>
      </c>
      <c r="I39" s="424">
        <f>'Market Data'!$O$52*'Mkt Pen Veh-Mi'!I39</f>
        <v>9.1331724805476258E-2</v>
      </c>
      <c r="J39" s="424">
        <f>'Market Data'!$O$52*'Mkt Pen Veh-Mi'!J39</f>
        <v>9.1226045078246193E-2</v>
      </c>
      <c r="K39" s="700">
        <f>'Market Data'!$O$52*'Mkt Pen Veh-Mi'!K39</f>
        <v>1.7781198936920695E-2</v>
      </c>
      <c r="L39" s="700">
        <f>'Market Data'!$O$52*'Mkt Pen Veh-Mi'!L39</f>
        <v>0</v>
      </c>
      <c r="M39" s="705">
        <f>'Market Data'!$O$52*'Mkt Pen Veh-Mi'!M39</f>
        <v>1.2473460669160045E-3</v>
      </c>
      <c r="N39" s="423">
        <f>'Market Data'!$Y$52*'Mkt Pen Veh-Mi'!N39</f>
        <v>3.8503243137553246E-2</v>
      </c>
      <c r="O39" s="424">
        <f>'Market Data'!$Y$52*'Mkt Pen Veh-Mi'!O39</f>
        <v>1.5797964340904986E-2</v>
      </c>
      <c r="P39" s="424">
        <f>'Market Data'!$Y$52*'Mkt Pen Veh-Mi'!P39</f>
        <v>2.1668114213385985E-2</v>
      </c>
      <c r="Q39" s="700">
        <f>'Market Data'!$Y$52*'Mkt Pen Veh-Mi'!Q39</f>
        <v>1.1614803926248307E-2</v>
      </c>
      <c r="R39" s="700">
        <f>'Market Data'!$Y$52*'Mkt Pen Veh-Mi'!R39</f>
        <v>2.0873147685700074E-3</v>
      </c>
      <c r="S39" s="705">
        <f>'Market Data'!$Y$52*'Mkt Pen Veh-Mi'!S39</f>
        <v>6.966900915783327E-6</v>
      </c>
      <c r="T39" s="423">
        <f t="shared" si="6"/>
        <v>9.177120360165586E-2</v>
      </c>
      <c r="U39" s="425">
        <f t="shared" si="8"/>
        <v>0.90822879639834408</v>
      </c>
    </row>
    <row r="40" spans="1:21" ht="15" x14ac:dyDescent="0.25">
      <c r="A40" s="403">
        <v>2038</v>
      </c>
      <c r="B40" s="423">
        <f>'Market Data'!$E$52*'Mkt Pen Veh-Mi'!B40</f>
        <v>1.2440550109934738E-2</v>
      </c>
      <c r="C40" s="424">
        <f>'Market Data'!$E$52*'Mkt Pen Veh-Mi'!C40</f>
        <v>0.23841864075705746</v>
      </c>
      <c r="D40" s="424">
        <f>'Market Data'!$E$52*'Mkt Pen Veh-Mi'!D40</f>
        <v>0.23720411656815524</v>
      </c>
      <c r="E40" s="700">
        <f>'Market Data'!$E$52*'Mkt Pen Veh-Mi'!E40</f>
        <v>0.18012492200268362</v>
      </c>
      <c r="F40" s="700">
        <f>'Market Data'!$E$52*'Mkt Pen Veh-Mi'!F40</f>
        <v>2.2989198173013715E-4</v>
      </c>
      <c r="G40" s="705">
        <f>'Market Data'!$E$52*'Mkt Pen Veh-Mi'!G40</f>
        <v>1.1126320365326669E-5</v>
      </c>
      <c r="H40" s="423">
        <f>'Market Data'!$O$52*'Mkt Pen Veh-Mi'!H40</f>
        <v>4.0305742058510077E-2</v>
      </c>
      <c r="I40" s="424">
        <f>'Market Data'!$O$52*'Mkt Pen Veh-Mi'!I40</f>
        <v>8.4736957178133732E-2</v>
      </c>
      <c r="J40" s="424">
        <f>'Market Data'!$O$52*'Mkt Pen Veh-Mi'!J40</f>
        <v>8.4698987868339445E-2</v>
      </c>
      <c r="K40" s="700">
        <f>'Market Data'!$O$52*'Mkt Pen Veh-Mi'!K40</f>
        <v>1.9074386964115092E-2</v>
      </c>
      <c r="L40" s="700">
        <f>'Market Data'!$O$52*'Mkt Pen Veh-Mi'!L40</f>
        <v>0</v>
      </c>
      <c r="M40" s="705">
        <f>'Market Data'!$O$52*'Mkt Pen Veh-Mi'!M40</f>
        <v>1.3076270903396754E-2</v>
      </c>
      <c r="N40" s="423">
        <f>'Market Data'!$Y$52*'Mkt Pen Veh-Mi'!N40</f>
        <v>3.8503044379655182E-2</v>
      </c>
      <c r="O40" s="424">
        <f>'Market Data'!$Y$52*'Mkt Pen Veh-Mi'!O40</f>
        <v>1.5982117059580671E-2</v>
      </c>
      <c r="P40" s="424">
        <f>'Market Data'!$Y$52*'Mkt Pen Veh-Mi'!P40</f>
        <v>2.1332580148705736E-2</v>
      </c>
      <c r="Q40" s="700">
        <f>'Market Data'!$Y$52*'Mkt Pen Veh-Mi'!Q40</f>
        <v>1.1564188654185074E-2</v>
      </c>
      <c r="R40" s="700">
        <f>'Market Data'!$Y$52*'Mkt Pen Veh-Mi'!R40</f>
        <v>2.2724413401120627E-3</v>
      </c>
      <c r="S40" s="705">
        <f>'Market Data'!$Y$52*'Mkt Pen Veh-Mi'!S40</f>
        <v>2.40357053395848E-5</v>
      </c>
      <c r="T40" s="423">
        <f t="shared" si="6"/>
        <v>9.1249336548099996E-2</v>
      </c>
      <c r="U40" s="425">
        <f t="shared" si="8"/>
        <v>0.90875066345190003</v>
      </c>
    </row>
    <row r="41" spans="1:21" ht="15" x14ac:dyDescent="0.25">
      <c r="A41" s="403">
        <v>2039</v>
      </c>
      <c r="B41" s="423">
        <f>'Market Data'!$E$52*'Mkt Pen Veh-Mi'!B41</f>
        <v>1.2309207681125986E-2</v>
      </c>
      <c r="C41" s="424">
        <f>'Market Data'!$E$52*'Mkt Pen Veh-Mi'!C41</f>
        <v>0.23668051263913881</v>
      </c>
      <c r="D41" s="424">
        <f>'Market Data'!$E$52*'Mkt Pen Veh-Mi'!D41</f>
        <v>0.2353946141072904</v>
      </c>
      <c r="E41" s="700">
        <f>'Market Data'!$E$52*'Mkt Pen Veh-Mi'!E41</f>
        <v>0.17911763385673585</v>
      </c>
      <c r="F41" s="700">
        <f>'Market Data'!$E$52*'Mkt Pen Veh-Mi'!F41</f>
        <v>6.9882150506679185E-4</v>
      </c>
      <c r="G41" s="705">
        <f>'Market Data'!$E$52*'Mkt Pen Veh-Mi'!G41</f>
        <v>4.2284579505686686E-3</v>
      </c>
      <c r="H41" s="423">
        <f>'Market Data'!$O$52*'Mkt Pen Veh-Mi'!H41</f>
        <v>4.0305636099302405E-2</v>
      </c>
      <c r="I41" s="424">
        <f>'Market Data'!$O$52*'Mkt Pen Veh-Mi'!I41</f>
        <v>7.7431029347277067E-2</v>
      </c>
      <c r="J41" s="424">
        <f>'Market Data'!$O$52*'Mkt Pen Veh-Mi'!J41</f>
        <v>7.7396333709872978E-2</v>
      </c>
      <c r="K41" s="700">
        <f>'Market Data'!$O$52*'Mkt Pen Veh-Mi'!K41</f>
        <v>2.1449448686015192E-2</v>
      </c>
      <c r="L41" s="700">
        <f>'Market Data'!$O$52*'Mkt Pen Veh-Mi'!L41</f>
        <v>0</v>
      </c>
      <c r="M41" s="705">
        <f>'Market Data'!$O$52*'Mkt Pen Veh-Mi'!M41</f>
        <v>2.5309897130027466E-2</v>
      </c>
      <c r="N41" s="423">
        <f>'Market Data'!$Y$52*'Mkt Pen Veh-Mi'!N41</f>
        <v>3.7283113528655223E-2</v>
      </c>
      <c r="O41" s="424">
        <f>'Market Data'!$Y$52*'Mkt Pen Veh-Mi'!O41</f>
        <v>1.6092962458398474E-2</v>
      </c>
      <c r="P41" s="424">
        <f>'Market Data'!$Y$52*'Mkt Pen Veh-Mi'!P41</f>
        <v>2.2189965639794206E-2</v>
      </c>
      <c r="Q41" s="700">
        <f>'Market Data'!$Y$52*'Mkt Pen Veh-Mi'!Q41</f>
        <v>1.1557060870998661E-2</v>
      </c>
      <c r="R41" s="700">
        <f>'Market Data'!$Y$52*'Mkt Pen Veh-Mi'!R41</f>
        <v>2.4805793229725785E-3</v>
      </c>
      <c r="S41" s="705">
        <f>'Market Data'!$Y$52*'Mkt Pen Veh-Mi'!S41</f>
        <v>7.4725466759168819E-5</v>
      </c>
      <c r="T41" s="423">
        <f t="shared" si="6"/>
        <v>8.989795730908362E-2</v>
      </c>
      <c r="U41" s="425">
        <f t="shared" si="8"/>
        <v>0.91010204269091644</v>
      </c>
    </row>
    <row r="42" spans="1:21" ht="15" x14ac:dyDescent="0.25">
      <c r="A42" s="402">
        <v>2040</v>
      </c>
      <c r="B42" s="426">
        <f>'Market Data'!$E$52*'Mkt Pen Veh-Mi'!B42</f>
        <v>1.2223589341534696E-2</v>
      </c>
      <c r="C42" s="427">
        <f>'Market Data'!$E$52*'Mkt Pen Veh-Mi'!C42</f>
        <v>0.23175633638692841</v>
      </c>
      <c r="D42" s="427">
        <f>'Market Data'!$E$52*'Mkt Pen Veh-Mi'!D42</f>
        <v>0.23044076817599132</v>
      </c>
      <c r="E42" s="701">
        <f>'Market Data'!$E$52*'Mkt Pen Veh-Mi'!E42</f>
        <v>0.17655664848295011</v>
      </c>
      <c r="F42" s="701">
        <f>'Market Data'!$E$52*'Mkt Pen Veh-Mi'!F42</f>
        <v>1.8740839583597712E-3</v>
      </c>
      <c r="G42" s="706">
        <f>'Market Data'!$E$52*'Mkt Pen Veh-Mi'!G42</f>
        <v>1.5577821394162195E-2</v>
      </c>
      <c r="H42" s="426">
        <f>'Market Data'!$O$52*'Mkt Pen Veh-Mi'!H42</f>
        <v>3.9857821800201296E-2</v>
      </c>
      <c r="I42" s="427">
        <f>'Market Data'!$O$52*'Mkt Pen Veh-Mi'!I42</f>
        <v>7.2597009138773677E-2</v>
      </c>
      <c r="J42" s="427">
        <f>'Market Data'!$O$52*'Mkt Pen Veh-Mi'!J42</f>
        <v>7.2508064477055115E-2</v>
      </c>
      <c r="K42" s="701">
        <f>'Market Data'!$O$52*'Mkt Pen Veh-Mi'!K42</f>
        <v>2.5495924066297811E-2</v>
      </c>
      <c r="L42" s="701">
        <f>'Market Data'!$O$52*'Mkt Pen Veh-Mi'!L42</f>
        <v>0</v>
      </c>
      <c r="M42" s="706">
        <f>'Market Data'!$O$52*'Mkt Pen Veh-Mi'!M42</f>
        <v>3.1433525490167168E-2</v>
      </c>
      <c r="N42" s="426">
        <f>'Market Data'!$Y$52*'Mkt Pen Veh-Mi'!N42</f>
        <v>3.7283085988314084E-2</v>
      </c>
      <c r="O42" s="427">
        <f>'Market Data'!$Y$52*'Mkt Pen Veh-Mi'!O42</f>
        <v>1.6007628409516115E-2</v>
      </c>
      <c r="P42" s="427">
        <f>'Market Data'!$Y$52*'Mkt Pen Veh-Mi'!P42</f>
        <v>2.1828229362029317E-2</v>
      </c>
      <c r="Q42" s="701">
        <f>'Market Data'!$Y$52*'Mkt Pen Veh-Mi'!Q42</f>
        <v>1.1573543500411846E-2</v>
      </c>
      <c r="R42" s="701">
        <f>'Market Data'!$Y$52*'Mkt Pen Veh-Mi'!R42</f>
        <v>2.7662871885097066E-3</v>
      </c>
      <c r="S42" s="706">
        <f>'Market Data'!$Y$52*'Mkt Pen Veh-Mi'!S42</f>
        <v>2.1963283879724655E-4</v>
      </c>
      <c r="T42" s="426">
        <f t="shared" si="6"/>
        <v>8.9364497130050069E-2</v>
      </c>
      <c r="U42" s="428">
        <f t="shared" si="8"/>
        <v>0.91063550286994976</v>
      </c>
    </row>
    <row r="43" spans="1:21" ht="15" x14ac:dyDescent="0.25">
      <c r="A43" s="403">
        <v>2041</v>
      </c>
      <c r="B43" s="430">
        <f>'Market Data'!$E$52*'Mkt Pen Veh-Mi'!B43</f>
        <v>1.2223542661823742E-2</v>
      </c>
      <c r="C43" s="431">
        <f>'Market Data'!$E$52*'Mkt Pen Veh-Mi'!C43</f>
        <v>0.22709842174369033</v>
      </c>
      <c r="D43" s="431">
        <f>'Market Data'!$E$52*'Mkt Pen Veh-Mi'!D43</f>
        <v>0.22580047992108204</v>
      </c>
      <c r="E43" s="702">
        <f>'Market Data'!$E$52*'Mkt Pen Veh-Mi'!E43</f>
        <v>0.17412055298896353</v>
      </c>
      <c r="F43" s="702">
        <f>'Market Data'!$E$52*'Mkt Pen Veh-Mi'!F43</f>
        <v>4.4494333476718844E-3</v>
      </c>
      <c r="G43" s="707">
        <f>'Market Data'!$E$52*'Mkt Pen Veh-Mi'!G43</f>
        <v>2.4736817076694857E-2</v>
      </c>
      <c r="H43" s="430">
        <f>'Market Data'!$O$52*'Mkt Pen Veh-Mi'!H43</f>
        <v>3.9857807428314997E-2</v>
      </c>
      <c r="I43" s="431">
        <f>'Market Data'!$O$52*'Mkt Pen Veh-Mi'!I43</f>
        <v>6.8857700209876582E-2</v>
      </c>
      <c r="J43" s="431">
        <f>'Market Data'!$O$52*'Mkt Pen Veh-Mi'!J43</f>
        <v>6.8771850132925402E-2</v>
      </c>
      <c r="K43" s="702">
        <f>'Market Data'!$O$52*'Mkt Pen Veh-Mi'!K43</f>
        <v>2.9908199763906452E-2</v>
      </c>
      <c r="L43" s="702">
        <f>'Market Data'!$O$52*'Mkt Pen Veh-Mi'!L43</f>
        <v>0</v>
      </c>
      <c r="M43" s="707">
        <f>'Market Data'!$O$52*'Mkt Pen Veh-Mi'!M43</f>
        <v>3.4496787437471657E-2</v>
      </c>
      <c r="N43" s="430">
        <f>'Market Data'!$Y$52*'Mkt Pen Veh-Mi'!N43</f>
        <v>3.7283075856781471E-2</v>
      </c>
      <c r="O43" s="431">
        <f>'Market Data'!$Y$52*'Mkt Pen Veh-Mi'!O43</f>
        <v>1.5753536224199866E-2</v>
      </c>
      <c r="P43" s="431">
        <f>'Market Data'!$Y$52*'Mkt Pen Veh-Mi'!P43</f>
        <v>2.1546854774641976E-2</v>
      </c>
      <c r="Q43" s="702">
        <f>'Market Data'!$Y$52*'Mkt Pen Veh-Mi'!Q43</f>
        <v>1.1357070066213839E-2</v>
      </c>
      <c r="R43" s="702">
        <f>'Market Data'!$Y$52*'Mkt Pen Veh-Mi'!R43</f>
        <v>3.2127303834428699E-3</v>
      </c>
      <c r="S43" s="707">
        <f>'Market Data'!$Y$52*'Mkt Pen Veh-Mi'!S43</f>
        <v>5.2513998229827526E-4</v>
      </c>
      <c r="T43" s="433">
        <f t="shared" si="6"/>
        <v>8.9364425946920206E-2</v>
      </c>
      <c r="U43" s="434">
        <f t="shared" si="8"/>
        <v>0.9106355740530796</v>
      </c>
    </row>
    <row r="44" spans="1:21" ht="15" x14ac:dyDescent="0.25">
      <c r="A44" s="403">
        <v>2042</v>
      </c>
      <c r="B44" s="423">
        <f>'Market Data'!$E$52*'Mkt Pen Veh-Mi'!B44</f>
        <v>1.2223525489316215E-2</v>
      </c>
      <c r="C44" s="424">
        <f>'Market Data'!$E$52*'Mkt Pen Veh-Mi'!C44</f>
        <v>0.22216836239678017</v>
      </c>
      <c r="D44" s="424">
        <f>'Market Data'!$E$52*'Mkt Pen Veh-Mi'!D44</f>
        <v>0.22094171856937594</v>
      </c>
      <c r="E44" s="700">
        <f>'Market Data'!$E$52*'Mkt Pen Veh-Mi'!E44</f>
        <v>0.16874660965908758</v>
      </c>
      <c r="F44" s="700">
        <f>'Market Data'!$E$52*'Mkt Pen Veh-Mi'!F44</f>
        <v>1.3025501301343504E-2</v>
      </c>
      <c r="G44" s="705">
        <f>'Market Data'!$E$52*'Mkt Pen Veh-Mi'!G44</f>
        <v>3.1323530324023179E-2</v>
      </c>
      <c r="H44" s="423">
        <f>'Market Data'!$O$52*'Mkt Pen Veh-Mi'!H44</f>
        <v>3.8334096648775996E-2</v>
      </c>
      <c r="I44" s="424">
        <f>'Market Data'!$O$52*'Mkt Pen Veh-Mi'!I44</f>
        <v>6.5805346454364991E-2</v>
      </c>
      <c r="J44" s="424">
        <f>'Market Data'!$O$52*'Mkt Pen Veh-Mi'!J44</f>
        <v>6.5716573989289845E-2</v>
      </c>
      <c r="K44" s="700">
        <f>'Market Data'!$O$52*'Mkt Pen Veh-Mi'!K44</f>
        <v>3.5918418733052009E-2</v>
      </c>
      <c r="L44" s="700">
        <f>'Market Data'!$O$52*'Mkt Pen Veh-Mi'!L44</f>
        <v>7.2716182088186234E-6</v>
      </c>
      <c r="M44" s="705">
        <f>'Market Data'!$O$52*'Mkt Pen Veh-Mi'!M44</f>
        <v>3.611063752880344E-2</v>
      </c>
      <c r="N44" s="423">
        <f>'Market Data'!$Y$52*'Mkt Pen Veh-Mi'!N44</f>
        <v>3.727167591825236E-2</v>
      </c>
      <c r="O44" s="424">
        <f>'Market Data'!$Y$52*'Mkt Pen Veh-Mi'!O44</f>
        <v>1.5287468333182406E-2</v>
      </c>
      <c r="P44" s="424">
        <f>'Market Data'!$Y$52*'Mkt Pen Veh-Mi'!P44</f>
        <v>2.1018321654943588E-2</v>
      </c>
      <c r="Q44" s="700">
        <f>'Market Data'!$Y$52*'Mkt Pen Veh-Mi'!Q44</f>
        <v>1.0973798797937017E-2</v>
      </c>
      <c r="R44" s="700">
        <f>'Market Data'!$Y$52*'Mkt Pen Veh-Mi'!R44</f>
        <v>3.9285856734638646E-3</v>
      </c>
      <c r="S44" s="705">
        <f>'Market Data'!$Y$52*'Mkt Pen Veh-Mi'!S44</f>
        <v>1.1985569097990811E-3</v>
      </c>
      <c r="T44" s="423">
        <f t="shared" si="6"/>
        <v>8.7829298056344568E-2</v>
      </c>
      <c r="U44" s="425">
        <f t="shared" si="8"/>
        <v>0.91217070194365546</v>
      </c>
    </row>
    <row r="45" spans="1:21" ht="15" x14ac:dyDescent="0.25">
      <c r="A45" s="403">
        <v>2043</v>
      </c>
      <c r="B45" s="423">
        <f>'Market Data'!$E$52*'Mkt Pen Veh-Mi'!B45</f>
        <v>1.2223519171903318E-2</v>
      </c>
      <c r="C45" s="424">
        <f>'Market Data'!$E$52*'Mkt Pen Veh-Mi'!C45</f>
        <v>0.21431659991106558</v>
      </c>
      <c r="D45" s="424">
        <f>'Market Data'!$E$52*'Mkt Pen Veh-Mi'!D45</f>
        <v>0.21312003048875142</v>
      </c>
      <c r="E45" s="700">
        <f>'Market Data'!$E$52*'Mkt Pen Veh-Mi'!E45</f>
        <v>0.1623766202027451</v>
      </c>
      <c r="F45" s="700">
        <f>'Market Data'!$E$52*'Mkt Pen Veh-Mi'!F45</f>
        <v>3.1663335912289113E-2</v>
      </c>
      <c r="G45" s="705">
        <f>'Market Data'!$E$52*'Mkt Pen Veh-Mi'!G45</f>
        <v>3.4729142053171923E-2</v>
      </c>
      <c r="H45" s="423">
        <f>'Market Data'!$O$52*'Mkt Pen Veh-Mi'!H45</f>
        <v>3.2287153317388441E-2</v>
      </c>
      <c r="I45" s="424">
        <f>'Market Data'!$O$52*'Mkt Pen Veh-Mi'!I45</f>
        <v>6.4147599565805943E-2</v>
      </c>
      <c r="J45" s="424">
        <f>'Market Data'!$O$52*'Mkt Pen Veh-Mi'!J45</f>
        <v>6.4043545797595247E-2</v>
      </c>
      <c r="K45" s="700">
        <f>'Market Data'!$O$52*'Mkt Pen Veh-Mi'!K45</f>
        <v>4.2639696806509135E-2</v>
      </c>
      <c r="L45" s="700">
        <f>'Market Data'!$O$52*'Mkt Pen Veh-Mi'!L45</f>
        <v>3.6491038692240105E-4</v>
      </c>
      <c r="M45" s="705">
        <f>'Market Data'!$O$52*'Mkt Pen Veh-Mi'!M45</f>
        <v>3.8409439098273948E-2</v>
      </c>
      <c r="N45" s="423">
        <f>'Market Data'!$Y$52*'Mkt Pen Veh-Mi'!N45</f>
        <v>3.7271674546799784E-2</v>
      </c>
      <c r="O45" s="424">
        <f>'Market Data'!$Y$52*'Mkt Pen Veh-Mi'!O45</f>
        <v>1.4674825181982983E-2</v>
      </c>
      <c r="P45" s="424">
        <f>'Market Data'!$Y$52*'Mkt Pen Veh-Mi'!P45</f>
        <v>2.0240106470592184E-2</v>
      </c>
      <c r="Q45" s="700">
        <f>'Market Data'!$Y$52*'Mkt Pen Veh-Mi'!Q45</f>
        <v>1.0507041020274393E-2</v>
      </c>
      <c r="R45" s="700">
        <f>'Market Data'!$Y$52*'Mkt Pen Veh-Mi'!R45</f>
        <v>4.866673922929254E-3</v>
      </c>
      <c r="S45" s="705">
        <f>'Market Data'!$Y$52*'Mkt Pen Veh-Mi'!S45</f>
        <v>2.1180861449997118E-3</v>
      </c>
      <c r="T45" s="423">
        <f t="shared" si="6"/>
        <v>8.1782347036091552E-2</v>
      </c>
      <c r="U45" s="425">
        <f t="shared" si="8"/>
        <v>0.91821765296390834</v>
      </c>
    </row>
    <row r="46" spans="1:21" ht="15" x14ac:dyDescent="0.25">
      <c r="A46" s="403">
        <v>2044</v>
      </c>
      <c r="B46" s="423">
        <f>'Market Data'!$E$52*'Mkt Pen Veh-Mi'!B46</f>
        <v>1.2223516847857184E-2</v>
      </c>
      <c r="C46" s="424">
        <f>'Market Data'!$E$52*'Mkt Pen Veh-Mi'!C46</f>
        <v>0.20617417592322113</v>
      </c>
      <c r="D46" s="424">
        <f>'Market Data'!$E$52*'Mkt Pen Veh-Mi'!D46</f>
        <v>0.20495496076516279</v>
      </c>
      <c r="E46" s="700">
        <f>'Market Data'!$E$52*'Mkt Pen Veh-Mi'!E46</f>
        <v>0.15452816294287736</v>
      </c>
      <c r="F46" s="700">
        <f>'Market Data'!$E$52*'Mkt Pen Veh-Mi'!F46</f>
        <v>5.4318200691085373E-2</v>
      </c>
      <c r="G46" s="705">
        <f>'Market Data'!$E$52*'Mkt Pen Veh-Mi'!G46</f>
        <v>3.6230230569722729E-2</v>
      </c>
      <c r="H46" s="423">
        <f>'Market Data'!$O$52*'Mkt Pen Veh-Mi'!H46</f>
        <v>2.8647379246916505E-2</v>
      </c>
      <c r="I46" s="424">
        <f>'Market Data'!$O$52*'Mkt Pen Veh-Mi'!I46</f>
        <v>6.2270204171916338E-2</v>
      </c>
      <c r="J46" s="424">
        <f>'Market Data'!$O$52*'Mkt Pen Veh-Mi'!J46</f>
        <v>6.2190799728647411E-2</v>
      </c>
      <c r="K46" s="700">
        <f>'Market Data'!$O$52*'Mkt Pen Veh-Mi'!K46</f>
        <v>4.7962143531708128E-2</v>
      </c>
      <c r="L46" s="700">
        <f>'Market Data'!$O$52*'Mkt Pen Veh-Mi'!L46</f>
        <v>1.5246743712185816E-3</v>
      </c>
      <c r="M46" s="705">
        <f>'Market Data'!$O$52*'Mkt Pen Veh-Mi'!M46</f>
        <v>3.9297143922088135E-2</v>
      </c>
      <c r="N46" s="423">
        <f>'Market Data'!$Y$52*'Mkt Pen Veh-Mi'!N46</f>
        <v>3.7283070254024116E-2</v>
      </c>
      <c r="O46" s="424">
        <f>'Market Data'!$Y$52*'Mkt Pen Veh-Mi'!O46</f>
        <v>1.3998882058697842E-2</v>
      </c>
      <c r="P46" s="424">
        <f>'Market Data'!$Y$52*'Mkt Pen Veh-Mi'!P46</f>
        <v>1.9268419664240075E-2</v>
      </c>
      <c r="Q46" s="700">
        <f>'Market Data'!$Y$52*'Mkt Pen Veh-Mi'!Q46</f>
        <v>1.0045645805691001E-2</v>
      </c>
      <c r="R46" s="700">
        <f>'Market Data'!$Y$52*'Mkt Pen Veh-Mi'!R46</f>
        <v>5.9401114835250131E-3</v>
      </c>
      <c r="S46" s="705">
        <f>'Market Data'!$Y$52*'Mkt Pen Veh-Mi'!S46</f>
        <v>3.1422780214002593E-3</v>
      </c>
      <c r="T46" s="423">
        <f t="shared" si="6"/>
        <v>7.8153966348797801E-2</v>
      </c>
      <c r="U46" s="425">
        <f t="shared" si="8"/>
        <v>0.9218460336512021</v>
      </c>
    </row>
    <row r="47" spans="1:21" ht="15" x14ac:dyDescent="0.25">
      <c r="A47" s="402">
        <v>2045</v>
      </c>
      <c r="B47" s="426">
        <f>'Market Data'!$E$52*'Mkt Pen Veh-Mi'!B47</f>
        <v>1.2223515992888298E-2</v>
      </c>
      <c r="C47" s="427">
        <f>'Market Data'!$E$52*'Mkt Pen Veh-Mi'!C47</f>
        <v>0.19764385908614365</v>
      </c>
      <c r="D47" s="427">
        <f>'Market Data'!$E$52*'Mkt Pen Veh-Mi'!D47</f>
        <v>0.19647207769038272</v>
      </c>
      <c r="E47" s="701">
        <f>'Market Data'!$E$52*'Mkt Pen Veh-Mi'!E47</f>
        <v>0.1480891044922813</v>
      </c>
      <c r="F47" s="701">
        <f>'Market Data'!$E$52*'Mkt Pen Veh-Mi'!F47</f>
        <v>7.5884165267231962E-2</v>
      </c>
      <c r="G47" s="706">
        <f>'Market Data'!$E$52*'Mkt Pen Veh-Mi'!G47</f>
        <v>3.8116525210998599E-2</v>
      </c>
      <c r="H47" s="426">
        <f>'Market Data'!$O$52*'Mkt Pen Veh-Mi'!H47</f>
        <v>2.4794217052056505E-2</v>
      </c>
      <c r="I47" s="427">
        <f>'Market Data'!$O$52*'Mkt Pen Veh-Mi'!I47</f>
        <v>6.1145795342047157E-2</v>
      </c>
      <c r="J47" s="427">
        <f>'Market Data'!$O$52*'Mkt Pen Veh-Mi'!J47</f>
        <v>6.1073032861514241E-2</v>
      </c>
      <c r="K47" s="701">
        <f>'Market Data'!$O$52*'Mkt Pen Veh-Mi'!K47</f>
        <v>5.1390050984871399E-2</v>
      </c>
      <c r="L47" s="701">
        <f>'Market Data'!$O$52*'Mkt Pen Veh-Mi'!L47</f>
        <v>2.8800216493282999E-3</v>
      </c>
      <c r="M47" s="706">
        <f>'Market Data'!$O$52*'Mkt Pen Veh-Mi'!M47</f>
        <v>4.0609227082677453E-2</v>
      </c>
      <c r="N47" s="426">
        <f>'Market Data'!$Y$52*'Mkt Pen Veh-Mi'!N47</f>
        <v>3.7283070068458553E-2</v>
      </c>
      <c r="O47" s="427">
        <f>'Market Data'!$Y$52*'Mkt Pen Veh-Mi'!O47</f>
        <v>1.3250731218831106E-2</v>
      </c>
      <c r="P47" s="427">
        <f>'Market Data'!$Y$52*'Mkt Pen Veh-Mi'!P47</f>
        <v>1.8131648306821051E-2</v>
      </c>
      <c r="Q47" s="701">
        <f>'Market Data'!$Y$52*'Mkt Pen Veh-Mi'!Q47</f>
        <v>9.5736586105810845E-3</v>
      </c>
      <c r="R47" s="701">
        <f>'Market Data'!$Y$52*'Mkt Pen Veh-Mi'!R47</f>
        <v>7.1013368653351679E-3</v>
      </c>
      <c r="S47" s="706">
        <f>'Market Data'!$Y$52*'Mkt Pen Veh-Mi'!S47</f>
        <v>4.3379622175513484E-3</v>
      </c>
      <c r="T47" s="426">
        <f t="shared" si="6"/>
        <v>7.4300803113403355E-2</v>
      </c>
      <c r="U47" s="428">
        <f t="shared" si="8"/>
        <v>0.92569919688659641</v>
      </c>
    </row>
    <row r="48" spans="1:21" ht="15" x14ac:dyDescent="0.25">
      <c r="A48" s="403">
        <v>2046</v>
      </c>
      <c r="B48" s="430">
        <f>'Market Data'!$E$52*'Mkt Pen Veh-Mi'!B48</f>
        <v>1.230900746999038E-2</v>
      </c>
      <c r="C48" s="431">
        <f>'Market Data'!$E$52*'Mkt Pen Veh-Mi'!C48</f>
        <v>0.19310992949177638</v>
      </c>
      <c r="D48" s="431">
        <f>'Market Data'!$E$52*'Mkt Pen Veh-Mi'!D48</f>
        <v>0.19199832901557704</v>
      </c>
      <c r="E48" s="702">
        <f>'Market Data'!$E$52*'Mkt Pen Veh-Mi'!E48</f>
        <v>0.14404622275114465</v>
      </c>
      <c r="F48" s="702">
        <f>'Market Data'!$E$52*'Mkt Pen Veh-Mi'!F48</f>
        <v>8.7135447182131162E-2</v>
      </c>
      <c r="G48" s="707">
        <f>'Market Data'!$E$52*'Mkt Pen Veh-Mi'!G48</f>
        <v>3.983031182930695E-2</v>
      </c>
      <c r="H48" s="430">
        <f>'Market Data'!$O$52*'Mkt Pen Veh-Mi'!H48</f>
        <v>2.2394396936201152E-2</v>
      </c>
      <c r="I48" s="431">
        <f>'Market Data'!$O$52*'Mkt Pen Veh-Mi'!I48</f>
        <v>6.0414715778588791E-2</v>
      </c>
      <c r="J48" s="431">
        <f>'Market Data'!$O$52*'Mkt Pen Veh-Mi'!J48</f>
        <v>6.0256186571216085E-2</v>
      </c>
      <c r="K48" s="702">
        <f>'Market Data'!$O$52*'Mkt Pen Veh-Mi'!K48</f>
        <v>5.365919704793292E-2</v>
      </c>
      <c r="L48" s="702">
        <f>'Market Data'!$O$52*'Mkt Pen Veh-Mi'!L48</f>
        <v>3.8970420181211824E-3</v>
      </c>
      <c r="M48" s="707">
        <f>'Market Data'!$O$52*'Mkt Pen Veh-Mi'!M48</f>
        <v>4.1270806620434933E-2</v>
      </c>
      <c r="N48" s="430">
        <f>'Market Data'!$Y$52*'Mkt Pen Veh-Mi'!N48</f>
        <v>3.7283070000192792E-2</v>
      </c>
      <c r="O48" s="431">
        <f>'Market Data'!$Y$52*'Mkt Pen Veh-Mi'!O48</f>
        <v>1.2736939204152094E-2</v>
      </c>
      <c r="P48" s="431">
        <f>'Market Data'!$Y$52*'Mkt Pen Veh-Mi'!P48</f>
        <v>1.7329391014535064E-2</v>
      </c>
      <c r="Q48" s="702">
        <f>'Market Data'!$Y$52*'Mkt Pen Veh-Mi'!Q48</f>
        <v>9.2620342340106829E-3</v>
      </c>
      <c r="R48" s="702">
        <f>'Market Data'!$Y$52*'Mkt Pen Veh-Mi'!R48</f>
        <v>7.869389348042358E-3</v>
      </c>
      <c r="S48" s="707">
        <f>'Market Data'!$Y$52*'Mkt Pen Veh-Mi'!S48</f>
        <v>5.1975834866453191E-3</v>
      </c>
      <c r="T48" s="433">
        <f t="shared" si="6"/>
        <v>7.1986474406384324E-2</v>
      </c>
      <c r="U48" s="434">
        <f t="shared" si="8"/>
        <v>0.92801352559361572</v>
      </c>
    </row>
    <row r="49" spans="1:21" ht="15" x14ac:dyDescent="0.25">
      <c r="A49" s="403">
        <v>2047</v>
      </c>
      <c r="B49" s="423">
        <f>'Market Data'!$E$52*'Mkt Pen Veh-Mi'!B49</f>
        <v>1.2440005133901031E-2</v>
      </c>
      <c r="C49" s="424">
        <f>'Market Data'!$E$52*'Mkt Pen Veh-Mi'!C49</f>
        <v>0.18936709425089296</v>
      </c>
      <c r="D49" s="424">
        <f>'Market Data'!$E$52*'Mkt Pen Veh-Mi'!D49</f>
        <v>0.18834598294304705</v>
      </c>
      <c r="E49" s="700">
        <f>'Market Data'!$E$52*'Mkt Pen Veh-Mi'!E49</f>
        <v>0.14114766075571641</v>
      </c>
      <c r="F49" s="700">
        <f>'Market Data'!$E$52*'Mkt Pen Veh-Mi'!F49</f>
        <v>9.4624137570754385E-2</v>
      </c>
      <c r="G49" s="705">
        <f>'Market Data'!$E$52*'Mkt Pen Veh-Mi'!G49</f>
        <v>4.2504367085614649E-2</v>
      </c>
      <c r="H49" s="423">
        <f>'Market Data'!$O$52*'Mkt Pen Veh-Mi'!H49</f>
        <v>2.1074829589888208E-2</v>
      </c>
      <c r="I49" s="424">
        <f>'Market Data'!$O$52*'Mkt Pen Veh-Mi'!I49</f>
        <v>5.9759886959256658E-2</v>
      </c>
      <c r="J49" s="424">
        <f>'Market Data'!$O$52*'Mkt Pen Veh-Mi'!J49</f>
        <v>5.973310948533276E-2</v>
      </c>
      <c r="K49" s="700">
        <f>'Market Data'!$O$52*'Mkt Pen Veh-Mi'!K49</f>
        <v>5.4733823943984586E-2</v>
      </c>
      <c r="L49" s="700">
        <f>'Market Data'!$O$52*'Mkt Pen Veh-Mi'!L49</f>
        <v>4.6881344556791273E-3</v>
      </c>
      <c r="M49" s="705">
        <f>'Market Data'!$O$52*'Mkt Pen Veh-Mi'!M49</f>
        <v>4.190256053835377E-2</v>
      </c>
      <c r="N49" s="423">
        <f>'Market Data'!$Y$52*'Mkt Pen Veh-Mi'!N49</f>
        <v>3.8493095105827602E-2</v>
      </c>
      <c r="O49" s="424">
        <f>'Market Data'!$Y$52*'Mkt Pen Veh-Mi'!O49</f>
        <v>1.2225196675201798E-2</v>
      </c>
      <c r="P49" s="424">
        <f>'Market Data'!$Y$52*'Mkt Pen Veh-Mi'!P49</f>
        <v>1.627120595420424E-2</v>
      </c>
      <c r="Q49" s="700">
        <f>'Market Data'!$Y$52*'Mkt Pen Veh-Mi'!Q49</f>
        <v>8.9157655737720134E-3</v>
      </c>
      <c r="R49" s="700">
        <f>'Market Data'!$Y$52*'Mkt Pen Veh-Mi'!R49</f>
        <v>8.0270700135942983E-3</v>
      </c>
      <c r="S49" s="705">
        <f>'Market Data'!$Y$52*'Mkt Pen Veh-Mi'!S49</f>
        <v>5.7460739649783576E-3</v>
      </c>
      <c r="T49" s="423">
        <f t="shared" si="6"/>
        <v>7.2007929829616846E-2</v>
      </c>
      <c r="U49" s="425">
        <f t="shared" si="8"/>
        <v>0.92799207017038299</v>
      </c>
    </row>
    <row r="50" spans="1:21" ht="15" x14ac:dyDescent="0.25">
      <c r="A50" s="403">
        <v>2048</v>
      </c>
      <c r="B50" s="423">
        <f>'Market Data'!$E$52*'Mkt Pen Veh-Mi'!B50</f>
        <v>1.2440005133901106E-2</v>
      </c>
      <c r="C50" s="424">
        <f>'Market Data'!$E$52*'Mkt Pen Veh-Mi'!C50</f>
        <v>0.18689654803771472</v>
      </c>
      <c r="D50" s="424">
        <f>'Market Data'!$E$52*'Mkt Pen Veh-Mi'!D50</f>
        <v>0.18589144922543074</v>
      </c>
      <c r="E50" s="700">
        <f>'Market Data'!$E$52*'Mkt Pen Veh-Mi'!E50</f>
        <v>0.1392190133435825</v>
      </c>
      <c r="F50" s="700">
        <f>'Market Data'!$E$52*'Mkt Pen Veh-Mi'!F50</f>
        <v>9.957132858549532E-2</v>
      </c>
      <c r="G50" s="705">
        <f>'Market Data'!$E$52*'Mkt Pen Veh-Mi'!G50</f>
        <v>4.4410903413802195E-2</v>
      </c>
      <c r="H50" s="423">
        <f>'Market Data'!$O$52*'Mkt Pen Veh-Mi'!H50</f>
        <v>1.8940780650307763E-2</v>
      </c>
      <c r="I50" s="424">
        <f>'Market Data'!$O$52*'Mkt Pen Veh-Mi'!I50</f>
        <v>5.940907078063333E-2</v>
      </c>
      <c r="J50" s="424">
        <f>'Market Data'!$O$52*'Mkt Pen Veh-Mi'!J50</f>
        <v>5.9382450501971225E-2</v>
      </c>
      <c r="K50" s="700">
        <f>'Market Data'!$O$52*'Mkt Pen Veh-Mi'!K50</f>
        <v>5.5908373431271079E-2</v>
      </c>
      <c r="L50" s="700">
        <f>'Market Data'!$O$52*'Mkt Pen Veh-Mi'!L50</f>
        <v>5.1379314080529899E-3</v>
      </c>
      <c r="M50" s="705">
        <f>'Market Data'!$O$52*'Mkt Pen Veh-Mi'!M50</f>
        <v>4.3113738200258725E-2</v>
      </c>
      <c r="N50" s="423">
        <f>'Market Data'!$Y$52*'Mkt Pen Veh-Mi'!N50</f>
        <v>3.8493095105827602E-2</v>
      </c>
      <c r="O50" s="424">
        <f>'Market Data'!$Y$52*'Mkt Pen Veh-Mi'!O50</f>
        <v>1.1993093494950703E-2</v>
      </c>
      <c r="P50" s="424">
        <f>'Market Data'!$Y$52*'Mkt Pen Veh-Mi'!P50</f>
        <v>1.5916040421263811E-2</v>
      </c>
      <c r="Q50" s="700">
        <f>'Market Data'!$Y$52*'Mkt Pen Veh-Mi'!Q50</f>
        <v>8.7783623546258509E-3</v>
      </c>
      <c r="R50" s="700">
        <f>'Market Data'!$Y$52*'Mkt Pen Veh-Mi'!R50</f>
        <v>8.2809482984595884E-3</v>
      </c>
      <c r="S50" s="705">
        <f>'Market Data'!$Y$52*'Mkt Pen Veh-Mi'!S50</f>
        <v>6.2168676124507551E-3</v>
      </c>
      <c r="T50" s="423">
        <f t="shared" si="6"/>
        <v>6.9873880890036461E-2</v>
      </c>
      <c r="U50" s="425">
        <f t="shared" si="8"/>
        <v>0.93012611910996368</v>
      </c>
    </row>
    <row r="51" spans="1:21" ht="15" x14ac:dyDescent="0.25">
      <c r="A51" s="403">
        <v>2049</v>
      </c>
      <c r="B51" s="423">
        <f>'Market Data'!$E$52*'Mkt Pen Veh-Mi'!B51</f>
        <v>1.2440005133900957E-2</v>
      </c>
      <c r="C51" s="424">
        <f>'Market Data'!$E$52*'Mkt Pen Veh-Mi'!C51</f>
        <v>0.18467402625381085</v>
      </c>
      <c r="D51" s="424">
        <f>'Market Data'!$E$52*'Mkt Pen Veh-Mi'!D51</f>
        <v>0.18368220526586429</v>
      </c>
      <c r="E51" s="700">
        <f>'Market Data'!$E$52*'Mkt Pen Veh-Mi'!E51</f>
        <v>0.13604987709119676</v>
      </c>
      <c r="F51" s="700">
        <f>'Market Data'!$E$52*'Mkt Pen Veh-Mi'!F51</f>
        <v>0.10284301792878224</v>
      </c>
      <c r="G51" s="705">
        <f>'Market Data'!$E$52*'Mkt Pen Veh-Mi'!G51</f>
        <v>4.8740116066371394E-2</v>
      </c>
      <c r="H51" s="423">
        <f>'Market Data'!$O$52*'Mkt Pen Veh-Mi'!H51</f>
        <v>1.7579886762071815E-2</v>
      </c>
      <c r="I51" s="424">
        <f>'Market Data'!$O$52*'Mkt Pen Veh-Mi'!I51</f>
        <v>5.9091168174948694E-2</v>
      </c>
      <c r="J51" s="424">
        <f>'Market Data'!$O$52*'Mkt Pen Veh-Mi'!J51</f>
        <v>5.9064690343489344E-2</v>
      </c>
      <c r="K51" s="700">
        <f>'Market Data'!$O$52*'Mkt Pen Veh-Mi'!K51</f>
        <v>5.6247729477187862E-2</v>
      </c>
      <c r="L51" s="700">
        <f>'Market Data'!$O$52*'Mkt Pen Veh-Mi'!L51</f>
        <v>5.5289580438651793E-3</v>
      </c>
      <c r="M51" s="705">
        <f>'Market Data'!$O$52*'Mkt Pen Veh-Mi'!M51</f>
        <v>4.4379912170932206E-2</v>
      </c>
      <c r="N51" s="423">
        <f>'Market Data'!$Y$52*'Mkt Pen Veh-Mi'!N51</f>
        <v>3.8498347868277258E-2</v>
      </c>
      <c r="O51" s="424">
        <f>'Market Data'!$Y$52*'Mkt Pen Veh-Mi'!O51</f>
        <v>1.1928209100528282E-2</v>
      </c>
      <c r="P51" s="424">
        <f>'Market Data'!$Y$52*'Mkt Pen Veh-Mi'!P51</f>
        <v>1.5805933637634988E-2</v>
      </c>
      <c r="Q51" s="700">
        <f>'Market Data'!$Y$52*'Mkt Pen Veh-Mi'!Q51</f>
        <v>8.7434038844004316E-3</v>
      </c>
      <c r="R51" s="700">
        <f>'Market Data'!$Y$52*'Mkt Pen Veh-Mi'!R51</f>
        <v>8.2397038165700851E-3</v>
      </c>
      <c r="S51" s="705">
        <f>'Market Data'!$Y$52*'Mkt Pen Veh-Mi'!S51</f>
        <v>6.4628089801672594E-3</v>
      </c>
      <c r="T51" s="423">
        <f t="shared" si="6"/>
        <v>6.8518239764250033E-2</v>
      </c>
      <c r="U51" s="425">
        <f t="shared" si="8"/>
        <v>0.93148176023574991</v>
      </c>
    </row>
    <row r="52" spans="1:21" ht="15.75" thickBot="1" x14ac:dyDescent="0.3">
      <c r="A52" s="404">
        <v>2050</v>
      </c>
      <c r="B52" s="435">
        <f>'Market Data'!$E$52*'Mkt Pen Veh-Mi'!B52</f>
        <v>1.2440005133900957E-2</v>
      </c>
      <c r="C52" s="436">
        <f>'Market Data'!$E$52*'Mkt Pen Veh-Mi'!C52</f>
        <v>0.18289972303810476</v>
      </c>
      <c r="D52" s="436">
        <f>'Market Data'!$E$52*'Mkt Pen Veh-Mi'!D52</f>
        <v>0.18191953245692458</v>
      </c>
      <c r="E52" s="703">
        <f>'Market Data'!$E$52*'Mkt Pen Veh-Mi'!E52</f>
        <v>0.13452246911006335</v>
      </c>
      <c r="F52" s="703">
        <f>'Market Data'!$E$52*'Mkt Pen Veh-Mi'!F52</f>
        <v>0.1052600276952695</v>
      </c>
      <c r="G52" s="708">
        <f>'Market Data'!$E$52*'Mkt Pen Veh-Mi'!G52</f>
        <v>5.1387490305663273E-2</v>
      </c>
      <c r="H52" s="435">
        <f>'Market Data'!$O$52*'Mkt Pen Veh-Mi'!H52</f>
        <v>1.6515925769265548E-2</v>
      </c>
      <c r="I52" s="436">
        <f>'Market Data'!$O$52*'Mkt Pen Veh-Mi'!I52</f>
        <v>5.8902813717486666E-2</v>
      </c>
      <c r="J52" s="436">
        <f>'Market Data'!$O$52*'Mkt Pen Veh-Mi'!J52</f>
        <v>5.8876420284723993E-2</v>
      </c>
      <c r="K52" s="703">
        <f>'Market Data'!$O$52*'Mkt Pen Veh-Mi'!K52</f>
        <v>5.6412563883635448E-2</v>
      </c>
      <c r="L52" s="703">
        <f>'Market Data'!$O$52*'Mkt Pen Veh-Mi'!L52</f>
        <v>5.9074474762757607E-3</v>
      </c>
      <c r="M52" s="708">
        <f>'Market Data'!$O$52*'Mkt Pen Veh-Mi'!M52</f>
        <v>4.5277173841107674E-2</v>
      </c>
      <c r="N52" s="435">
        <f>'Market Data'!$Y$52*'Mkt Pen Veh-Mi'!N52</f>
        <v>3.8498347868277265E-2</v>
      </c>
      <c r="O52" s="436">
        <f>'Market Data'!$Y$52*'Mkt Pen Veh-Mi'!O52</f>
        <v>1.1852933107038428E-2</v>
      </c>
      <c r="P52" s="436">
        <f>'Market Data'!$Y$52*'Mkt Pen Veh-Mi'!P52</f>
        <v>1.5693056832899711E-2</v>
      </c>
      <c r="Q52" s="703">
        <f>'Market Data'!$Y$52*'Mkt Pen Veh-Mi'!Q52</f>
        <v>8.6942246014021368E-3</v>
      </c>
      <c r="R52" s="703">
        <f>'Market Data'!$Y$52*'Mkt Pen Veh-Mi'!R52</f>
        <v>8.297478699758996E-3</v>
      </c>
      <c r="S52" s="708">
        <f>'Market Data'!$Y$52*'Mkt Pen Veh-Mi'!S52</f>
        <v>6.6423661782017713E-3</v>
      </c>
      <c r="T52" s="435">
        <f t="shared" si="6"/>
        <v>6.7454278771443776E-2</v>
      </c>
      <c r="U52" s="437">
        <f t="shared" si="8"/>
        <v>0.93254572122855617</v>
      </c>
    </row>
    <row r="53" spans="1:21" x14ac:dyDescent="0.2">
      <c r="A53" s="398"/>
      <c r="B53" s="398"/>
    </row>
    <row r="54" spans="1:21" x14ac:dyDescent="0.2">
      <c r="A54" s="408" t="str">
        <f>"Run id: '"&amp;'Run Model'!B3&amp;"'"</f>
        <v>Run id: 'BaSce FY2020 Final Run'</v>
      </c>
      <c r="B54" s="398"/>
    </row>
    <row r="55" spans="1:21" x14ac:dyDescent="0.2">
      <c r="A55" s="408" t="s">
        <v>126</v>
      </c>
      <c r="B55" s="398"/>
    </row>
    <row r="56" spans="1:21" x14ac:dyDescent="0.2">
      <c r="A56" s="473" t="str">
        <f>"Combination, Centrally Refueled: " &amp;TEXT(RtimeCls1Cent1,"mm/dd/yyyy hh:mm")</f>
        <v>Combination, Centrally Refueled: 04/26/2020 19:05</v>
      </c>
      <c r="B56" s="399"/>
    </row>
    <row r="57" spans="1:21" x14ac:dyDescent="0.2">
      <c r="A57" s="473" t="str">
        <f>"Combination, Non-Centrally Refueled: " &amp;TEXT(RtimeCls1NCent1,"mm/dd/yyyy hh:mm")</f>
        <v>Combination, Non-Centrally Refueled: 04/26/2020 19:05</v>
      </c>
    </row>
    <row r="58" spans="1:21" x14ac:dyDescent="0.2">
      <c r="A58" s="473" t="str">
        <f>"Single Unit, Centrally Refueled: " &amp;TEXT(RtimeCls2Cent1,"mm/dd/yyyy hh:mm")</f>
        <v>Single Unit, Centrally Refueled: 04/26/2020 19:05</v>
      </c>
    </row>
    <row r="59" spans="1:21" x14ac:dyDescent="0.2">
      <c r="A59" s="473" t="str">
        <f>"Single Unit, Non-Centrally Refueled: " &amp;TEXT(RtimeCls2NCent1,"mm/dd/yyyy hh:mm")</f>
        <v>Single Unit, Non-Centrally Refueled: 04/26/2020 19:05</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178"/>
    <col min="2" max="19" width="13.5703125" style="1178" customWidth="1"/>
    <col min="20" max="16384" width="9.140625" style="1178"/>
  </cols>
  <sheetData>
    <row r="1" spans="1:19" ht="15.75" x14ac:dyDescent="0.25">
      <c r="A1" s="1210" t="s">
        <v>314</v>
      </c>
    </row>
    <row r="3" spans="1:19" ht="15.75" thickBot="1" x14ac:dyDescent="0.3"/>
    <row r="4" spans="1:19" x14ac:dyDescent="0.25">
      <c r="A4" s="1179"/>
      <c r="B4" s="1616" t="s">
        <v>250</v>
      </c>
      <c r="C4" s="1617"/>
      <c r="D4" s="1617"/>
      <c r="E4" s="1617"/>
      <c r="F4" s="1617"/>
      <c r="G4" s="1618"/>
      <c r="H4" s="1616" t="s">
        <v>251</v>
      </c>
      <c r="I4" s="1617"/>
      <c r="J4" s="1617"/>
      <c r="K4" s="1617"/>
      <c r="L4" s="1617"/>
      <c r="M4" s="1618"/>
      <c r="N4" s="1616" t="s">
        <v>155</v>
      </c>
      <c r="O4" s="1617"/>
      <c r="P4" s="1617"/>
      <c r="Q4" s="1617"/>
      <c r="R4" s="1617"/>
      <c r="S4" s="1618"/>
    </row>
    <row r="5" spans="1:19" x14ac:dyDescent="0.25">
      <c r="A5" s="1180" t="s">
        <v>313</v>
      </c>
      <c r="B5" s="1622">
        <f>'Market Data'!C49/('Market Data'!E49+'Market Data'!C49)</f>
        <v>0.23038147668861172</v>
      </c>
      <c r="C5" s="1623"/>
      <c r="D5" s="1623"/>
      <c r="E5" s="1623"/>
      <c r="F5" s="1623"/>
      <c r="G5" s="1624"/>
      <c r="H5" s="1622">
        <f>'Market Data'!M49/('Market Data'!M49+'Market Data'!O49)</f>
        <v>0.61452169476443286</v>
      </c>
      <c r="I5" s="1623"/>
      <c r="J5" s="1623"/>
      <c r="K5" s="1623"/>
      <c r="L5" s="1623"/>
      <c r="M5" s="1624"/>
      <c r="N5" s="1622">
        <f>'Market Data'!W49/('Market Data'!W49+'Market Data'!Y49)</f>
        <v>0.39932829612730575</v>
      </c>
      <c r="O5" s="1623"/>
      <c r="P5" s="1623"/>
      <c r="Q5" s="1623"/>
      <c r="R5" s="1623"/>
      <c r="S5" s="1624"/>
    </row>
    <row r="6" spans="1:19" x14ac:dyDescent="0.25">
      <c r="A6" s="1180"/>
      <c r="B6" s="1619" t="s">
        <v>129</v>
      </c>
      <c r="C6" s="1620"/>
      <c r="D6" s="1620"/>
      <c r="E6" s="1620"/>
      <c r="F6" s="1620"/>
      <c r="G6" s="1621"/>
      <c r="H6" s="1619" t="s">
        <v>129</v>
      </c>
      <c r="I6" s="1620"/>
      <c r="J6" s="1620"/>
      <c r="K6" s="1620"/>
      <c r="L6" s="1620"/>
      <c r="M6" s="1621"/>
      <c r="N6" s="1619" t="s">
        <v>129</v>
      </c>
      <c r="O6" s="1620"/>
      <c r="P6" s="1620"/>
      <c r="Q6" s="1620"/>
      <c r="R6" s="1620"/>
      <c r="S6" s="1621"/>
    </row>
    <row r="7" spans="1:19" x14ac:dyDescent="0.25">
      <c r="A7" s="1180"/>
      <c r="B7" s="1181" t="s">
        <v>69</v>
      </c>
      <c r="C7" s="1182" t="s">
        <v>65</v>
      </c>
      <c r="D7" s="1182" t="s">
        <v>66</v>
      </c>
      <c r="E7" s="1182" t="s">
        <v>67</v>
      </c>
      <c r="F7" s="1182" t="s">
        <v>206</v>
      </c>
      <c r="G7" s="1183" t="s">
        <v>207</v>
      </c>
      <c r="H7" s="1181" t="s">
        <v>69</v>
      </c>
      <c r="I7" s="1182" t="s">
        <v>65</v>
      </c>
      <c r="J7" s="1182" t="s">
        <v>66</v>
      </c>
      <c r="K7" s="1182" t="s">
        <v>67</v>
      </c>
      <c r="L7" s="1182" t="s">
        <v>206</v>
      </c>
      <c r="M7" s="1183" t="s">
        <v>207</v>
      </c>
      <c r="N7" s="1181" t="s">
        <v>69</v>
      </c>
      <c r="O7" s="1182" t="s">
        <v>65</v>
      </c>
      <c r="P7" s="1182" t="s">
        <v>66</v>
      </c>
      <c r="Q7" s="1182" t="s">
        <v>67</v>
      </c>
      <c r="R7" s="1182" t="s">
        <v>206</v>
      </c>
      <c r="S7" s="1183" t="s">
        <v>207</v>
      </c>
    </row>
    <row r="8" spans="1:19" ht="30" x14ac:dyDescent="0.25">
      <c r="A8" s="1184"/>
      <c r="B8" s="1185" t="str">
        <f t="shared" ref="B8:G8" si="0">INDEX(TECH_OPT_DESC_Cls1,MATCH(B7,TECH_OPT_ROWS_Cls1,0))</f>
        <v>Conventional Diesel ICE</v>
      </c>
      <c r="C8" s="1186" t="str">
        <f t="shared" si="0"/>
        <v>Adv Conv</v>
      </c>
      <c r="D8" s="1186" t="str">
        <f t="shared" si="0"/>
        <v>ISG</v>
      </c>
      <c r="E8" s="1186" t="str">
        <f t="shared" si="0"/>
        <v>HEV</v>
      </c>
      <c r="F8" s="1186" t="str">
        <f t="shared" si="0"/>
        <v>PHEV</v>
      </c>
      <c r="G8" s="1187" t="str">
        <f t="shared" si="0"/>
        <v>FCHEV</v>
      </c>
      <c r="H8" s="1185" t="str">
        <f t="shared" ref="H8:M8" si="1">INDEX(TECH_OPT_DESC_Cls2,MATCH(H7,TECH_OPT_ROWS_Cls2,0))</f>
        <v>Conventional Diesel ICE</v>
      </c>
      <c r="I8" s="1186" t="str">
        <f t="shared" si="1"/>
        <v>Adv Conv</v>
      </c>
      <c r="J8" s="1186" t="str">
        <f t="shared" si="1"/>
        <v>ISG</v>
      </c>
      <c r="K8" s="1186" t="str">
        <f t="shared" si="1"/>
        <v>PHEV</v>
      </c>
      <c r="L8" s="1186" t="str">
        <f t="shared" si="1"/>
        <v>BEV</v>
      </c>
      <c r="M8" s="1187" t="str">
        <f t="shared" si="1"/>
        <v>FCHEV</v>
      </c>
      <c r="N8" s="1185" t="str">
        <f t="shared" ref="N8:S8" si="2">INDEX(TECH_OPT_DESC_Cls3,MATCH(N7,TECH_OPT_ROWS_Cls3,0))</f>
        <v>Conventional Diesel ICE</v>
      </c>
      <c r="O8" s="1186" t="str">
        <f t="shared" si="2"/>
        <v>Adv Conv</v>
      </c>
      <c r="P8" s="1186" t="str">
        <f t="shared" si="2"/>
        <v>ISG</v>
      </c>
      <c r="Q8" s="1186" t="str">
        <f t="shared" si="2"/>
        <v>HEV</v>
      </c>
      <c r="R8" s="1186" t="str">
        <f t="shared" si="2"/>
        <v>PHEV</v>
      </c>
      <c r="S8" s="1187" t="str">
        <f t="shared" si="2"/>
        <v>BEV</v>
      </c>
    </row>
    <row r="9" spans="1:19" ht="15.75" thickBot="1" x14ac:dyDescent="0.3">
      <c r="A9" s="1188" t="s">
        <v>3</v>
      </c>
      <c r="B9" s="1189" t="str">
        <f t="shared" ref="B9:G9" si="3">INDEX(TECH_OPT_FUEL1_Cls1,MATCH(B7,TECH_OPT_ROWS_Cls1,0))</f>
        <v>Diesel</v>
      </c>
      <c r="C9" s="1190" t="str">
        <f t="shared" si="3"/>
        <v>Diesel</v>
      </c>
      <c r="D9" s="1190" t="str">
        <f t="shared" si="3"/>
        <v>Diesel</v>
      </c>
      <c r="E9" s="1190" t="str">
        <f t="shared" si="3"/>
        <v>Diesel</v>
      </c>
      <c r="F9" s="1190" t="str">
        <f t="shared" si="3"/>
        <v>Diesel</v>
      </c>
      <c r="G9" s="1191" t="str">
        <f t="shared" si="3"/>
        <v>Hydrogen</v>
      </c>
      <c r="H9" s="1192" t="str">
        <f t="shared" ref="H9:M9" si="4">INDEX(TECH_OPT_FUEL1_Cls2,MATCH(H7,TECH_OPT_ROWS_Cls2,0))</f>
        <v>Diesel</v>
      </c>
      <c r="I9" s="1190" t="str">
        <f t="shared" si="4"/>
        <v>Diesel</v>
      </c>
      <c r="J9" s="1190" t="str">
        <f t="shared" si="4"/>
        <v>Diesel</v>
      </c>
      <c r="K9" s="1190" t="str">
        <f t="shared" si="4"/>
        <v>Diesel</v>
      </c>
      <c r="L9" s="1190" t="str">
        <f t="shared" si="4"/>
        <v>Electricity</v>
      </c>
      <c r="M9" s="1191" t="str">
        <f t="shared" si="4"/>
        <v>Hydrogen</v>
      </c>
      <c r="N9" s="1189" t="str">
        <f t="shared" ref="N9:S9" si="5">INDEX(TECH_OPT_FUEL1_Cls3,MATCH(N7,TECH_OPT_ROWS_Cls3,0))</f>
        <v>Diesel</v>
      </c>
      <c r="O9" s="1190" t="str">
        <f t="shared" si="5"/>
        <v>Diesel</v>
      </c>
      <c r="P9" s="1190" t="str">
        <f t="shared" si="5"/>
        <v>Diesel</v>
      </c>
      <c r="Q9" s="1190" t="str">
        <f t="shared" si="5"/>
        <v>Diesel</v>
      </c>
      <c r="R9" s="1190" t="str">
        <f t="shared" si="5"/>
        <v>Diesel</v>
      </c>
      <c r="S9" s="1191" t="str">
        <f t="shared" si="5"/>
        <v>Electricity</v>
      </c>
    </row>
    <row r="10" spans="1:19" ht="15.75" thickTop="1" x14ac:dyDescent="0.25">
      <c r="A10" s="1193">
        <v>2007</v>
      </c>
      <c r="B10" s="1194">
        <f>IF('Mkt Pen Veh-Mi'!B9=0,$B$5,($B$5-SUMPRODUCT(C10:G10,'Mkt Pen Veh-Mi'!C9:G9))/'Mkt Pen Veh-Mi'!B9)</f>
        <v>0.23038147668861172</v>
      </c>
      <c r="C10" s="1195">
        <f t="shared" ref="C10:C53" si="6">INDEX(Cls1TechACentShr,MATCH($A10,$A$10:$A$53,0))</f>
        <v>0</v>
      </c>
      <c r="D10" s="1195">
        <f t="shared" ref="D10:D53" si="7">INDEX(Cls1TechBCentShr,MATCH($A10,$A$10:$A$53,0))</f>
        <v>0</v>
      </c>
      <c r="E10" s="1195">
        <f t="shared" ref="E10:E53" si="8">INDEX(Cls1TechCCentShr,MATCH($A10,$A$10:$A$53,0))</f>
        <v>0</v>
      </c>
      <c r="F10" s="1195">
        <f t="shared" ref="F10:F53" si="9">INDEX(Cls1TechDCentShr,MATCH($A10,$A$10:$A$53,0))</f>
        <v>0</v>
      </c>
      <c r="G10" s="1220">
        <f t="shared" ref="G10:G53" si="10">INDEX(Cls1TechECentShr,MATCH($A10,$A$10:$A$53,0))</f>
        <v>0</v>
      </c>
      <c r="H10" s="1194">
        <f>IF('Mkt Pen Veh-Mi'!H9=0,$H$5,($H$5-SUMPRODUCT(I10:M10,'Mkt Pen Veh-Mi'!I9:M9))/'Mkt Pen Veh-Mi'!H9)</f>
        <v>0.61452169476443286</v>
      </c>
      <c r="I10" s="1195">
        <f t="shared" ref="I10:I53" si="11">INDEX(Cls2TechACentShr,MATCH($A10,$A$10:$A$53,0))</f>
        <v>0</v>
      </c>
      <c r="J10" s="1195">
        <f t="shared" ref="J10:J53" si="12">INDEX(Cls2TechBCentShr,MATCH($A10,$A$10:$A$53,0))</f>
        <v>0</v>
      </c>
      <c r="K10" s="1195">
        <f t="shared" ref="K10:K53" si="13">INDEX(Cls2TechCCentShr,MATCH($A10,$A$10:$A$53,0))</f>
        <v>0</v>
      </c>
      <c r="L10" s="1195">
        <f t="shared" ref="L10:L53" si="14">INDEX(Cls2TechDCentShr,MATCH($A10,$A$10:$A$53,0))</f>
        <v>0</v>
      </c>
      <c r="M10" s="1221">
        <f t="shared" ref="M10:M53" si="15">INDEX(Cls2TechECentShr,MATCH($A10,$A$10:$A$53,0))</f>
        <v>0</v>
      </c>
      <c r="N10" s="1194">
        <f>IF('Mkt Pen Veh-Mi'!N9=0,$N$5,($N$5-SUMPRODUCT(O10:S10,'Mkt Pen Veh-Mi'!O9:S9))/'Mkt Pen Veh-Mi'!N9)</f>
        <v>0.39932829612730575</v>
      </c>
      <c r="O10" s="1195">
        <f t="shared" ref="O10:O53" si="16">INDEX(Cls3TechACentShr,MATCH($A10,$A$10:$A$53,0))</f>
        <v>0</v>
      </c>
      <c r="P10" s="1195">
        <f t="shared" ref="P10:P53" si="17">INDEX(Cls3TechBCentShr,MATCH($A10,$A$10:$A$53,0))</f>
        <v>0</v>
      </c>
      <c r="Q10" s="1195">
        <f t="shared" ref="Q10:Q53" si="18">INDEX(Cls3TechCCentShr,MATCH($A10,$A$10:$A$53,0))</f>
        <v>0</v>
      </c>
      <c r="R10" s="1195">
        <f t="shared" ref="R10:R53" si="19">INDEX(Cls3TechDCentShr,MATCH($A10,$A$10:$A$53,0))</f>
        <v>0</v>
      </c>
      <c r="S10" s="1220">
        <f t="shared" ref="S10:S53" si="20">INDEX(Cls3TechECentShr,MATCH($A10,$A$10:$A$53,0))</f>
        <v>0</v>
      </c>
    </row>
    <row r="11" spans="1:19" x14ac:dyDescent="0.25">
      <c r="A11" s="1193">
        <v>2008</v>
      </c>
      <c r="B11" s="1196">
        <f>IF('Mkt Pen Veh-Mi'!B10=0,$B$5,($B$5-SUMPRODUCT(C11:G11,'Mkt Pen Veh-Mi'!C10:G10))/'Mkt Pen Veh-Mi'!B10)</f>
        <v>0.23038147668861172</v>
      </c>
      <c r="C11" s="1197">
        <f t="shared" si="6"/>
        <v>0</v>
      </c>
      <c r="D11" s="1197">
        <f t="shared" si="7"/>
        <v>0</v>
      </c>
      <c r="E11" s="1197">
        <f t="shared" si="8"/>
        <v>0</v>
      </c>
      <c r="F11" s="1197">
        <f t="shared" si="9"/>
        <v>0</v>
      </c>
      <c r="G11" s="1198">
        <f t="shared" si="10"/>
        <v>0</v>
      </c>
      <c r="H11" s="1196">
        <f>IF('Mkt Pen Veh-Mi'!H10=0,$H$5,($H$5-SUMPRODUCT(I11:M11,'Mkt Pen Veh-Mi'!I10:M10))/'Mkt Pen Veh-Mi'!H10)</f>
        <v>0.61452169476443286</v>
      </c>
      <c r="I11" s="1197">
        <f t="shared" si="11"/>
        <v>0</v>
      </c>
      <c r="J11" s="1197">
        <f t="shared" si="12"/>
        <v>0</v>
      </c>
      <c r="K11" s="1197">
        <f t="shared" si="13"/>
        <v>0</v>
      </c>
      <c r="L11" s="1197">
        <f t="shared" si="14"/>
        <v>0</v>
      </c>
      <c r="M11" s="1198">
        <f t="shared" si="15"/>
        <v>0</v>
      </c>
      <c r="N11" s="1196">
        <f>IF('Mkt Pen Veh-Mi'!N10=0,$N$5,($N$5-SUMPRODUCT(O11:S11,'Mkt Pen Veh-Mi'!O10:S10))/'Mkt Pen Veh-Mi'!N10)</f>
        <v>0.39932829612730575</v>
      </c>
      <c r="O11" s="1197">
        <f t="shared" si="16"/>
        <v>0</v>
      </c>
      <c r="P11" s="1197">
        <f t="shared" si="17"/>
        <v>0</v>
      </c>
      <c r="Q11" s="1197">
        <f t="shared" si="18"/>
        <v>0</v>
      </c>
      <c r="R11" s="1197">
        <f t="shared" si="19"/>
        <v>0</v>
      </c>
      <c r="S11" s="1198">
        <f t="shared" si="20"/>
        <v>0</v>
      </c>
    </row>
    <row r="12" spans="1:19" x14ac:dyDescent="0.25">
      <c r="A12" s="1193">
        <v>2009</v>
      </c>
      <c r="B12" s="1196">
        <f>IF('Mkt Pen Veh-Mi'!B11=0,$B$5,($B$5-SUMPRODUCT(C12:G12,'Mkt Pen Veh-Mi'!C11:G11))/'Mkt Pen Veh-Mi'!B11)</f>
        <v>0.23038147668861172</v>
      </c>
      <c r="C12" s="1197">
        <f t="shared" si="6"/>
        <v>0</v>
      </c>
      <c r="D12" s="1197">
        <f t="shared" si="7"/>
        <v>0</v>
      </c>
      <c r="E12" s="1197">
        <f t="shared" si="8"/>
        <v>0</v>
      </c>
      <c r="F12" s="1197">
        <f t="shared" si="9"/>
        <v>0</v>
      </c>
      <c r="G12" s="1198">
        <f t="shared" si="10"/>
        <v>0</v>
      </c>
      <c r="H12" s="1196">
        <f>IF('Mkt Pen Veh-Mi'!H11=0,$H$5,($H$5-SUMPRODUCT(I12:M12,'Mkt Pen Veh-Mi'!I11:M11))/'Mkt Pen Veh-Mi'!H11)</f>
        <v>0.61452169476443286</v>
      </c>
      <c r="I12" s="1197">
        <f t="shared" si="11"/>
        <v>0</v>
      </c>
      <c r="J12" s="1197">
        <f t="shared" si="12"/>
        <v>0</v>
      </c>
      <c r="K12" s="1197">
        <f t="shared" si="13"/>
        <v>0</v>
      </c>
      <c r="L12" s="1197">
        <f t="shared" si="14"/>
        <v>0</v>
      </c>
      <c r="M12" s="1198">
        <f t="shared" si="15"/>
        <v>0</v>
      </c>
      <c r="N12" s="1196">
        <f>IF('Mkt Pen Veh-Mi'!N11=0,$N$5,($N$5-SUMPRODUCT(O12:S12,'Mkt Pen Veh-Mi'!O11:S11))/'Mkt Pen Veh-Mi'!N11)</f>
        <v>0.39932829612730575</v>
      </c>
      <c r="O12" s="1197">
        <f t="shared" si="16"/>
        <v>0</v>
      </c>
      <c r="P12" s="1197">
        <f t="shared" si="17"/>
        <v>0</v>
      </c>
      <c r="Q12" s="1197">
        <f t="shared" si="18"/>
        <v>0</v>
      </c>
      <c r="R12" s="1197">
        <f t="shared" si="19"/>
        <v>0</v>
      </c>
      <c r="S12" s="1198">
        <f t="shared" si="20"/>
        <v>0</v>
      </c>
    </row>
    <row r="13" spans="1:19" x14ac:dyDescent="0.25">
      <c r="A13" s="1199">
        <v>2010</v>
      </c>
      <c r="B13" s="1200">
        <f>IF('Mkt Pen Veh-Mi'!B12=0,$B$5,($B$5-SUMPRODUCT(C13:G13,'Mkt Pen Veh-Mi'!C12:G12))/'Mkt Pen Veh-Mi'!B12)</f>
        <v>0.23038147668861172</v>
      </c>
      <c r="C13" s="1201">
        <f t="shared" si="6"/>
        <v>0</v>
      </c>
      <c r="D13" s="1201">
        <f t="shared" si="7"/>
        <v>0</v>
      </c>
      <c r="E13" s="1201">
        <f t="shared" si="8"/>
        <v>0</v>
      </c>
      <c r="F13" s="1201">
        <f t="shared" si="9"/>
        <v>0</v>
      </c>
      <c r="G13" s="1202">
        <f t="shared" si="10"/>
        <v>0</v>
      </c>
      <c r="H13" s="1200">
        <f>IF('Mkt Pen Veh-Mi'!H12=0,$H$5,($H$5-SUMPRODUCT(I13:M13,'Mkt Pen Veh-Mi'!I12:M12))/'Mkt Pen Veh-Mi'!H12)</f>
        <v>0.61452169476443286</v>
      </c>
      <c r="I13" s="1201">
        <f t="shared" si="11"/>
        <v>0</v>
      </c>
      <c r="J13" s="1201">
        <f t="shared" si="12"/>
        <v>0</v>
      </c>
      <c r="K13" s="1201">
        <f t="shared" si="13"/>
        <v>0</v>
      </c>
      <c r="L13" s="1201">
        <f t="shared" si="14"/>
        <v>0</v>
      </c>
      <c r="M13" s="1202">
        <f t="shared" si="15"/>
        <v>0</v>
      </c>
      <c r="N13" s="1200">
        <f>IF('Mkt Pen Veh-Mi'!N12=0,$N$5,($N$5-SUMPRODUCT(O13:S13,'Mkt Pen Veh-Mi'!O12:S12))/'Mkt Pen Veh-Mi'!N12)</f>
        <v>0.39932829612730575</v>
      </c>
      <c r="O13" s="1201">
        <f t="shared" si="16"/>
        <v>0</v>
      </c>
      <c r="P13" s="1201">
        <f t="shared" si="17"/>
        <v>0</v>
      </c>
      <c r="Q13" s="1201">
        <f t="shared" si="18"/>
        <v>0</v>
      </c>
      <c r="R13" s="1201">
        <f t="shared" si="19"/>
        <v>0</v>
      </c>
      <c r="S13" s="1202">
        <f t="shared" si="20"/>
        <v>0</v>
      </c>
    </row>
    <row r="14" spans="1:19" x14ac:dyDescent="0.25">
      <c r="A14" s="1193">
        <v>2011</v>
      </c>
      <c r="B14" s="1203">
        <f>IF('Mkt Pen Veh-Mi'!B13=0,$B$5,($B$5-SUMPRODUCT(C14:G14,'Mkt Pen Veh-Mi'!C13:G13))/'Mkt Pen Veh-Mi'!B13)</f>
        <v>0.23038147668861172</v>
      </c>
      <c r="C14" s="1204">
        <f t="shared" si="6"/>
        <v>0</v>
      </c>
      <c r="D14" s="1204">
        <f t="shared" si="7"/>
        <v>0</v>
      </c>
      <c r="E14" s="1204">
        <f t="shared" si="8"/>
        <v>0</v>
      </c>
      <c r="F14" s="1204">
        <f t="shared" si="9"/>
        <v>0</v>
      </c>
      <c r="G14" s="1205">
        <f t="shared" si="10"/>
        <v>0</v>
      </c>
      <c r="H14" s="1203">
        <f>IF('Mkt Pen Veh-Mi'!H13=0,$H$5,($H$5-SUMPRODUCT(I14:M14,'Mkt Pen Veh-Mi'!I13:M13))/'Mkt Pen Veh-Mi'!H13)</f>
        <v>0.61452169476443286</v>
      </c>
      <c r="I14" s="1204">
        <f t="shared" si="11"/>
        <v>0</v>
      </c>
      <c r="J14" s="1204">
        <f t="shared" si="12"/>
        <v>0</v>
      </c>
      <c r="K14" s="1204">
        <f t="shared" si="13"/>
        <v>0</v>
      </c>
      <c r="L14" s="1204">
        <f t="shared" si="14"/>
        <v>0</v>
      </c>
      <c r="M14" s="1205">
        <f t="shared" si="15"/>
        <v>0</v>
      </c>
      <c r="N14" s="1203">
        <f>IF('Mkt Pen Veh-Mi'!N13=0,$N$5,($N$5-SUMPRODUCT(O14:S14,'Mkt Pen Veh-Mi'!O13:S13))/'Mkt Pen Veh-Mi'!N13)</f>
        <v>0.39932829612730575</v>
      </c>
      <c r="O14" s="1204">
        <f t="shared" si="16"/>
        <v>0</v>
      </c>
      <c r="P14" s="1204">
        <f t="shared" si="17"/>
        <v>0</v>
      </c>
      <c r="Q14" s="1204">
        <f t="shared" si="18"/>
        <v>0</v>
      </c>
      <c r="R14" s="1204">
        <f t="shared" si="19"/>
        <v>0</v>
      </c>
      <c r="S14" s="1205">
        <f t="shared" si="20"/>
        <v>0</v>
      </c>
    </row>
    <row r="15" spans="1:19" x14ac:dyDescent="0.25">
      <c r="A15" s="1193">
        <v>2012</v>
      </c>
      <c r="B15" s="1196">
        <f>IF('Mkt Pen Veh-Mi'!B14=0,$B$5,($B$5-SUMPRODUCT(C15:G15,'Mkt Pen Veh-Mi'!C14:G14))/'Mkt Pen Veh-Mi'!B14)</f>
        <v>0.23038147668861172</v>
      </c>
      <c r="C15" s="1197">
        <f t="shared" si="6"/>
        <v>0</v>
      </c>
      <c r="D15" s="1197">
        <f t="shared" si="7"/>
        <v>0</v>
      </c>
      <c r="E15" s="1197">
        <f t="shared" si="8"/>
        <v>0</v>
      </c>
      <c r="F15" s="1197">
        <f t="shared" si="9"/>
        <v>0</v>
      </c>
      <c r="G15" s="1198">
        <f t="shared" si="10"/>
        <v>0</v>
      </c>
      <c r="H15" s="1196">
        <f>IF('Mkt Pen Veh-Mi'!H14=0,$H$5,($H$5-SUMPRODUCT(I15:M15,'Mkt Pen Veh-Mi'!I14:M14))/'Mkt Pen Veh-Mi'!H14)</f>
        <v>0.61452169476443286</v>
      </c>
      <c r="I15" s="1197">
        <f t="shared" si="11"/>
        <v>0</v>
      </c>
      <c r="J15" s="1197">
        <f t="shared" si="12"/>
        <v>0</v>
      </c>
      <c r="K15" s="1197">
        <f t="shared" si="13"/>
        <v>0</v>
      </c>
      <c r="L15" s="1197">
        <f t="shared" si="14"/>
        <v>0</v>
      </c>
      <c r="M15" s="1198">
        <f t="shared" si="15"/>
        <v>0</v>
      </c>
      <c r="N15" s="1196">
        <f>IF('Mkt Pen Veh-Mi'!N14=0,$N$5,($N$5-SUMPRODUCT(O15:S15,'Mkt Pen Veh-Mi'!O14:S14))/'Mkt Pen Veh-Mi'!N14)</f>
        <v>0.39932829612730575</v>
      </c>
      <c r="O15" s="1197">
        <f t="shared" si="16"/>
        <v>0</v>
      </c>
      <c r="P15" s="1197">
        <f t="shared" si="17"/>
        <v>0</v>
      </c>
      <c r="Q15" s="1197">
        <f t="shared" si="18"/>
        <v>0</v>
      </c>
      <c r="R15" s="1197">
        <f t="shared" si="19"/>
        <v>0</v>
      </c>
      <c r="S15" s="1198">
        <f t="shared" si="20"/>
        <v>0</v>
      </c>
    </row>
    <row r="16" spans="1:19" x14ac:dyDescent="0.25">
      <c r="A16" s="1193">
        <v>2013</v>
      </c>
      <c r="B16" s="1196">
        <f>IF('Mkt Pen Veh-Mi'!B15=0,$B$5,($B$5-SUMPRODUCT(C16:G16,'Mkt Pen Veh-Mi'!C15:G15))/'Mkt Pen Veh-Mi'!B15)</f>
        <v>0.23038147668861172</v>
      </c>
      <c r="C16" s="1197">
        <f t="shared" si="6"/>
        <v>0</v>
      </c>
      <c r="D16" s="1197">
        <f t="shared" si="7"/>
        <v>0</v>
      </c>
      <c r="E16" s="1197">
        <f t="shared" si="8"/>
        <v>0</v>
      </c>
      <c r="F16" s="1197">
        <f t="shared" si="9"/>
        <v>0</v>
      </c>
      <c r="G16" s="1198">
        <f t="shared" si="10"/>
        <v>0</v>
      </c>
      <c r="H16" s="1196">
        <f>IF('Mkt Pen Veh-Mi'!H15=0,$H$5,($H$5-SUMPRODUCT(I16:M16,'Mkt Pen Veh-Mi'!I15:M15))/'Mkt Pen Veh-Mi'!H15)</f>
        <v>0.61452169476443286</v>
      </c>
      <c r="I16" s="1197">
        <f t="shared" si="11"/>
        <v>0</v>
      </c>
      <c r="J16" s="1197">
        <f t="shared" si="12"/>
        <v>0</v>
      </c>
      <c r="K16" s="1197">
        <f t="shared" si="13"/>
        <v>0</v>
      </c>
      <c r="L16" s="1197">
        <f t="shared" si="14"/>
        <v>0</v>
      </c>
      <c r="M16" s="1198">
        <f t="shared" si="15"/>
        <v>0</v>
      </c>
      <c r="N16" s="1196">
        <f>IF('Mkt Pen Veh-Mi'!N15=0,$N$5,($N$5-SUMPRODUCT(O16:S16,'Mkt Pen Veh-Mi'!O15:S15))/'Mkt Pen Veh-Mi'!N15)</f>
        <v>0.39932829612730575</v>
      </c>
      <c r="O16" s="1197">
        <f t="shared" si="16"/>
        <v>0</v>
      </c>
      <c r="P16" s="1197">
        <f t="shared" si="17"/>
        <v>0</v>
      </c>
      <c r="Q16" s="1197">
        <f t="shared" si="18"/>
        <v>0</v>
      </c>
      <c r="R16" s="1197">
        <f t="shared" si="19"/>
        <v>0</v>
      </c>
      <c r="S16" s="1198">
        <f t="shared" si="20"/>
        <v>0</v>
      </c>
    </row>
    <row r="17" spans="1:19" x14ac:dyDescent="0.25">
      <c r="A17" s="1193">
        <v>2014</v>
      </c>
      <c r="B17" s="1196">
        <f>IF('Mkt Pen Veh-Mi'!B16=0,$B$5,($B$5-SUMPRODUCT(C17:G17,'Mkt Pen Veh-Mi'!C16:G16))/'Mkt Pen Veh-Mi'!B16)</f>
        <v>0.23038147668861172</v>
      </c>
      <c r="C17" s="1197">
        <f t="shared" si="6"/>
        <v>0</v>
      </c>
      <c r="D17" s="1197">
        <f t="shared" si="7"/>
        <v>0</v>
      </c>
      <c r="E17" s="1197">
        <f t="shared" si="8"/>
        <v>0</v>
      </c>
      <c r="F17" s="1197">
        <f t="shared" si="9"/>
        <v>0</v>
      </c>
      <c r="G17" s="1198">
        <f t="shared" si="10"/>
        <v>0</v>
      </c>
      <c r="H17" s="1196">
        <f>IF('Mkt Pen Veh-Mi'!H16=0,$H$5,($H$5-SUMPRODUCT(I17:M17,'Mkt Pen Veh-Mi'!I16:M16))/'Mkt Pen Veh-Mi'!H16)</f>
        <v>0.61452169476443286</v>
      </c>
      <c r="I17" s="1197">
        <f t="shared" si="11"/>
        <v>0</v>
      </c>
      <c r="J17" s="1197">
        <f t="shared" si="12"/>
        <v>0</v>
      </c>
      <c r="K17" s="1197">
        <f t="shared" si="13"/>
        <v>0</v>
      </c>
      <c r="L17" s="1197">
        <f t="shared" si="14"/>
        <v>0</v>
      </c>
      <c r="M17" s="1198">
        <f t="shared" si="15"/>
        <v>0</v>
      </c>
      <c r="N17" s="1196">
        <f>IF('Mkt Pen Veh-Mi'!N16=0,$N$5,($N$5-SUMPRODUCT(O17:S17,'Mkt Pen Veh-Mi'!O16:S16))/'Mkt Pen Veh-Mi'!N16)</f>
        <v>0.39932829612730575</v>
      </c>
      <c r="O17" s="1197">
        <f t="shared" si="16"/>
        <v>0</v>
      </c>
      <c r="P17" s="1197">
        <f t="shared" si="17"/>
        <v>0</v>
      </c>
      <c r="Q17" s="1197">
        <f t="shared" si="18"/>
        <v>0</v>
      </c>
      <c r="R17" s="1197">
        <f t="shared" si="19"/>
        <v>0</v>
      </c>
      <c r="S17" s="1198">
        <f t="shared" si="20"/>
        <v>0</v>
      </c>
    </row>
    <row r="18" spans="1:19" x14ac:dyDescent="0.25">
      <c r="A18" s="1199">
        <v>2015</v>
      </c>
      <c r="B18" s="1200">
        <f>IF('Mkt Pen Veh-Mi'!B17=0,$B$5,($B$5-SUMPRODUCT(C18:G18,'Mkt Pen Veh-Mi'!C17:G17))/'Mkt Pen Veh-Mi'!B17)</f>
        <v>0.23038147668861172</v>
      </c>
      <c r="C18" s="1201">
        <f t="shared" si="6"/>
        <v>0</v>
      </c>
      <c r="D18" s="1201">
        <f t="shared" si="7"/>
        <v>0</v>
      </c>
      <c r="E18" s="1201">
        <f t="shared" si="8"/>
        <v>0</v>
      </c>
      <c r="F18" s="1201">
        <f t="shared" si="9"/>
        <v>0</v>
      </c>
      <c r="G18" s="1202">
        <f t="shared" si="10"/>
        <v>0</v>
      </c>
      <c r="H18" s="1200">
        <f>IF('Mkt Pen Veh-Mi'!H17=0,$H$5,($H$5-SUMPRODUCT(I18:M18,'Mkt Pen Veh-Mi'!I17:M17))/'Mkt Pen Veh-Mi'!H17)</f>
        <v>0.61452169476443286</v>
      </c>
      <c r="I18" s="1201">
        <f t="shared" si="11"/>
        <v>0</v>
      </c>
      <c r="J18" s="1201">
        <f t="shared" si="12"/>
        <v>0</v>
      </c>
      <c r="K18" s="1201">
        <f t="shared" si="13"/>
        <v>0</v>
      </c>
      <c r="L18" s="1201">
        <f t="shared" si="14"/>
        <v>0</v>
      </c>
      <c r="M18" s="1202">
        <f t="shared" si="15"/>
        <v>0</v>
      </c>
      <c r="N18" s="1200">
        <f>IF('Mkt Pen Veh-Mi'!N17=0,$N$5,($N$5-SUMPRODUCT(O18:S18,'Mkt Pen Veh-Mi'!O17:S17))/'Mkt Pen Veh-Mi'!N17)</f>
        <v>0.39932829612730575</v>
      </c>
      <c r="O18" s="1201">
        <f t="shared" si="16"/>
        <v>0</v>
      </c>
      <c r="P18" s="1201">
        <f t="shared" si="17"/>
        <v>0</v>
      </c>
      <c r="Q18" s="1201">
        <f t="shared" si="18"/>
        <v>0</v>
      </c>
      <c r="R18" s="1201">
        <f t="shared" si="19"/>
        <v>0</v>
      </c>
      <c r="S18" s="1202">
        <f t="shared" si="20"/>
        <v>0</v>
      </c>
    </row>
    <row r="19" spans="1:19" x14ac:dyDescent="0.25">
      <c r="A19" s="1193">
        <v>2016</v>
      </c>
      <c r="B19" s="1203">
        <f>IF('Mkt Pen Veh-Mi'!B18=0,$B$5,($B$5-SUMPRODUCT(C19:G19,'Mkt Pen Veh-Mi'!C18:G18))/'Mkt Pen Veh-Mi'!B18)</f>
        <v>0.23038147668861172</v>
      </c>
      <c r="C19" s="1204">
        <f t="shared" si="6"/>
        <v>0</v>
      </c>
      <c r="D19" s="1204">
        <f t="shared" si="7"/>
        <v>0</v>
      </c>
      <c r="E19" s="1204">
        <f t="shared" si="8"/>
        <v>0</v>
      </c>
      <c r="F19" s="1204">
        <f t="shared" si="9"/>
        <v>0</v>
      </c>
      <c r="G19" s="1205">
        <f t="shared" si="10"/>
        <v>0</v>
      </c>
      <c r="H19" s="1203">
        <f>IF('Mkt Pen Veh-Mi'!H18=0,$H$5,($H$5-SUMPRODUCT(I19:M19,'Mkt Pen Veh-Mi'!I18:M18))/'Mkt Pen Veh-Mi'!H18)</f>
        <v>0.61452169476443286</v>
      </c>
      <c r="I19" s="1204">
        <f t="shared" si="11"/>
        <v>0</v>
      </c>
      <c r="J19" s="1204">
        <f t="shared" si="12"/>
        <v>0</v>
      </c>
      <c r="K19" s="1204">
        <f t="shared" si="13"/>
        <v>0</v>
      </c>
      <c r="L19" s="1204">
        <f t="shared" si="14"/>
        <v>0</v>
      </c>
      <c r="M19" s="1205">
        <f t="shared" si="15"/>
        <v>0</v>
      </c>
      <c r="N19" s="1203">
        <f>IF('Mkt Pen Veh-Mi'!N18=0,$N$5,($N$5-SUMPRODUCT(O19:S19,'Mkt Pen Veh-Mi'!O18:S18))/'Mkt Pen Veh-Mi'!N18)</f>
        <v>0.39932829612730575</v>
      </c>
      <c r="O19" s="1204">
        <f t="shared" si="16"/>
        <v>0</v>
      </c>
      <c r="P19" s="1204">
        <f t="shared" si="17"/>
        <v>0</v>
      </c>
      <c r="Q19" s="1204">
        <f t="shared" si="18"/>
        <v>0</v>
      </c>
      <c r="R19" s="1204">
        <f t="shared" si="19"/>
        <v>0</v>
      </c>
      <c r="S19" s="1205">
        <f t="shared" si="20"/>
        <v>0</v>
      </c>
    </row>
    <row r="20" spans="1:19" x14ac:dyDescent="0.25">
      <c r="A20" s="1193">
        <v>2017</v>
      </c>
      <c r="B20" s="1196">
        <f>IF('Mkt Pen Veh-Mi'!B19=0,$B$5,($B$5-SUMPRODUCT(C20:G20,'Mkt Pen Veh-Mi'!C19:G19))/'Mkt Pen Veh-Mi'!B19)</f>
        <v>0.23038147668861172</v>
      </c>
      <c r="C20" s="1197">
        <f t="shared" si="6"/>
        <v>0</v>
      </c>
      <c r="D20" s="1197">
        <f t="shared" si="7"/>
        <v>0</v>
      </c>
      <c r="E20" s="1197">
        <f t="shared" si="8"/>
        <v>0</v>
      </c>
      <c r="F20" s="1197">
        <f t="shared" si="9"/>
        <v>0</v>
      </c>
      <c r="G20" s="1198">
        <f t="shared" si="10"/>
        <v>0</v>
      </c>
      <c r="H20" s="1196">
        <f>IF('Mkt Pen Veh-Mi'!H19=0,$H$5,($H$5-SUMPRODUCT(I20:M20,'Mkt Pen Veh-Mi'!I19:M19))/'Mkt Pen Veh-Mi'!H19)</f>
        <v>0.61452169476443286</v>
      </c>
      <c r="I20" s="1197">
        <f t="shared" si="11"/>
        <v>0</v>
      </c>
      <c r="J20" s="1197">
        <f t="shared" si="12"/>
        <v>0</v>
      </c>
      <c r="K20" s="1197">
        <f t="shared" si="13"/>
        <v>0</v>
      </c>
      <c r="L20" s="1197">
        <f t="shared" si="14"/>
        <v>0</v>
      </c>
      <c r="M20" s="1198">
        <f t="shared" si="15"/>
        <v>0</v>
      </c>
      <c r="N20" s="1196">
        <f>IF('Mkt Pen Veh-Mi'!N19=0,$N$5,($N$5-SUMPRODUCT(O20:S20,'Mkt Pen Veh-Mi'!O19:S19))/'Mkt Pen Veh-Mi'!N19)</f>
        <v>0.39932829612730575</v>
      </c>
      <c r="O20" s="1197">
        <f t="shared" si="16"/>
        <v>0</v>
      </c>
      <c r="P20" s="1197">
        <f t="shared" si="17"/>
        <v>0</v>
      </c>
      <c r="Q20" s="1197">
        <f t="shared" si="18"/>
        <v>0</v>
      </c>
      <c r="R20" s="1197">
        <f t="shared" si="19"/>
        <v>0</v>
      </c>
      <c r="S20" s="1198">
        <f t="shared" si="20"/>
        <v>0</v>
      </c>
    </row>
    <row r="21" spans="1:19" x14ac:dyDescent="0.25">
      <c r="A21" s="1193">
        <v>2018</v>
      </c>
      <c r="B21" s="1196">
        <f>IF('Mkt Pen Veh-Mi'!B20=0,$B$5,($B$5-SUMPRODUCT(C21:G21,'Mkt Pen Veh-Mi'!C20:G20))/'Mkt Pen Veh-Mi'!B20)</f>
        <v>0.23038147668861172</v>
      </c>
      <c r="C21" s="1197">
        <f t="shared" si="6"/>
        <v>0</v>
      </c>
      <c r="D21" s="1197">
        <f t="shared" si="7"/>
        <v>0</v>
      </c>
      <c r="E21" s="1197">
        <f t="shared" si="8"/>
        <v>0</v>
      </c>
      <c r="F21" s="1197">
        <f t="shared" si="9"/>
        <v>0</v>
      </c>
      <c r="G21" s="1198">
        <f t="shared" si="10"/>
        <v>0</v>
      </c>
      <c r="H21" s="1196">
        <f>IF('Mkt Pen Veh-Mi'!H20=0,$H$5,($H$5-SUMPRODUCT(I21:M21,'Mkt Pen Veh-Mi'!I20:M20))/'Mkt Pen Veh-Mi'!H20)</f>
        <v>0.61452169476443286</v>
      </c>
      <c r="I21" s="1197">
        <f t="shared" si="11"/>
        <v>0</v>
      </c>
      <c r="J21" s="1197">
        <f t="shared" si="12"/>
        <v>0</v>
      </c>
      <c r="K21" s="1197">
        <f t="shared" si="13"/>
        <v>0</v>
      </c>
      <c r="L21" s="1197">
        <f t="shared" si="14"/>
        <v>0</v>
      </c>
      <c r="M21" s="1198">
        <f t="shared" si="15"/>
        <v>0</v>
      </c>
      <c r="N21" s="1196">
        <f>IF('Mkt Pen Veh-Mi'!N20=0,$N$5,($N$5-SUMPRODUCT(O21:S21,'Mkt Pen Veh-Mi'!O20:S20))/'Mkt Pen Veh-Mi'!N20)</f>
        <v>0.39932829612730575</v>
      </c>
      <c r="O21" s="1197">
        <f t="shared" si="16"/>
        <v>0</v>
      </c>
      <c r="P21" s="1197">
        <f t="shared" si="17"/>
        <v>0</v>
      </c>
      <c r="Q21" s="1197">
        <f t="shared" si="18"/>
        <v>0</v>
      </c>
      <c r="R21" s="1197">
        <f t="shared" si="19"/>
        <v>0</v>
      </c>
      <c r="S21" s="1198">
        <f t="shared" si="20"/>
        <v>0</v>
      </c>
    </row>
    <row r="22" spans="1:19" x14ac:dyDescent="0.25">
      <c r="A22" s="1193">
        <v>2019</v>
      </c>
      <c r="B22" s="1196">
        <f>IF('Mkt Pen Veh-Mi'!B21=0,$B$5,($B$5-SUMPRODUCT(C22:G22,'Mkt Pen Veh-Mi'!C21:G21))/'Mkt Pen Veh-Mi'!B21)</f>
        <v>0.23038147668861172</v>
      </c>
      <c r="C22" s="1197">
        <f t="shared" si="6"/>
        <v>0</v>
      </c>
      <c r="D22" s="1197">
        <f t="shared" si="7"/>
        <v>0</v>
      </c>
      <c r="E22" s="1197">
        <f t="shared" si="8"/>
        <v>0</v>
      </c>
      <c r="F22" s="1197">
        <f t="shared" si="9"/>
        <v>0</v>
      </c>
      <c r="G22" s="1198">
        <f t="shared" si="10"/>
        <v>0</v>
      </c>
      <c r="H22" s="1196">
        <f>IF('Mkt Pen Veh-Mi'!H21=0,$H$5,($H$5-SUMPRODUCT(I22:M22,'Mkt Pen Veh-Mi'!I21:M21))/'Mkt Pen Veh-Mi'!H21)</f>
        <v>0.61452169476443286</v>
      </c>
      <c r="I22" s="1197">
        <f t="shared" si="11"/>
        <v>0</v>
      </c>
      <c r="J22" s="1197">
        <f t="shared" si="12"/>
        <v>0</v>
      </c>
      <c r="K22" s="1197">
        <f t="shared" si="13"/>
        <v>0</v>
      </c>
      <c r="L22" s="1197">
        <f t="shared" si="14"/>
        <v>0</v>
      </c>
      <c r="M22" s="1198">
        <f t="shared" si="15"/>
        <v>0</v>
      </c>
      <c r="N22" s="1196">
        <f>IF('Mkt Pen Veh-Mi'!N21=0,$N$5,($N$5-SUMPRODUCT(O22:S22,'Mkt Pen Veh-Mi'!O21:S21))/'Mkt Pen Veh-Mi'!N21)</f>
        <v>0.39932829612730575</v>
      </c>
      <c r="O22" s="1197">
        <f t="shared" si="16"/>
        <v>0</v>
      </c>
      <c r="P22" s="1197">
        <f t="shared" si="17"/>
        <v>0</v>
      </c>
      <c r="Q22" s="1197">
        <f t="shared" si="18"/>
        <v>0</v>
      </c>
      <c r="R22" s="1197">
        <f t="shared" si="19"/>
        <v>0</v>
      </c>
      <c r="S22" s="1198">
        <f t="shared" si="20"/>
        <v>0</v>
      </c>
    </row>
    <row r="23" spans="1:19" x14ac:dyDescent="0.25">
      <c r="A23" s="1199">
        <v>2020</v>
      </c>
      <c r="B23" s="1200">
        <f>IF('Mkt Pen Veh-Mi'!B22=0,$B$5,($B$5-SUMPRODUCT(C23:G23,'Mkt Pen Veh-Mi'!C22:G22))/'Mkt Pen Veh-Mi'!B22)</f>
        <v>0.23038147668861172</v>
      </c>
      <c r="C23" s="1201">
        <f t="shared" si="6"/>
        <v>0</v>
      </c>
      <c r="D23" s="1201">
        <f t="shared" si="7"/>
        <v>0</v>
      </c>
      <c r="E23" s="1201">
        <f t="shared" si="8"/>
        <v>0</v>
      </c>
      <c r="F23" s="1201">
        <f t="shared" si="9"/>
        <v>0</v>
      </c>
      <c r="G23" s="1202">
        <f t="shared" si="10"/>
        <v>0</v>
      </c>
      <c r="H23" s="1200">
        <f>IF('Mkt Pen Veh-Mi'!H22=0,$H$5,($H$5-SUMPRODUCT(I23:M23,'Mkt Pen Veh-Mi'!I22:M22))/'Mkt Pen Veh-Mi'!H22)</f>
        <v>0.61452169476443286</v>
      </c>
      <c r="I23" s="1201">
        <f t="shared" si="11"/>
        <v>0</v>
      </c>
      <c r="J23" s="1201">
        <f t="shared" si="12"/>
        <v>0</v>
      </c>
      <c r="K23" s="1201">
        <f t="shared" si="13"/>
        <v>0</v>
      </c>
      <c r="L23" s="1201">
        <f t="shared" si="14"/>
        <v>0</v>
      </c>
      <c r="M23" s="1202">
        <f t="shared" si="15"/>
        <v>0</v>
      </c>
      <c r="N23" s="1200">
        <f>IF('Mkt Pen Veh-Mi'!N22=0,$N$5,($N$5-SUMPRODUCT(O23:S23,'Mkt Pen Veh-Mi'!O22:S22))/'Mkt Pen Veh-Mi'!N22)</f>
        <v>0.39932829612730575</v>
      </c>
      <c r="O23" s="1201">
        <f t="shared" si="16"/>
        <v>0</v>
      </c>
      <c r="P23" s="1201">
        <f t="shared" si="17"/>
        <v>0</v>
      </c>
      <c r="Q23" s="1201">
        <f t="shared" si="18"/>
        <v>0</v>
      </c>
      <c r="R23" s="1201">
        <f t="shared" si="19"/>
        <v>0</v>
      </c>
      <c r="S23" s="1202">
        <f t="shared" si="20"/>
        <v>0</v>
      </c>
    </row>
    <row r="24" spans="1:19" x14ac:dyDescent="0.25">
      <c r="A24" s="1193">
        <v>2021</v>
      </c>
      <c r="B24" s="1203">
        <f>IF('Mkt Pen Veh-Mi'!B23=0,$B$5,($B$5-SUMPRODUCT(C24:G24,'Mkt Pen Veh-Mi'!C23:G23))/'Mkt Pen Veh-Mi'!B23)</f>
        <v>0.23050629197540046</v>
      </c>
      <c r="C24" s="1204">
        <f t="shared" si="6"/>
        <v>0.22727740592562579</v>
      </c>
      <c r="D24" s="1204">
        <f t="shared" si="7"/>
        <v>0.22857580662085297</v>
      </c>
      <c r="E24" s="1204">
        <f t="shared" si="8"/>
        <v>0</v>
      </c>
      <c r="F24" s="1204">
        <f t="shared" si="9"/>
        <v>0</v>
      </c>
      <c r="G24" s="1205">
        <f t="shared" si="10"/>
        <v>0</v>
      </c>
      <c r="H24" s="1203">
        <f>IF('Mkt Pen Veh-Mi'!H23=0,$H$5,($H$5-SUMPRODUCT(I24:M24,'Mkt Pen Veh-Mi'!I23:M23))/'Mkt Pen Veh-Mi'!H23)</f>
        <v>0.61440838736840797</v>
      </c>
      <c r="I24" s="1204">
        <f t="shared" si="11"/>
        <v>0.61561381201286569</v>
      </c>
      <c r="J24" s="1204">
        <f t="shared" si="12"/>
        <v>0.62029096758055813</v>
      </c>
      <c r="K24" s="1204">
        <f t="shared" si="13"/>
        <v>0</v>
      </c>
      <c r="L24" s="1204">
        <f t="shared" si="14"/>
        <v>0</v>
      </c>
      <c r="M24" s="1205">
        <f t="shared" si="15"/>
        <v>0</v>
      </c>
      <c r="N24" s="1203">
        <f>IF('Mkt Pen Veh-Mi'!N23=0,$N$5,($N$5-SUMPRODUCT(O24:S24,'Mkt Pen Veh-Mi'!O23:S23))/'Mkt Pen Veh-Mi'!N23)</f>
        <v>0.39932829612730575</v>
      </c>
      <c r="O24" s="1204">
        <f t="shared" si="16"/>
        <v>0</v>
      </c>
      <c r="P24" s="1204">
        <f t="shared" si="17"/>
        <v>0</v>
      </c>
      <c r="Q24" s="1204">
        <f t="shared" si="18"/>
        <v>0</v>
      </c>
      <c r="R24" s="1204">
        <f t="shared" si="19"/>
        <v>0</v>
      </c>
      <c r="S24" s="1205">
        <f t="shared" si="20"/>
        <v>0</v>
      </c>
    </row>
    <row r="25" spans="1:19" x14ac:dyDescent="0.25">
      <c r="A25" s="1193">
        <v>2022</v>
      </c>
      <c r="B25" s="1196">
        <f>IF('Mkt Pen Veh-Mi'!B24=0,$B$5,($B$5-SUMPRODUCT(C25:G25,'Mkt Pen Veh-Mi'!C24:G24))/'Mkt Pen Veh-Mi'!B24)</f>
        <v>0.23080107793212032</v>
      </c>
      <c r="C25" s="1197">
        <f t="shared" si="6"/>
        <v>0.23051408239979657</v>
      </c>
      <c r="D25" s="1197">
        <f t="shared" si="7"/>
        <v>0.22244378637978604</v>
      </c>
      <c r="E25" s="1197">
        <f t="shared" si="8"/>
        <v>0.34322708970426091</v>
      </c>
      <c r="F25" s="1197">
        <f t="shared" si="9"/>
        <v>0</v>
      </c>
      <c r="G25" s="1198">
        <f t="shared" si="10"/>
        <v>0</v>
      </c>
      <c r="H25" s="1196">
        <f>IF('Mkt Pen Veh-Mi'!H24=0,$H$5,($H$5-SUMPRODUCT(I25:M25,'Mkt Pen Veh-Mi'!I24:M24))/'Mkt Pen Veh-Mi'!H24)</f>
        <v>0.61420213788915878</v>
      </c>
      <c r="I25" s="1197">
        <f t="shared" si="11"/>
        <v>0.61525954277213479</v>
      </c>
      <c r="J25" s="1197">
        <f t="shared" si="12"/>
        <v>0.62112589645487926</v>
      </c>
      <c r="K25" s="1197">
        <f t="shared" si="13"/>
        <v>0</v>
      </c>
      <c r="L25" s="1197">
        <f t="shared" si="14"/>
        <v>0</v>
      </c>
      <c r="M25" s="1198">
        <f t="shared" si="15"/>
        <v>0</v>
      </c>
      <c r="N25" s="1196">
        <f>IF('Mkt Pen Veh-Mi'!N24=0,$N$5,($N$5-SUMPRODUCT(O25:S25,'Mkt Pen Veh-Mi'!O24:S24))/'Mkt Pen Veh-Mi'!N24)</f>
        <v>0.39920316272880302</v>
      </c>
      <c r="O25" s="1197">
        <f t="shared" si="16"/>
        <v>0.4009267436586974</v>
      </c>
      <c r="P25" s="1197">
        <f t="shared" si="17"/>
        <v>0.41230404000534926</v>
      </c>
      <c r="Q25" s="1197">
        <f t="shared" si="18"/>
        <v>0.35134923415651892</v>
      </c>
      <c r="R25" s="1197">
        <f t="shared" si="19"/>
        <v>0</v>
      </c>
      <c r="S25" s="1198">
        <f t="shared" si="20"/>
        <v>0</v>
      </c>
    </row>
    <row r="26" spans="1:19" x14ac:dyDescent="0.25">
      <c r="A26" s="1193">
        <v>2023</v>
      </c>
      <c r="B26" s="1196">
        <f>IF('Mkt Pen Veh-Mi'!B25=0,$B$5,($B$5-SUMPRODUCT(C26:G26,'Mkt Pen Veh-Mi'!C25:G25))/'Mkt Pen Veh-Mi'!B25)</f>
        <v>0.23168479968224273</v>
      </c>
      <c r="C26" s="1197">
        <f t="shared" si="6"/>
        <v>0.22891128256138144</v>
      </c>
      <c r="D26" s="1197">
        <f t="shared" si="7"/>
        <v>0.22373394657279738</v>
      </c>
      <c r="E26" s="1197">
        <f t="shared" si="8"/>
        <v>0.22567498136939623</v>
      </c>
      <c r="F26" s="1197">
        <f t="shared" si="9"/>
        <v>0</v>
      </c>
      <c r="G26" s="1198">
        <f t="shared" si="10"/>
        <v>0</v>
      </c>
      <c r="H26" s="1196">
        <f>IF('Mkt Pen Veh-Mi'!H25=0,$H$5,($H$5-SUMPRODUCT(I26:M26,'Mkt Pen Veh-Mi'!I25:M25))/'Mkt Pen Veh-Mi'!H25)</f>
        <v>0.61333787597923117</v>
      </c>
      <c r="I26" s="1197">
        <f t="shared" si="11"/>
        <v>0.6169895253650951</v>
      </c>
      <c r="J26" s="1197">
        <f t="shared" si="12"/>
        <v>0.6224584970906254</v>
      </c>
      <c r="K26" s="1197">
        <f t="shared" si="13"/>
        <v>0</v>
      </c>
      <c r="L26" s="1197">
        <f t="shared" si="14"/>
        <v>0</v>
      </c>
      <c r="M26" s="1198">
        <f t="shared" si="15"/>
        <v>0</v>
      </c>
      <c r="N26" s="1196">
        <f>IF('Mkt Pen Veh-Mi'!N25=0,$N$5,($N$5-SUMPRODUCT(O26:S26,'Mkt Pen Veh-Mi'!O25:S25))/'Mkt Pen Veh-Mi'!N25)</f>
        <v>0.39901688411077302</v>
      </c>
      <c r="O26" s="1197">
        <f t="shared" si="16"/>
        <v>0.40040258066260337</v>
      </c>
      <c r="P26" s="1197">
        <f t="shared" si="17"/>
        <v>0.41224040252250266</v>
      </c>
      <c r="Q26" s="1197">
        <f t="shared" si="18"/>
        <v>0.36853365782581637</v>
      </c>
      <c r="R26" s="1197">
        <f t="shared" si="19"/>
        <v>0</v>
      </c>
      <c r="S26" s="1198">
        <f t="shared" si="20"/>
        <v>0</v>
      </c>
    </row>
    <row r="27" spans="1:19" x14ac:dyDescent="0.25">
      <c r="A27" s="1193">
        <v>2024</v>
      </c>
      <c r="B27" s="1196">
        <f>IF('Mkt Pen Veh-Mi'!B26=0,$B$5,($B$5-SUMPRODUCT(C27:G27,'Mkt Pen Veh-Mi'!C26:G26))/'Mkt Pen Veh-Mi'!B26)</f>
        <v>0.23494366281261186</v>
      </c>
      <c r="C27" s="1197">
        <f t="shared" si="6"/>
        <v>0.22536766319091103</v>
      </c>
      <c r="D27" s="1197">
        <f t="shared" si="7"/>
        <v>0.2259723323125889</v>
      </c>
      <c r="E27" s="1197">
        <f t="shared" si="8"/>
        <v>0.20768118401383473</v>
      </c>
      <c r="F27" s="1197">
        <f t="shared" si="9"/>
        <v>0</v>
      </c>
      <c r="G27" s="1198">
        <f t="shared" si="10"/>
        <v>0</v>
      </c>
      <c r="H27" s="1196">
        <f>IF('Mkt Pen Veh-Mi'!H26=0,$H$5,($H$5-SUMPRODUCT(I27:M27,'Mkt Pen Veh-Mi'!I26:M26))/'Mkt Pen Veh-Mi'!H26)</f>
        <v>0.61084283404527118</v>
      </c>
      <c r="I27" s="1197">
        <f t="shared" si="11"/>
        <v>0.62072102387118022</v>
      </c>
      <c r="J27" s="1197">
        <f t="shared" si="12"/>
        <v>0.62255518583026137</v>
      </c>
      <c r="K27" s="1197">
        <f t="shared" si="13"/>
        <v>0</v>
      </c>
      <c r="L27" s="1197">
        <f t="shared" si="14"/>
        <v>0</v>
      </c>
      <c r="M27" s="1198">
        <f t="shared" si="15"/>
        <v>0</v>
      </c>
      <c r="N27" s="1196">
        <f>IF('Mkt Pen Veh-Mi'!N26=0,$N$5,($N$5-SUMPRODUCT(O27:S27,'Mkt Pen Veh-Mi'!O26:S26))/'Mkt Pen Veh-Mi'!N26)</f>
        <v>0.39835166493897733</v>
      </c>
      <c r="O27" s="1197">
        <f t="shared" si="16"/>
        <v>0.39850248365218016</v>
      </c>
      <c r="P27" s="1197">
        <f t="shared" si="17"/>
        <v>0.41388988453241859</v>
      </c>
      <c r="Q27" s="1197">
        <f t="shared" si="18"/>
        <v>0.39263151084948639</v>
      </c>
      <c r="R27" s="1197">
        <f t="shared" si="19"/>
        <v>0</v>
      </c>
      <c r="S27" s="1198">
        <f t="shared" si="20"/>
        <v>0</v>
      </c>
    </row>
    <row r="28" spans="1:19" x14ac:dyDescent="0.25">
      <c r="A28" s="1199">
        <v>2025</v>
      </c>
      <c r="B28" s="1200">
        <f>IF('Mkt Pen Veh-Mi'!B27=0,$B$5,($B$5-SUMPRODUCT(C28:G28,'Mkt Pen Veh-Mi'!C27:G27))/'Mkt Pen Veh-Mi'!B27)</f>
        <v>0.2397694065478419</v>
      </c>
      <c r="C28" s="1201">
        <f t="shared" si="6"/>
        <v>0.22809388999714614</v>
      </c>
      <c r="D28" s="1201">
        <f t="shared" si="7"/>
        <v>0.22676752089165608</v>
      </c>
      <c r="E28" s="1201">
        <f t="shared" si="8"/>
        <v>0.20328491518258171</v>
      </c>
      <c r="F28" s="1201">
        <f t="shared" si="9"/>
        <v>0</v>
      </c>
      <c r="G28" s="1202">
        <f t="shared" si="10"/>
        <v>0</v>
      </c>
      <c r="H28" s="1200">
        <f>IF('Mkt Pen Veh-Mi'!H27=0,$H$5,($H$5-SUMPRODUCT(I28:M28,'Mkt Pen Veh-Mi'!I27:M27))/'Mkt Pen Veh-Mi'!H27)</f>
        <v>0.60732194822225949</v>
      </c>
      <c r="I28" s="1201">
        <f t="shared" si="11"/>
        <v>0.62143786070002749</v>
      </c>
      <c r="J28" s="1201">
        <f t="shared" si="12"/>
        <v>0.62319461726227543</v>
      </c>
      <c r="K28" s="1201">
        <f t="shared" si="13"/>
        <v>0</v>
      </c>
      <c r="L28" s="1201">
        <f t="shared" si="14"/>
        <v>0</v>
      </c>
      <c r="M28" s="1202">
        <f t="shared" si="15"/>
        <v>0</v>
      </c>
      <c r="N28" s="1200">
        <f>IF('Mkt Pen Veh-Mi'!N27=0,$N$5,($N$5-SUMPRODUCT(O28:S28,'Mkt Pen Veh-Mi'!O27:S27))/'Mkt Pen Veh-Mi'!N27)</f>
        <v>0.39910986439132917</v>
      </c>
      <c r="O28" s="1201">
        <f t="shared" si="16"/>
        <v>0.39718021236538387</v>
      </c>
      <c r="P28" s="1201">
        <f t="shared" si="17"/>
        <v>0.40313128557717864</v>
      </c>
      <c r="Q28" s="1201">
        <f t="shared" si="18"/>
        <v>0.39737569395637806</v>
      </c>
      <c r="R28" s="1201">
        <f t="shared" si="19"/>
        <v>0</v>
      </c>
      <c r="S28" s="1202">
        <f t="shared" si="20"/>
        <v>0</v>
      </c>
    </row>
    <row r="29" spans="1:19" x14ac:dyDescent="0.25">
      <c r="A29" s="1193">
        <v>2026</v>
      </c>
      <c r="B29" s="1203">
        <f>IF('Mkt Pen Veh-Mi'!B28=0,$B$5,($B$5-SUMPRODUCT(C29:G29,'Mkt Pen Veh-Mi'!C28:G28))/'Mkt Pen Veh-Mi'!B28)</f>
        <v>0.24611618294134668</v>
      </c>
      <c r="C29" s="1204">
        <f t="shared" si="6"/>
        <v>0.22987653391233243</v>
      </c>
      <c r="D29" s="1204">
        <f t="shared" si="7"/>
        <v>0.23023349666969206</v>
      </c>
      <c r="E29" s="1204">
        <f t="shared" si="8"/>
        <v>0.20388323438529016</v>
      </c>
      <c r="F29" s="1204">
        <f t="shared" si="9"/>
        <v>0</v>
      </c>
      <c r="G29" s="1205">
        <f t="shared" si="10"/>
        <v>0</v>
      </c>
      <c r="H29" s="1203">
        <f>IF('Mkt Pen Veh-Mi'!H28=0,$H$5,($H$5-SUMPRODUCT(I29:M29,'Mkt Pen Veh-Mi'!I28:M28))/'Mkt Pen Veh-Mi'!H28)</f>
        <v>0.60171604081937957</v>
      </c>
      <c r="I29" s="1204">
        <f t="shared" si="11"/>
        <v>0.62225039433750717</v>
      </c>
      <c r="J29" s="1204">
        <f t="shared" si="12"/>
        <v>0.6223928391308956</v>
      </c>
      <c r="K29" s="1204">
        <f t="shared" si="13"/>
        <v>0</v>
      </c>
      <c r="L29" s="1204">
        <f t="shared" si="14"/>
        <v>0</v>
      </c>
      <c r="M29" s="1205">
        <f t="shared" si="15"/>
        <v>0</v>
      </c>
      <c r="N29" s="1203">
        <f>IF('Mkt Pen Veh-Mi'!N28=0,$N$5,($N$5-SUMPRODUCT(O29:S29,'Mkt Pen Veh-Mi'!O28:S28))/'Mkt Pen Veh-Mi'!N28)</f>
        <v>0.39953045866742565</v>
      </c>
      <c r="O29" s="1204">
        <f t="shared" si="16"/>
        <v>0.40655385325303911</v>
      </c>
      <c r="P29" s="1204">
        <f t="shared" si="17"/>
        <v>0.39410586761589628</v>
      </c>
      <c r="Q29" s="1204">
        <f t="shared" si="18"/>
        <v>0.39906957213856875</v>
      </c>
      <c r="R29" s="1204">
        <f t="shared" si="19"/>
        <v>0.20984981265919234</v>
      </c>
      <c r="S29" s="1205">
        <f t="shared" si="20"/>
        <v>0</v>
      </c>
    </row>
    <row r="30" spans="1:19" x14ac:dyDescent="0.25">
      <c r="A30" s="1193">
        <v>2027</v>
      </c>
      <c r="B30" s="1196">
        <f>IF('Mkt Pen Veh-Mi'!B29=0,$B$5,($B$5-SUMPRODUCT(C30:G30,'Mkt Pen Veh-Mi'!C29:G29))/'Mkt Pen Veh-Mi'!B29)</f>
        <v>0.24947365256739426</v>
      </c>
      <c r="C30" s="1197">
        <f t="shared" si="6"/>
        <v>0.23258967266874075</v>
      </c>
      <c r="D30" s="1197">
        <f t="shared" si="7"/>
        <v>0.23099226161183017</v>
      </c>
      <c r="E30" s="1197">
        <f t="shared" si="8"/>
        <v>0.21068939434783202</v>
      </c>
      <c r="F30" s="1197">
        <f t="shared" si="9"/>
        <v>0</v>
      </c>
      <c r="G30" s="1198">
        <f t="shared" si="10"/>
        <v>0</v>
      </c>
      <c r="H30" s="1196">
        <f>IF('Mkt Pen Veh-Mi'!H29=0,$H$5,($H$5-SUMPRODUCT(I30:M30,'Mkt Pen Veh-Mi'!I29:M29))/'Mkt Pen Veh-Mi'!H29)</f>
        <v>0.59284662622799988</v>
      </c>
      <c r="I30" s="1197">
        <f t="shared" si="11"/>
        <v>0.62519752231111203</v>
      </c>
      <c r="J30" s="1197">
        <f t="shared" si="12"/>
        <v>0.62142778226755024</v>
      </c>
      <c r="K30" s="1197">
        <f t="shared" si="13"/>
        <v>0</v>
      </c>
      <c r="L30" s="1197">
        <f t="shared" si="14"/>
        <v>0</v>
      </c>
      <c r="M30" s="1198">
        <f t="shared" si="15"/>
        <v>0</v>
      </c>
      <c r="N30" s="1196">
        <f>IF('Mkt Pen Veh-Mi'!N29=0,$N$5,($N$5-SUMPRODUCT(O30:S30,'Mkt Pen Veh-Mi'!O29:S29))/'Mkt Pen Veh-Mi'!N29)</f>
        <v>0.39470129545486532</v>
      </c>
      <c r="O30" s="1197">
        <f t="shared" si="16"/>
        <v>0.40777848624960927</v>
      </c>
      <c r="P30" s="1197">
        <f t="shared" si="17"/>
        <v>0.40532030160265797</v>
      </c>
      <c r="Q30" s="1197">
        <f t="shared" si="18"/>
        <v>0.40155181146501173</v>
      </c>
      <c r="R30" s="1197">
        <f t="shared" si="19"/>
        <v>0.33808890927601776</v>
      </c>
      <c r="S30" s="1198">
        <f t="shared" si="20"/>
        <v>0</v>
      </c>
    </row>
    <row r="31" spans="1:19" x14ac:dyDescent="0.25">
      <c r="A31" s="1193">
        <v>2028</v>
      </c>
      <c r="B31" s="1196">
        <f>IF('Mkt Pen Veh-Mi'!B30=0,$B$5,($B$5-SUMPRODUCT(C31:G31,'Mkt Pen Veh-Mi'!C30:G30))/'Mkt Pen Veh-Mi'!B30)</f>
        <v>0.25118391336991386</v>
      </c>
      <c r="C31" s="1197">
        <f t="shared" si="6"/>
        <v>0.23402769758804032</v>
      </c>
      <c r="D31" s="1197">
        <f t="shared" si="7"/>
        <v>0.23297780673677074</v>
      </c>
      <c r="E31" s="1197">
        <f t="shared" si="8"/>
        <v>0.2115468183988862</v>
      </c>
      <c r="F31" s="1197">
        <f t="shared" si="9"/>
        <v>0</v>
      </c>
      <c r="G31" s="1198">
        <f t="shared" si="10"/>
        <v>0</v>
      </c>
      <c r="H31" s="1196">
        <f>IF('Mkt Pen Veh-Mi'!H30=0,$H$5,($H$5-SUMPRODUCT(I31:M31,'Mkt Pen Veh-Mi'!I30:M30))/'Mkt Pen Veh-Mi'!H30)</f>
        <v>0.59708686586529602</v>
      </c>
      <c r="I31" s="1197">
        <f t="shared" si="11"/>
        <v>0.620695935047193</v>
      </c>
      <c r="J31" s="1197">
        <f t="shared" si="12"/>
        <v>0.61959133547481848</v>
      </c>
      <c r="K31" s="1197">
        <f t="shared" si="13"/>
        <v>0</v>
      </c>
      <c r="L31" s="1197">
        <f t="shared" si="14"/>
        <v>0</v>
      </c>
      <c r="M31" s="1198">
        <f t="shared" si="15"/>
        <v>0</v>
      </c>
      <c r="N31" s="1196">
        <f>IF('Mkt Pen Veh-Mi'!N30=0,$N$5,($N$5-SUMPRODUCT(O31:S31,'Mkt Pen Veh-Mi'!O30:S30))/'Mkt Pen Veh-Mi'!N30)</f>
        <v>0.39526386371162492</v>
      </c>
      <c r="O31" s="1197">
        <f t="shared" si="16"/>
        <v>0.4034716000026608</v>
      </c>
      <c r="P31" s="1197">
        <f t="shared" si="17"/>
        <v>0.404432996111873</v>
      </c>
      <c r="Q31" s="1197">
        <f t="shared" si="18"/>
        <v>0.40181025016580141</v>
      </c>
      <c r="R31" s="1197">
        <f t="shared" si="19"/>
        <v>0.24981389944678439</v>
      </c>
      <c r="S31" s="1198">
        <f t="shared" si="20"/>
        <v>0</v>
      </c>
    </row>
    <row r="32" spans="1:19" x14ac:dyDescent="0.25">
      <c r="A32" s="1193">
        <v>2029</v>
      </c>
      <c r="B32" s="1196">
        <f>IF('Mkt Pen Veh-Mi'!B31=0,$B$5,($B$5-SUMPRODUCT(C32:G32,'Mkt Pen Veh-Mi'!C31:G31))/'Mkt Pen Veh-Mi'!B31)</f>
        <v>0.28572460259997379</v>
      </c>
      <c r="C32" s="1197">
        <f t="shared" si="6"/>
        <v>0.23141898899274677</v>
      </c>
      <c r="D32" s="1197">
        <f t="shared" si="7"/>
        <v>0.23134805972128542</v>
      </c>
      <c r="E32" s="1197">
        <f t="shared" si="8"/>
        <v>0.21852511788073958</v>
      </c>
      <c r="F32" s="1197">
        <f t="shared" si="9"/>
        <v>0</v>
      </c>
      <c r="G32" s="1198">
        <f t="shared" si="10"/>
        <v>0</v>
      </c>
      <c r="H32" s="1196">
        <f>IF('Mkt Pen Veh-Mi'!H31=0,$H$5,($H$5-SUMPRODUCT(I32:M32,'Mkt Pen Veh-Mi'!I31:M31))/'Mkt Pen Veh-Mi'!H31)</f>
        <v>0.59085184990799799</v>
      </c>
      <c r="I32" s="1197">
        <f t="shared" si="11"/>
        <v>0.62078079342699988</v>
      </c>
      <c r="J32" s="1197">
        <f t="shared" si="12"/>
        <v>0.62075863304834478</v>
      </c>
      <c r="K32" s="1197">
        <f t="shared" si="13"/>
        <v>0</v>
      </c>
      <c r="L32" s="1197">
        <f t="shared" si="14"/>
        <v>0</v>
      </c>
      <c r="M32" s="1198">
        <f t="shared" si="15"/>
        <v>0</v>
      </c>
      <c r="N32" s="1196">
        <f>IF('Mkt Pen Veh-Mi'!N31=0,$N$5,($N$5-SUMPRODUCT(O32:S32,'Mkt Pen Veh-Mi'!O31:S31))/'Mkt Pen Veh-Mi'!N31)</f>
        <v>0.39443096599862082</v>
      </c>
      <c r="O32" s="1197">
        <f t="shared" si="16"/>
        <v>0.40549752434094483</v>
      </c>
      <c r="P32" s="1197">
        <f t="shared" si="17"/>
        <v>0.40399516530243179</v>
      </c>
      <c r="Q32" s="1197">
        <f t="shared" si="18"/>
        <v>0.40363765169525756</v>
      </c>
      <c r="R32" s="1197">
        <f t="shared" si="19"/>
        <v>0.22868801483695445</v>
      </c>
      <c r="S32" s="1198">
        <f t="shared" si="20"/>
        <v>0</v>
      </c>
    </row>
    <row r="33" spans="1:19" x14ac:dyDescent="0.25">
      <c r="A33" s="1199">
        <v>2030</v>
      </c>
      <c r="B33" s="1200">
        <f>IF('Mkt Pen Veh-Mi'!B32=0,$B$5,($B$5-SUMPRODUCT(C33:G33,'Mkt Pen Veh-Mi'!C32:G32))/'Mkt Pen Veh-Mi'!B32)</f>
        <v>0.28066749582629824</v>
      </c>
      <c r="C33" s="1201">
        <f t="shared" si="6"/>
        <v>0.23238295234824322</v>
      </c>
      <c r="D33" s="1201">
        <f t="shared" si="7"/>
        <v>0.23241307429921168</v>
      </c>
      <c r="E33" s="1201">
        <f t="shared" si="8"/>
        <v>0.21935621396895824</v>
      </c>
      <c r="F33" s="1201">
        <f t="shared" si="9"/>
        <v>0</v>
      </c>
      <c r="G33" s="1202">
        <f t="shared" si="10"/>
        <v>0</v>
      </c>
      <c r="H33" s="1200">
        <f>IF('Mkt Pen Veh-Mi'!H32=0,$H$5,($H$5-SUMPRODUCT(I33:M33,'Mkt Pen Veh-Mi'!I32:M32))/'Mkt Pen Veh-Mi'!H32)</f>
        <v>0.5864256145167337</v>
      </c>
      <c r="I33" s="1201">
        <f t="shared" si="11"/>
        <v>0.62203150777435956</v>
      </c>
      <c r="J33" s="1201">
        <f t="shared" si="12"/>
        <v>0.61955710569010791</v>
      </c>
      <c r="K33" s="1201">
        <f t="shared" si="13"/>
        <v>0</v>
      </c>
      <c r="L33" s="1201">
        <f t="shared" si="14"/>
        <v>0</v>
      </c>
      <c r="M33" s="1202">
        <f t="shared" si="15"/>
        <v>0</v>
      </c>
      <c r="N33" s="1200">
        <f>IF('Mkt Pen Veh-Mi'!N32=0,$N$5,($N$5-SUMPRODUCT(O33:S33,'Mkt Pen Veh-Mi'!O32:S32))/'Mkt Pen Veh-Mi'!N32)</f>
        <v>0.39563665271449916</v>
      </c>
      <c r="O33" s="1201">
        <f t="shared" si="16"/>
        <v>0.40098454176867721</v>
      </c>
      <c r="P33" s="1201">
        <f t="shared" si="17"/>
        <v>0.40561272334501774</v>
      </c>
      <c r="Q33" s="1201">
        <f t="shared" si="18"/>
        <v>0.4045498278021657</v>
      </c>
      <c r="R33" s="1201">
        <f t="shared" si="19"/>
        <v>0.23533130570878813</v>
      </c>
      <c r="S33" s="1202">
        <f t="shared" si="20"/>
        <v>0</v>
      </c>
    </row>
    <row r="34" spans="1:19" x14ac:dyDescent="0.25">
      <c r="A34" s="1193">
        <v>2031</v>
      </c>
      <c r="B34" s="1203">
        <f>IF('Mkt Pen Veh-Mi'!B33=0,$B$5,($B$5-SUMPRODUCT(C34:G34,'Mkt Pen Veh-Mi'!C33:G33))/'Mkt Pen Veh-Mi'!B33)</f>
        <v>0.27912639929084193</v>
      </c>
      <c r="C34" s="1204">
        <f t="shared" si="6"/>
        <v>0.23249426103683463</v>
      </c>
      <c r="D34" s="1204">
        <f t="shared" si="7"/>
        <v>0.23235680750260373</v>
      </c>
      <c r="E34" s="1204">
        <f t="shared" si="8"/>
        <v>0.22008688954790728</v>
      </c>
      <c r="F34" s="1204">
        <f t="shared" si="9"/>
        <v>0</v>
      </c>
      <c r="G34" s="1205">
        <f t="shared" si="10"/>
        <v>0</v>
      </c>
      <c r="H34" s="1203">
        <f>IF('Mkt Pen Veh-Mi'!H33=0,$H$5,($H$5-SUMPRODUCT(I34:M34,'Mkt Pen Veh-Mi'!I33:M33))/'Mkt Pen Veh-Mi'!H33)</f>
        <v>0.58971527937671941</v>
      </c>
      <c r="I34" s="1204">
        <f t="shared" si="11"/>
        <v>0.62015107260912172</v>
      </c>
      <c r="J34" s="1204">
        <f t="shared" si="12"/>
        <v>0.61993941207925229</v>
      </c>
      <c r="K34" s="1204">
        <f t="shared" si="13"/>
        <v>0.33165581151645496</v>
      </c>
      <c r="L34" s="1204">
        <f t="shared" si="14"/>
        <v>0</v>
      </c>
      <c r="M34" s="1205">
        <f t="shared" si="15"/>
        <v>0</v>
      </c>
      <c r="N34" s="1203">
        <f>IF('Mkt Pen Veh-Mi'!N33=0,$N$5,($N$5-SUMPRODUCT(O34:S34,'Mkt Pen Veh-Mi'!O33:S33))/'Mkt Pen Veh-Mi'!N33)</f>
        <v>0.39559197930870615</v>
      </c>
      <c r="O34" s="1204">
        <f t="shared" si="16"/>
        <v>0.40503802269279615</v>
      </c>
      <c r="P34" s="1204">
        <f t="shared" si="17"/>
        <v>0.4029578662172657</v>
      </c>
      <c r="Q34" s="1204">
        <f t="shared" si="18"/>
        <v>0.40628934658560922</v>
      </c>
      <c r="R34" s="1204">
        <f t="shared" si="19"/>
        <v>0.24051390538150175</v>
      </c>
      <c r="S34" s="1205">
        <f t="shared" si="20"/>
        <v>0</v>
      </c>
    </row>
    <row r="35" spans="1:19" x14ac:dyDescent="0.25">
      <c r="A35" s="1193">
        <v>2032</v>
      </c>
      <c r="B35" s="1196">
        <f>IF('Mkt Pen Veh-Mi'!B34=0,$B$5,($B$5-SUMPRODUCT(C35:G35,'Mkt Pen Veh-Mi'!C34:G34))/'Mkt Pen Veh-Mi'!B34)</f>
        <v>0.28034516769757445</v>
      </c>
      <c r="C35" s="1197">
        <f t="shared" si="6"/>
        <v>0.23262240853555755</v>
      </c>
      <c r="D35" s="1197">
        <f t="shared" si="7"/>
        <v>0.23234997984606592</v>
      </c>
      <c r="E35" s="1197">
        <f t="shared" si="8"/>
        <v>0.22014889334025706</v>
      </c>
      <c r="F35" s="1197">
        <f t="shared" si="9"/>
        <v>0</v>
      </c>
      <c r="G35" s="1198">
        <f t="shared" si="10"/>
        <v>0</v>
      </c>
      <c r="H35" s="1196">
        <f>IF('Mkt Pen Veh-Mi'!H34=0,$H$5,($H$5-SUMPRODUCT(I35:M35,'Mkt Pen Veh-Mi'!I34:M34))/'Mkt Pen Veh-Mi'!H34)</f>
        <v>0.59116663249959733</v>
      </c>
      <c r="I35" s="1197">
        <f t="shared" si="11"/>
        <v>0.6197484335769855</v>
      </c>
      <c r="J35" s="1197">
        <f t="shared" si="12"/>
        <v>0.62014446405639134</v>
      </c>
      <c r="K35" s="1197">
        <f t="shared" si="13"/>
        <v>0.53149628518255554</v>
      </c>
      <c r="L35" s="1197">
        <f t="shared" si="14"/>
        <v>0</v>
      </c>
      <c r="M35" s="1198">
        <f t="shared" si="15"/>
        <v>0</v>
      </c>
      <c r="N35" s="1196">
        <f>IF('Mkt Pen Veh-Mi'!N34=0,$N$5,($N$5-SUMPRODUCT(O35:S35,'Mkt Pen Veh-Mi'!O34:S34))/'Mkt Pen Veh-Mi'!N34)</f>
        <v>0.39686877912574309</v>
      </c>
      <c r="O35" s="1197">
        <f t="shared" si="16"/>
        <v>0.4059535665558483</v>
      </c>
      <c r="P35" s="1197">
        <f t="shared" si="17"/>
        <v>0.40214146891109354</v>
      </c>
      <c r="Q35" s="1197">
        <f t="shared" si="18"/>
        <v>0.40422263638048694</v>
      </c>
      <c r="R35" s="1197">
        <f t="shared" si="19"/>
        <v>0.24502911850990924</v>
      </c>
      <c r="S35" s="1198">
        <f t="shared" si="20"/>
        <v>0</v>
      </c>
    </row>
    <row r="36" spans="1:19" x14ac:dyDescent="0.25">
      <c r="A36" s="1193">
        <v>2033</v>
      </c>
      <c r="B36" s="1196">
        <f>IF('Mkt Pen Veh-Mi'!B35=0,$B$5,($B$5-SUMPRODUCT(C36:G36,'Mkt Pen Veh-Mi'!C35:G35))/'Mkt Pen Veh-Mi'!B35)</f>
        <v>0.28276771466359535</v>
      </c>
      <c r="C36" s="1197">
        <f t="shared" si="6"/>
        <v>0.23211289419021139</v>
      </c>
      <c r="D36" s="1197">
        <f t="shared" si="7"/>
        <v>0.23157463262870326</v>
      </c>
      <c r="E36" s="1197">
        <f t="shared" si="8"/>
        <v>0.22189120147697611</v>
      </c>
      <c r="F36" s="1197">
        <f t="shared" si="9"/>
        <v>0</v>
      </c>
      <c r="G36" s="1198">
        <f t="shared" si="10"/>
        <v>0</v>
      </c>
      <c r="H36" s="1196">
        <f>IF('Mkt Pen Veh-Mi'!H35=0,$H$5,($H$5-SUMPRODUCT(I36:M36,'Mkt Pen Veh-Mi'!I35:M35))/'Mkt Pen Veh-Mi'!H35)</f>
        <v>0.59734895357250128</v>
      </c>
      <c r="I36" s="1197">
        <f t="shared" si="11"/>
        <v>0.61769200373260214</v>
      </c>
      <c r="J36" s="1197">
        <f t="shared" si="12"/>
        <v>0.61913325670852459</v>
      </c>
      <c r="K36" s="1197">
        <f t="shared" si="13"/>
        <v>0.60193037800649318</v>
      </c>
      <c r="L36" s="1197">
        <f t="shared" si="14"/>
        <v>0</v>
      </c>
      <c r="M36" s="1198">
        <f t="shared" si="15"/>
        <v>0</v>
      </c>
      <c r="N36" s="1196">
        <f>IF('Mkt Pen Veh-Mi'!N35=0,$N$5,($N$5-SUMPRODUCT(O36:S36,'Mkt Pen Veh-Mi'!O35:S35))/'Mkt Pen Veh-Mi'!N35)</f>
        <v>0.39686552669861397</v>
      </c>
      <c r="O36" s="1197">
        <f t="shared" si="16"/>
        <v>0.40257315246574121</v>
      </c>
      <c r="P36" s="1197">
        <f t="shared" si="17"/>
        <v>0.40307587934971778</v>
      </c>
      <c r="Q36" s="1197">
        <f t="shared" si="18"/>
        <v>0.40965347386468354</v>
      </c>
      <c r="R36" s="1197">
        <f t="shared" si="19"/>
        <v>0.25464865030318606</v>
      </c>
      <c r="S36" s="1198">
        <f t="shared" si="20"/>
        <v>0</v>
      </c>
    </row>
    <row r="37" spans="1:19" x14ac:dyDescent="0.25">
      <c r="A37" s="1193">
        <v>2034</v>
      </c>
      <c r="B37" s="1196">
        <f>IF('Mkt Pen Veh-Mi'!B36=0,$B$5,($B$5-SUMPRODUCT(C37:G37,'Mkt Pen Veh-Mi'!C36:G36))/'Mkt Pen Veh-Mi'!B36)</f>
        <v>0.28654508467945866</v>
      </c>
      <c r="C37" s="1197">
        <f t="shared" si="6"/>
        <v>0.23199730129608664</v>
      </c>
      <c r="D37" s="1197">
        <f t="shared" si="7"/>
        <v>0.23196339568759192</v>
      </c>
      <c r="E37" s="1197">
        <f t="shared" si="8"/>
        <v>0.22141172169464737</v>
      </c>
      <c r="F37" s="1197">
        <f t="shared" si="9"/>
        <v>0</v>
      </c>
      <c r="G37" s="1198">
        <f t="shared" si="10"/>
        <v>0</v>
      </c>
      <c r="H37" s="1196">
        <f>IF('Mkt Pen Veh-Mi'!H36=0,$H$5,($H$5-SUMPRODUCT(I37:M37,'Mkt Pen Veh-Mi'!I36:M36))/'Mkt Pen Veh-Mi'!H36)</f>
        <v>0.59734132517966876</v>
      </c>
      <c r="I37" s="1197">
        <f t="shared" si="11"/>
        <v>0.61814530992529915</v>
      </c>
      <c r="J37" s="1197">
        <f t="shared" si="12"/>
        <v>0.61814530992529926</v>
      </c>
      <c r="K37" s="1197">
        <f t="shared" si="13"/>
        <v>0.61920418649517595</v>
      </c>
      <c r="L37" s="1197">
        <f t="shared" si="14"/>
        <v>0</v>
      </c>
      <c r="M37" s="1198">
        <f t="shared" si="15"/>
        <v>0</v>
      </c>
      <c r="N37" s="1196">
        <f>IF('Mkt Pen Veh-Mi'!N36=0,$N$5,($N$5-SUMPRODUCT(O37:S37,'Mkt Pen Veh-Mi'!O36:S36))/'Mkt Pen Veh-Mi'!N36)</f>
        <v>0.39681177500777404</v>
      </c>
      <c r="O37" s="1197">
        <f t="shared" si="16"/>
        <v>0.4032045975377041</v>
      </c>
      <c r="P37" s="1197">
        <f t="shared" si="17"/>
        <v>0.40364844948199397</v>
      </c>
      <c r="Q37" s="1197">
        <f t="shared" si="18"/>
        <v>0.41050492303816405</v>
      </c>
      <c r="R37" s="1197">
        <f t="shared" si="19"/>
        <v>0.26739392965852254</v>
      </c>
      <c r="S37" s="1198">
        <f t="shared" si="20"/>
        <v>0</v>
      </c>
    </row>
    <row r="38" spans="1:19" x14ac:dyDescent="0.25">
      <c r="A38" s="1199">
        <v>2035</v>
      </c>
      <c r="B38" s="1200">
        <f>IF('Mkt Pen Veh-Mi'!B37=0,$B$5,($B$5-SUMPRODUCT(C38:G38,'Mkt Pen Veh-Mi'!C37:G37))/'Mkt Pen Veh-Mi'!B37)</f>
        <v>0.31892258082874275</v>
      </c>
      <c r="C38" s="1201">
        <f t="shared" si="6"/>
        <v>0.23097164746781937</v>
      </c>
      <c r="D38" s="1201">
        <f t="shared" si="7"/>
        <v>0.23149523143149539</v>
      </c>
      <c r="E38" s="1201">
        <f t="shared" si="8"/>
        <v>0.22150560798756799</v>
      </c>
      <c r="F38" s="1201">
        <f t="shared" si="9"/>
        <v>0</v>
      </c>
      <c r="G38" s="1202">
        <f t="shared" si="10"/>
        <v>0</v>
      </c>
      <c r="H38" s="1200">
        <f>IF('Mkt Pen Veh-Mi'!H37=0,$H$5,($H$5-SUMPRODUCT(I38:M38,'Mkt Pen Veh-Mi'!I37:M37))/'Mkt Pen Veh-Mi'!H37)</f>
        <v>0.59945848574746907</v>
      </c>
      <c r="I38" s="1201">
        <f t="shared" si="11"/>
        <v>0.61667201155833717</v>
      </c>
      <c r="J38" s="1201">
        <f t="shared" si="12"/>
        <v>0.61824079117307285</v>
      </c>
      <c r="K38" s="1201">
        <f t="shared" si="13"/>
        <v>0.62019941345739582</v>
      </c>
      <c r="L38" s="1201">
        <f t="shared" si="14"/>
        <v>0</v>
      </c>
      <c r="M38" s="1202">
        <f t="shared" si="15"/>
        <v>0</v>
      </c>
      <c r="N38" s="1200">
        <f>IF('Mkt Pen Veh-Mi'!N37=0,$N$5,($N$5-SUMPRODUCT(O38:S38,'Mkt Pen Veh-Mi'!O37:S37))/'Mkt Pen Veh-Mi'!N37)</f>
        <v>0.39781534804454621</v>
      </c>
      <c r="O38" s="1201">
        <f t="shared" si="16"/>
        <v>0.40915887016627206</v>
      </c>
      <c r="P38" s="1201">
        <f t="shared" si="17"/>
        <v>0.40215989621554182</v>
      </c>
      <c r="Q38" s="1201">
        <f t="shared" si="18"/>
        <v>0.40373751199532126</v>
      </c>
      <c r="R38" s="1201">
        <f t="shared" si="19"/>
        <v>0.28924537265767286</v>
      </c>
      <c r="S38" s="1202">
        <f t="shared" si="20"/>
        <v>0</v>
      </c>
    </row>
    <row r="39" spans="1:19" x14ac:dyDescent="0.25">
      <c r="A39" s="1193">
        <v>2036</v>
      </c>
      <c r="B39" s="1203">
        <f>IF('Mkt Pen Veh-Mi'!B38=0,$B$5,($B$5-SUMPRODUCT(C39:G39,'Mkt Pen Veh-Mi'!C38:G38))/'Mkt Pen Veh-Mi'!B38)</f>
        <v>0.30013580264153461</v>
      </c>
      <c r="C39" s="1204">
        <f t="shared" si="6"/>
        <v>0.23139122501548734</v>
      </c>
      <c r="D39" s="1204">
        <f t="shared" si="7"/>
        <v>0.23158173322366521</v>
      </c>
      <c r="E39" s="1204">
        <f t="shared" si="8"/>
        <v>0.22247479645995996</v>
      </c>
      <c r="F39" s="1204">
        <f t="shared" si="9"/>
        <v>5.8807285332125689E-2</v>
      </c>
      <c r="G39" s="1205">
        <f t="shared" si="10"/>
        <v>0</v>
      </c>
      <c r="H39" s="1203">
        <f>IF('Mkt Pen Veh-Mi'!H38=0,$H$5,($H$5-SUMPRODUCT(I39:M39,'Mkt Pen Veh-Mi'!I38:M38))/'Mkt Pen Veh-Mi'!H38)</f>
        <v>0.59893220000830572</v>
      </c>
      <c r="I39" s="1204">
        <f t="shared" si="11"/>
        <v>0.6180154510865683</v>
      </c>
      <c r="J39" s="1204">
        <f t="shared" si="12"/>
        <v>0.61774805249376985</v>
      </c>
      <c r="K39" s="1204">
        <f t="shared" si="13"/>
        <v>0.61491501647608104</v>
      </c>
      <c r="L39" s="1204">
        <f t="shared" si="14"/>
        <v>0</v>
      </c>
      <c r="M39" s="1205">
        <f t="shared" si="15"/>
        <v>0</v>
      </c>
      <c r="N39" s="1203">
        <f>IF('Mkt Pen Veh-Mi'!N38=0,$N$5,($N$5-SUMPRODUCT(O39:S39,'Mkt Pen Veh-Mi'!O38:S38))/'Mkt Pen Veh-Mi'!N38)</f>
        <v>0.39378058752170686</v>
      </c>
      <c r="O39" s="1204">
        <f t="shared" si="16"/>
        <v>0.40975124591630852</v>
      </c>
      <c r="P39" s="1204">
        <f t="shared" si="17"/>
        <v>0.40640525649747172</v>
      </c>
      <c r="Q39" s="1204">
        <f t="shared" si="18"/>
        <v>0.40745581632590655</v>
      </c>
      <c r="R39" s="1204">
        <f t="shared" si="19"/>
        <v>0.3026724370709179</v>
      </c>
      <c r="S39" s="1205">
        <f t="shared" si="20"/>
        <v>0</v>
      </c>
    </row>
    <row r="40" spans="1:19" x14ac:dyDescent="0.25">
      <c r="A40" s="1193">
        <v>2037</v>
      </c>
      <c r="B40" s="1196">
        <f>IF('Mkt Pen Veh-Mi'!B39=0,$B$5,($B$5-SUMPRODUCT(C40:G40,'Mkt Pen Veh-Mi'!C39:G39))/'Mkt Pen Veh-Mi'!B39)</f>
        <v>0.30014977346668825</v>
      </c>
      <c r="C40" s="1197">
        <f t="shared" si="6"/>
        <v>0.23139709776540993</v>
      </c>
      <c r="D40" s="1197">
        <f t="shared" si="7"/>
        <v>0.23158762713942996</v>
      </c>
      <c r="E40" s="1197">
        <f t="shared" si="8"/>
        <v>0.22248272695341223</v>
      </c>
      <c r="F40" s="1197">
        <f t="shared" si="9"/>
        <v>7.7939739250096243E-2</v>
      </c>
      <c r="G40" s="1198">
        <f t="shared" si="10"/>
        <v>0</v>
      </c>
      <c r="H40" s="1196">
        <f>IF('Mkt Pen Veh-Mi'!H39=0,$H$5,($H$5-SUMPRODUCT(I40:M40,'Mkt Pen Veh-Mi'!I39:M39))/'Mkt Pen Veh-Mi'!H39)</f>
        <v>0.59893183663812077</v>
      </c>
      <c r="I40" s="1197">
        <f t="shared" si="11"/>
        <v>0.61611378118401872</v>
      </c>
      <c r="J40" s="1197">
        <f t="shared" si="12"/>
        <v>0.61584128545657724</v>
      </c>
      <c r="K40" s="1197">
        <f t="shared" si="13"/>
        <v>0.60801434741165084</v>
      </c>
      <c r="L40" s="1197">
        <f t="shared" si="14"/>
        <v>0</v>
      </c>
      <c r="M40" s="1198">
        <f t="shared" si="15"/>
        <v>0.99796354981152502</v>
      </c>
      <c r="N40" s="1196">
        <f>IF('Mkt Pen Veh-Mi'!N39=0,$N$5,($N$5-SUMPRODUCT(O40:S40,'Mkt Pen Veh-Mi'!O39:S39))/'Mkt Pen Veh-Mi'!N39)</f>
        <v>0.39378045110669579</v>
      </c>
      <c r="O40" s="1197">
        <f t="shared" si="16"/>
        <v>0.41184744292717701</v>
      </c>
      <c r="P40" s="1197">
        <f t="shared" si="17"/>
        <v>0.40602686144785544</v>
      </c>
      <c r="Q40" s="1197">
        <f t="shared" si="18"/>
        <v>0.40686549910113168</v>
      </c>
      <c r="R40" s="1197">
        <f t="shared" si="19"/>
        <v>0.29676909198561024</v>
      </c>
      <c r="S40" s="1198">
        <f t="shared" si="20"/>
        <v>0</v>
      </c>
    </row>
    <row r="41" spans="1:19" x14ac:dyDescent="0.25">
      <c r="A41" s="1193">
        <v>2038</v>
      </c>
      <c r="B41" s="1196">
        <f>IF('Mkt Pen Veh-Mi'!B40=0,$B$5,($B$5-SUMPRODUCT(C41:G41,'Mkt Pen Veh-Mi'!C40:G40))/'Mkt Pen Veh-Mi'!B40)</f>
        <v>0.31271173422779908</v>
      </c>
      <c r="C41" s="1197">
        <f t="shared" si="6"/>
        <v>0.23112130559004299</v>
      </c>
      <c r="D41" s="1197">
        <f t="shared" si="7"/>
        <v>0.23149063249055843</v>
      </c>
      <c r="E41" s="1197">
        <f t="shared" si="8"/>
        <v>0.22238344105210714</v>
      </c>
      <c r="F41" s="1197">
        <f t="shared" si="9"/>
        <v>0.12998085457067032</v>
      </c>
      <c r="G41" s="1198">
        <f t="shared" si="10"/>
        <v>0.23108480861868286</v>
      </c>
      <c r="H41" s="1196">
        <f>IF('Mkt Pen Veh-Mi'!H40=0,$H$5,($H$5-SUMPRODUCT(I41:M41,'Mkt Pen Veh-Mi'!I40:M40))/'Mkt Pen Veh-Mi'!H40)</f>
        <v>0.59893170295743703</v>
      </c>
      <c r="I41" s="1197">
        <f t="shared" si="11"/>
        <v>0.59400336599555281</v>
      </c>
      <c r="J41" s="1197">
        <f t="shared" si="12"/>
        <v>0.59400336599555281</v>
      </c>
      <c r="K41" s="1197">
        <f t="shared" si="13"/>
        <v>0.56589582303490071</v>
      </c>
      <c r="L41" s="1197">
        <f t="shared" si="14"/>
        <v>0</v>
      </c>
      <c r="M41" s="1198">
        <f t="shared" si="15"/>
        <v>0.99937279988537131</v>
      </c>
      <c r="N41" s="1196">
        <f>IF('Mkt Pen Veh-Mi'!N40=0,$N$5,($N$5-SUMPRODUCT(O41:S41,'Mkt Pen Veh-Mi'!O40:S40))/'Mkt Pen Veh-Mi'!N40)</f>
        <v>0.39378040092072986</v>
      </c>
      <c r="O41" s="1197">
        <f t="shared" si="16"/>
        <v>0.40356422953703774</v>
      </c>
      <c r="P41" s="1197">
        <f t="shared" si="17"/>
        <v>0.40854647226267177</v>
      </c>
      <c r="Q41" s="1197">
        <f t="shared" si="18"/>
        <v>0.41411413977284445</v>
      </c>
      <c r="R41" s="1197">
        <f t="shared" si="19"/>
        <v>0.30572621854362858</v>
      </c>
      <c r="S41" s="1198">
        <f t="shared" si="20"/>
        <v>2.4183732220609547E-2</v>
      </c>
    </row>
    <row r="42" spans="1:19" x14ac:dyDescent="0.25">
      <c r="A42" s="1193">
        <v>2039</v>
      </c>
      <c r="B42" s="1196">
        <f>IF('Mkt Pen Veh-Mi'!B41=0,$B$5,($B$5-SUMPRODUCT(C42:G42,'Mkt Pen Veh-Mi'!C41:G41))/'Mkt Pen Veh-Mi'!B41)</f>
        <v>0.31435723466367071</v>
      </c>
      <c r="C42" s="1197">
        <f t="shared" si="6"/>
        <v>0.22676205571186092</v>
      </c>
      <c r="D42" s="1197">
        <f t="shared" si="7"/>
        <v>0.22713317704984118</v>
      </c>
      <c r="E42" s="1197">
        <f t="shared" si="8"/>
        <v>0.21622435844713112</v>
      </c>
      <c r="F42" s="1197">
        <f t="shared" si="9"/>
        <v>0.14411143070819771</v>
      </c>
      <c r="G42" s="1198">
        <f t="shared" si="10"/>
        <v>0.98329909567606932</v>
      </c>
      <c r="H42" s="1196">
        <f>IF('Mkt Pen Veh-Mi'!H41=0,$H$5,($H$5-SUMPRODUCT(I42:M42,'Mkt Pen Veh-Mi'!I41:M41))/'Mkt Pen Veh-Mi'!H41)</f>
        <v>0.59893165377848501</v>
      </c>
      <c r="I42" s="1197">
        <f t="shared" si="11"/>
        <v>0.56587735533192951</v>
      </c>
      <c r="J42" s="1197">
        <f t="shared" si="12"/>
        <v>0.56587735533192962</v>
      </c>
      <c r="K42" s="1197">
        <f t="shared" si="13"/>
        <v>0.54123676818800115</v>
      </c>
      <c r="L42" s="1197">
        <f t="shared" si="14"/>
        <v>0</v>
      </c>
      <c r="M42" s="1198">
        <f t="shared" si="15"/>
        <v>0.99902592814032098</v>
      </c>
      <c r="N42" s="1196">
        <f>IF('Mkt Pen Veh-Mi'!N41=0,$N$5,($N$5-SUMPRODUCT(O42:S42,'Mkt Pen Veh-Mi'!O41:S41))/'Mkt Pen Veh-Mi'!N41)</f>
        <v>0.39507037981409077</v>
      </c>
      <c r="O42" s="1197">
        <f t="shared" si="16"/>
        <v>0.40270684205490764</v>
      </c>
      <c r="P42" s="1197">
        <f t="shared" si="17"/>
        <v>0.40719967385033928</v>
      </c>
      <c r="Q42" s="1197">
        <f t="shared" si="18"/>
        <v>0.41489688123418667</v>
      </c>
      <c r="R42" s="1197">
        <f t="shared" si="19"/>
        <v>0.30795593506224528</v>
      </c>
      <c r="S42" s="1198">
        <f t="shared" si="20"/>
        <v>8.4057827894318982E-2</v>
      </c>
    </row>
    <row r="43" spans="1:19" x14ac:dyDescent="0.25">
      <c r="A43" s="1199">
        <v>2040</v>
      </c>
      <c r="B43" s="1200">
        <f>IF('Mkt Pen Veh-Mi'!B42=0,$B$5,($B$5-SUMPRODUCT(C43:G43,'Mkt Pen Veh-Mi'!C42:G42))/'Mkt Pen Veh-Mi'!B42)</f>
        <v>0.30956275486493084</v>
      </c>
      <c r="C43" s="1201">
        <f t="shared" si="6"/>
        <v>0.21398850797975705</v>
      </c>
      <c r="D43" s="1201">
        <f t="shared" si="7"/>
        <v>0.2141765112233496</v>
      </c>
      <c r="E43" s="1201">
        <f t="shared" si="8"/>
        <v>0.20197005523673725</v>
      </c>
      <c r="F43" s="1201">
        <f t="shared" si="9"/>
        <v>0.12990352112908407</v>
      </c>
      <c r="G43" s="1202">
        <f t="shared" si="10"/>
        <v>0.98594984595097135</v>
      </c>
      <c r="H43" s="1222">
        <f>IF('Mkt Pen Veh-Mi'!H42=0,$H$5,($H$5-SUMPRODUCT(I43:M43,'Mkt Pen Veh-Mi'!I42:M42))/'Mkt Pen Veh-Mi'!H42)</f>
        <v>0.59808177747391167</v>
      </c>
      <c r="I43" s="1223">
        <f t="shared" si="11"/>
        <v>0.54950707973441981</v>
      </c>
      <c r="J43" s="1223">
        <f t="shared" si="12"/>
        <v>0.54993462503541746</v>
      </c>
      <c r="K43" s="1223">
        <f t="shared" si="13"/>
        <v>0.53603324259172824</v>
      </c>
      <c r="L43" s="1223">
        <f t="shared" si="14"/>
        <v>0</v>
      </c>
      <c r="M43" s="1224">
        <f t="shared" si="15"/>
        <v>0.99816765048160838</v>
      </c>
      <c r="N43" s="1196">
        <f>IF('Mkt Pen Veh-Mi'!N42=0,$N$5,($N$5-SUMPRODUCT(O43:S43,'Mkt Pen Veh-Mi'!O42:S42))/'Mkt Pen Veh-Mi'!N42)</f>
        <v>0.39507037443077081</v>
      </c>
      <c r="O43" s="1197">
        <f t="shared" si="16"/>
        <v>0.40908498730390142</v>
      </c>
      <c r="P43" s="1197">
        <f t="shared" si="17"/>
        <v>0.40681487671861338</v>
      </c>
      <c r="Q43" s="1197">
        <f t="shared" si="18"/>
        <v>0.40805287700196519</v>
      </c>
      <c r="R43" s="1197">
        <f t="shared" si="19"/>
        <v>0.32223578977018097</v>
      </c>
      <c r="S43" s="1198">
        <f t="shared" si="20"/>
        <v>0.17820413146149161</v>
      </c>
    </row>
    <row r="44" spans="1:19" x14ac:dyDescent="0.25">
      <c r="A44" s="1193">
        <v>2041</v>
      </c>
      <c r="B44" s="1203">
        <f>IF('Mkt Pen Veh-Mi'!B43=0,$B$5,($B$5-SUMPRODUCT(C44:G44,'Mkt Pen Veh-Mi'!C43:G43))/'Mkt Pen Veh-Mi'!B43)</f>
        <v>0.30956306287793484</v>
      </c>
      <c r="C44" s="1204">
        <f t="shared" si="6"/>
        <v>0.20257182813136465</v>
      </c>
      <c r="D44" s="1204">
        <f t="shared" si="7"/>
        <v>0.20273813057409326</v>
      </c>
      <c r="E44" s="1204">
        <f t="shared" si="8"/>
        <v>0.19304793610708193</v>
      </c>
      <c r="F44" s="1204">
        <f t="shared" si="9"/>
        <v>0.13056353064706089</v>
      </c>
      <c r="G44" s="1205">
        <f t="shared" si="10"/>
        <v>0.97963707374079245</v>
      </c>
      <c r="H44" s="1203">
        <f>IF('Mkt Pen Veh-Mi'!H43=0,$H$5,($H$5-SUMPRODUCT(I44:M44,'Mkt Pen Veh-Mi'!I43:M43))/'Mkt Pen Veh-Mi'!H43)</f>
        <v>0.59808177037655619</v>
      </c>
      <c r="I44" s="1204">
        <f t="shared" si="11"/>
        <v>0.54158940803430178</v>
      </c>
      <c r="J44" s="1204">
        <f t="shared" si="12"/>
        <v>0.54202251051726391</v>
      </c>
      <c r="K44" s="1204">
        <f t="shared" si="13"/>
        <v>0.53029969634395657</v>
      </c>
      <c r="L44" s="1204">
        <f t="shared" si="14"/>
        <v>0</v>
      </c>
      <c r="M44" s="1205">
        <f t="shared" si="15"/>
        <v>0.99664540082391417</v>
      </c>
      <c r="N44" s="1203">
        <f>IF('Mkt Pen Veh-Mi'!N43=0,$N$5,($N$5-SUMPRODUCT(O44:S44,'Mkt Pen Veh-Mi'!O43:S43))/'Mkt Pen Veh-Mi'!N43)</f>
        <v>0.39507037245035476</v>
      </c>
      <c r="O44" s="1204">
        <f t="shared" si="16"/>
        <v>0.40924746810295082</v>
      </c>
      <c r="P44" s="1204">
        <f t="shared" si="17"/>
        <v>0.40688078576830339</v>
      </c>
      <c r="Q44" s="1204">
        <f t="shared" si="18"/>
        <v>0.40817693497259289</v>
      </c>
      <c r="R44" s="1204">
        <f t="shared" si="19"/>
        <v>0.34248766510258388</v>
      </c>
      <c r="S44" s="1205">
        <f t="shared" si="20"/>
        <v>0.25055476381838265</v>
      </c>
    </row>
    <row r="45" spans="1:19" x14ac:dyDescent="0.25">
      <c r="A45" s="1193">
        <v>2042</v>
      </c>
      <c r="B45" s="1196">
        <f>IF('Mkt Pen Veh-Mi'!B44=0,$B$5,($B$5-SUMPRODUCT(C45:G45,'Mkt Pen Veh-Mi'!C44:G44))/'Mkt Pen Veh-Mi'!B44)</f>
        <v>0.30956317619018114</v>
      </c>
      <c r="C45" s="1197">
        <f t="shared" si="6"/>
        <v>0.19644756409594114</v>
      </c>
      <c r="D45" s="1197">
        <f t="shared" si="7"/>
        <v>0.19656474711539076</v>
      </c>
      <c r="E45" s="1197">
        <f t="shared" si="8"/>
        <v>0.18560208419738825</v>
      </c>
      <c r="F45" s="1197">
        <f t="shared" si="9"/>
        <v>0.11489092109392485</v>
      </c>
      <c r="G45" s="1198">
        <f t="shared" si="10"/>
        <v>0.96795420317492775</v>
      </c>
      <c r="H45" s="1196">
        <f>IF('Mkt Pen Veh-Mi'!H44=0,$H$5,($H$5-SUMPRODUCT(I45:M45,'Mkt Pen Veh-Mi'!I44:M44))/'Mkt Pen Veh-Mi'!H44)</f>
        <v>0.58648523990065082</v>
      </c>
      <c r="I45" s="1197">
        <f t="shared" si="11"/>
        <v>0.54108157618526176</v>
      </c>
      <c r="J45" s="1197">
        <f t="shared" si="12"/>
        <v>0.54083140553677378</v>
      </c>
      <c r="K45" s="1197">
        <f t="shared" si="13"/>
        <v>0.53235345125561895</v>
      </c>
      <c r="L45" s="1197">
        <f t="shared" si="14"/>
        <v>0</v>
      </c>
      <c r="M45" s="1198">
        <f t="shared" si="15"/>
        <v>0.99407743909690816</v>
      </c>
      <c r="N45" s="1196">
        <f>IF('Mkt Pen Veh-Mi'!N44=0,$N$5,($N$5-SUMPRODUCT(O45:S45,'Mkt Pen Veh-Mi'!O44:S44))/'Mkt Pen Veh-Mi'!N44)</f>
        <v>0.39504908018860024</v>
      </c>
      <c r="O45" s="1197">
        <f t="shared" si="16"/>
        <v>0.40864736931692452</v>
      </c>
      <c r="P45" s="1197">
        <f t="shared" si="17"/>
        <v>0.40633408829167772</v>
      </c>
      <c r="Q45" s="1197">
        <f t="shared" si="18"/>
        <v>0.40733615894551195</v>
      </c>
      <c r="R45" s="1197">
        <f t="shared" si="19"/>
        <v>0.36243012388114937</v>
      </c>
      <c r="S45" s="1198">
        <f t="shared" si="20"/>
        <v>0.33830447348279291</v>
      </c>
    </row>
    <row r="46" spans="1:19" x14ac:dyDescent="0.25">
      <c r="A46" s="1193">
        <v>2043</v>
      </c>
      <c r="B46" s="1196">
        <f>IF('Mkt Pen Veh-Mi'!B45=0,$B$5,($B$5-SUMPRODUCT(C46:G46,'Mkt Pen Veh-Mi'!C45:G45))/'Mkt Pen Veh-Mi'!B45)</f>
        <v>0.30956321787551594</v>
      </c>
      <c r="C46" s="1197">
        <f t="shared" si="6"/>
        <v>0.19457616559224902</v>
      </c>
      <c r="D46" s="1197">
        <f t="shared" si="7"/>
        <v>0.19469669838449336</v>
      </c>
      <c r="E46" s="1197">
        <f t="shared" si="8"/>
        <v>0.18418959835616916</v>
      </c>
      <c r="F46" s="1197">
        <f t="shared" si="9"/>
        <v>0.13078929930405303</v>
      </c>
      <c r="G46" s="1198">
        <f t="shared" si="10"/>
        <v>0.94922548540628537</v>
      </c>
      <c r="H46" s="1196">
        <f>IF('Mkt Pen Veh-Mi'!H45=0,$H$5,($H$5-SUMPRODUCT(I46:M46,'Mkt Pen Veh-Mi'!I45:M45))/'Mkt Pen Veh-Mi'!H45)</f>
        <v>0.50908271720216325</v>
      </c>
      <c r="I46" s="1197">
        <f t="shared" si="11"/>
        <v>0.55482075109950668</v>
      </c>
      <c r="J46" s="1197">
        <f t="shared" si="12"/>
        <v>0.55446346727119256</v>
      </c>
      <c r="K46" s="1197">
        <f t="shared" si="13"/>
        <v>0.5391638114018027</v>
      </c>
      <c r="L46" s="1197">
        <f t="shared" si="14"/>
        <v>0.19584025348341699</v>
      </c>
      <c r="M46" s="1198">
        <f t="shared" si="15"/>
        <v>0.99063645586316895</v>
      </c>
      <c r="N46" s="1196">
        <f>IF('Mkt Pen Veh-Mi'!N45=0,$N$5,($N$5-SUMPRODUCT(O46:S46,'Mkt Pen Veh-Mi'!O45:S45))/'Mkt Pen Veh-Mi'!N45)</f>
        <v>0.39504907991915716</v>
      </c>
      <c r="O46" s="1197">
        <f t="shared" si="16"/>
        <v>0.40776345969261291</v>
      </c>
      <c r="P46" s="1197">
        <f t="shared" si="17"/>
        <v>0.40596035660465524</v>
      </c>
      <c r="Q46" s="1197">
        <f t="shared" si="18"/>
        <v>0.40573077427370902</v>
      </c>
      <c r="R46" s="1197">
        <f t="shared" si="19"/>
        <v>0.36811225535344344</v>
      </c>
      <c r="S46" s="1198">
        <f t="shared" si="20"/>
        <v>0.39277643042772181</v>
      </c>
    </row>
    <row r="47" spans="1:19" x14ac:dyDescent="0.25">
      <c r="A47" s="1193">
        <v>2044</v>
      </c>
      <c r="B47" s="1196">
        <f>IF('Mkt Pen Veh-Mi'!B46=0,$B$5,($B$5-SUMPRODUCT(C47:G47,'Mkt Pen Veh-Mi'!C46:G46))/'Mkt Pen Veh-Mi'!B46)</f>
        <v>0.30956323321069823</v>
      </c>
      <c r="C47" s="1197">
        <f t="shared" si="6"/>
        <v>0.19362519998556718</v>
      </c>
      <c r="D47" s="1197">
        <f t="shared" si="7"/>
        <v>0.193807170665766</v>
      </c>
      <c r="E47" s="1197">
        <f t="shared" si="8"/>
        <v>0.18427839534159404</v>
      </c>
      <c r="F47" s="1197">
        <f t="shared" si="9"/>
        <v>0.14977759251280887</v>
      </c>
      <c r="G47" s="1198">
        <f t="shared" si="10"/>
        <v>0.93721891606706509</v>
      </c>
      <c r="H47" s="1196">
        <f>IF('Mkt Pen Veh-Mi'!H46=0,$H$5,($H$5-SUMPRODUCT(I47:M47,'Mkt Pen Veh-Mi'!I46:M46))/'Mkt Pen Veh-Mi'!H46)</f>
        <v>0.44582452374946302</v>
      </c>
      <c r="I47" s="1197">
        <f t="shared" si="11"/>
        <v>0.56144103999783779</v>
      </c>
      <c r="J47" s="1197">
        <f t="shared" si="12"/>
        <v>0.56190598678332448</v>
      </c>
      <c r="K47" s="1197">
        <f t="shared" si="13"/>
        <v>0.55140986034590567</v>
      </c>
      <c r="L47" s="1197">
        <f t="shared" si="14"/>
        <v>0.44798532168054833</v>
      </c>
      <c r="M47" s="1198">
        <f t="shared" si="15"/>
        <v>0.98837025315970695</v>
      </c>
      <c r="N47" s="1196">
        <f>IF('Mkt Pen Veh-Mi'!N46=0,$N$5,($N$5-SUMPRODUCT(O47:S47,'Mkt Pen Veh-Mi'!O46:S46))/'Mkt Pen Veh-Mi'!N46)</f>
        <v>0.39507037135518014</v>
      </c>
      <c r="O47" s="1197">
        <f t="shared" si="16"/>
        <v>0.40560443708512328</v>
      </c>
      <c r="P47" s="1197">
        <f t="shared" si="17"/>
        <v>0.40466481996577142</v>
      </c>
      <c r="Q47" s="1197">
        <f t="shared" si="18"/>
        <v>0.40263905589630894</v>
      </c>
      <c r="R47" s="1197">
        <f t="shared" si="19"/>
        <v>0.38500839814965548</v>
      </c>
      <c r="S47" s="1198">
        <f t="shared" si="20"/>
        <v>0.40565053775996573</v>
      </c>
    </row>
    <row r="48" spans="1:19" x14ac:dyDescent="0.25">
      <c r="A48" s="1199">
        <v>2045</v>
      </c>
      <c r="B48" s="1200">
        <f>IF('Mkt Pen Veh-Mi'!B47=0,$B$5,($B$5-SUMPRODUCT(C48:G48,'Mkt Pen Veh-Mi'!C47:G47))/'Mkt Pen Veh-Mi'!B47)</f>
        <v>0.30956323885220322</v>
      </c>
      <c r="C48" s="1201">
        <f t="shared" si="6"/>
        <v>0.19326498254024702</v>
      </c>
      <c r="D48" s="1201">
        <f t="shared" si="7"/>
        <v>0.1934524248538351</v>
      </c>
      <c r="E48" s="1201">
        <f t="shared" si="8"/>
        <v>0.18424130813504427</v>
      </c>
      <c r="F48" s="1201">
        <f t="shared" si="9"/>
        <v>0.16102508294529533</v>
      </c>
      <c r="G48" s="1202">
        <f t="shared" si="10"/>
        <v>0.90513877130554388</v>
      </c>
      <c r="H48" s="1200">
        <f>IF('Mkt Pen Veh-Mi'!H47=0,$H$5,($H$5-SUMPRODUCT(I48:M48,'Mkt Pen Veh-Mi'!I47:M47))/'Mkt Pen Veh-Mi'!H47)</f>
        <v>0.3687562655909416</v>
      </c>
      <c r="I48" s="1201">
        <f t="shared" si="11"/>
        <v>0.56644195206179915</v>
      </c>
      <c r="J48" s="1201">
        <f t="shared" si="12"/>
        <v>0.56686269544096568</v>
      </c>
      <c r="K48" s="1201">
        <f t="shared" si="13"/>
        <v>0.56189109581241559</v>
      </c>
      <c r="L48" s="1201">
        <f t="shared" si="14"/>
        <v>0.5212777756596213</v>
      </c>
      <c r="M48" s="1202">
        <f t="shared" si="15"/>
        <v>0.98186059468660591</v>
      </c>
      <c r="N48" s="1200">
        <f>IF('Mkt Pen Veh-Mi'!N47=0,$N$5,($N$5-SUMPRODUCT(O48:S48,'Mkt Pen Veh-Mi'!O47:S47))/'Mkt Pen Veh-Mi'!N47)</f>
        <v>0.39507037131890743</v>
      </c>
      <c r="O48" s="1201">
        <f t="shared" si="16"/>
        <v>0.40763018477908952</v>
      </c>
      <c r="P48" s="1201">
        <f t="shared" si="17"/>
        <v>0.40754341628131929</v>
      </c>
      <c r="Q48" s="1201">
        <f t="shared" si="18"/>
        <v>0.40385597689532571</v>
      </c>
      <c r="R48" s="1201">
        <f t="shared" si="19"/>
        <v>0.38069934118124965</v>
      </c>
      <c r="S48" s="1202">
        <f t="shared" si="20"/>
        <v>0.39673093808887067</v>
      </c>
    </row>
    <row r="49" spans="1:19" x14ac:dyDescent="0.25">
      <c r="A49" s="1193">
        <v>2046</v>
      </c>
      <c r="B49" s="1203">
        <f>IF('Mkt Pen Veh-Mi'!B48=0,$B$5,($B$5-SUMPRODUCT(C49:G49,'Mkt Pen Veh-Mi'!C48:G48))/'Mkt Pen Veh-Mi'!B48)</f>
        <v>0.31435862618948529</v>
      </c>
      <c r="C49" s="1204">
        <f t="shared" si="6"/>
        <v>0.19290480945643254</v>
      </c>
      <c r="D49" s="1204">
        <f t="shared" si="7"/>
        <v>0.19321988246276336</v>
      </c>
      <c r="E49" s="1204">
        <f t="shared" si="8"/>
        <v>0.18484211790959859</v>
      </c>
      <c r="F49" s="1204">
        <f t="shared" si="9"/>
        <v>0.17051906547622056</v>
      </c>
      <c r="G49" s="1205">
        <f t="shared" si="10"/>
        <v>0.86091422013892205</v>
      </c>
      <c r="H49" s="1203">
        <f>IF('Mkt Pen Veh-Mi'!H48=0,$H$5,($H$5-SUMPRODUCT(I49:M49,'Mkt Pen Veh-Mi'!I48:M48))/'Mkt Pen Veh-Mi'!H48)</f>
        <v>0.33207313094453345</v>
      </c>
      <c r="I49" s="1204">
        <f t="shared" si="11"/>
        <v>0.56979964533823113</v>
      </c>
      <c r="J49" s="1204">
        <f t="shared" si="12"/>
        <v>0.56969096209630821</v>
      </c>
      <c r="K49" s="1204">
        <f t="shared" si="13"/>
        <v>0.56344659159864485</v>
      </c>
      <c r="L49" s="1204">
        <f t="shared" si="14"/>
        <v>0.53904963464052402</v>
      </c>
      <c r="M49" s="1205">
        <f t="shared" si="15"/>
        <v>0.97223776994143851</v>
      </c>
      <c r="N49" s="1203">
        <f>IF('Mkt Pen Veh-Mi'!N48=0,$N$5,($N$5-SUMPRODUCT(O49:S49,'Mkt Pen Veh-Mi'!O48:S48))/'Mkt Pen Veh-Mi'!N48)</f>
        <v>0.39507037130556355</v>
      </c>
      <c r="O49" s="1204">
        <f t="shared" si="16"/>
        <v>0.40660960497452719</v>
      </c>
      <c r="P49" s="1204">
        <f t="shared" si="17"/>
        <v>0.40675760442372233</v>
      </c>
      <c r="Q49" s="1204">
        <f t="shared" si="18"/>
        <v>0.40277211382540956</v>
      </c>
      <c r="R49" s="1204">
        <f t="shared" si="19"/>
        <v>0.38391410367817869</v>
      </c>
      <c r="S49" s="1205">
        <f t="shared" si="20"/>
        <v>0.4044585758343166</v>
      </c>
    </row>
    <row r="50" spans="1:19" x14ac:dyDescent="0.25">
      <c r="A50" s="1193">
        <v>2047</v>
      </c>
      <c r="B50" s="1196">
        <f>IF('Mkt Pen Veh-Mi'!B49=0,$B$5,($B$5-SUMPRODUCT(C50:G50,'Mkt Pen Veh-Mi'!C49:G49))/'Mkt Pen Veh-Mi'!B49)</f>
        <v>0.31271540938064668</v>
      </c>
      <c r="C50" s="1197">
        <f t="shared" si="6"/>
        <v>0.19338830565000939</v>
      </c>
      <c r="D50" s="1197">
        <f t="shared" si="7"/>
        <v>0.19368967914022203</v>
      </c>
      <c r="E50" s="1197">
        <f t="shared" si="8"/>
        <v>0.18550072840955031</v>
      </c>
      <c r="F50" s="1197">
        <f t="shared" si="9"/>
        <v>0.17478457404136813</v>
      </c>
      <c r="G50" s="1198">
        <f t="shared" si="10"/>
        <v>0.80649707874790888</v>
      </c>
      <c r="H50" s="1196">
        <f>IF('Mkt Pen Veh-Mi'!H49=0,$H$5,($H$5-SUMPRODUCT(I50:M50,'Mkt Pen Veh-Mi'!I49:M49))/'Mkt Pen Veh-Mi'!H49)</f>
        <v>0.30369044623358038</v>
      </c>
      <c r="I50" s="1197">
        <f t="shared" si="11"/>
        <v>0.57169931646407612</v>
      </c>
      <c r="J50" s="1197">
        <f t="shared" si="12"/>
        <v>0.57169931646407612</v>
      </c>
      <c r="K50" s="1197">
        <f t="shared" si="13"/>
        <v>0.56825728739107184</v>
      </c>
      <c r="L50" s="1197">
        <f t="shared" si="14"/>
        <v>0.56198011237840306</v>
      </c>
      <c r="M50" s="1198">
        <f t="shared" si="15"/>
        <v>0.95927961974986886</v>
      </c>
      <c r="N50" s="1196">
        <f>IF('Mkt Pen Veh-Mi'!N49=0,$N$5,($N$5-SUMPRODUCT(O50:S50,'Mkt Pen Veh-Mi'!O49:S49))/'Mkt Pen Veh-Mi'!N49)</f>
        <v>0.39376196367342609</v>
      </c>
      <c r="O50" s="1197">
        <f t="shared" si="16"/>
        <v>0.40016066863516059</v>
      </c>
      <c r="P50" s="1197">
        <f t="shared" si="17"/>
        <v>0.40745197880068573</v>
      </c>
      <c r="Q50" s="1197">
        <f t="shared" si="18"/>
        <v>0.40805219707194612</v>
      </c>
      <c r="R50" s="1197">
        <f t="shared" si="19"/>
        <v>0.38889990947378078</v>
      </c>
      <c r="S50" s="1198">
        <f t="shared" si="20"/>
        <v>0.41287432209163921</v>
      </c>
    </row>
    <row r="51" spans="1:19" x14ac:dyDescent="0.25">
      <c r="A51" s="1193">
        <v>2048</v>
      </c>
      <c r="B51" s="1196">
        <f>IF('Mkt Pen Veh-Mi'!B50=0,$B$5,($B$5-SUMPRODUCT(C51:G51,'Mkt Pen Veh-Mi'!C50:G50))/'Mkt Pen Veh-Mi'!B50)</f>
        <v>0.31271540938064629</v>
      </c>
      <c r="C51" s="1197">
        <f t="shared" si="6"/>
        <v>0.19334905238156122</v>
      </c>
      <c r="D51" s="1197">
        <f t="shared" si="7"/>
        <v>0.19365183693719187</v>
      </c>
      <c r="E51" s="1197">
        <f t="shared" si="8"/>
        <v>0.18564994200703422</v>
      </c>
      <c r="F51" s="1197">
        <f t="shared" si="9"/>
        <v>0.17727011509598412</v>
      </c>
      <c r="G51" s="1198">
        <f t="shared" si="10"/>
        <v>0.77620628057977525</v>
      </c>
      <c r="H51" s="1196">
        <f>IF('Mkt Pen Veh-Mi'!H50=0,$H$5,($H$5-SUMPRODUCT(I51:M51,'Mkt Pen Veh-Mi'!I50:M50))/'Mkt Pen Veh-Mi'!H50)</f>
        <v>0.23905478418055129</v>
      </c>
      <c r="I51" s="1197">
        <f t="shared" si="11"/>
        <v>0.57463729054473001</v>
      </c>
      <c r="J51" s="1197">
        <f t="shared" si="12"/>
        <v>0.57463729054473012</v>
      </c>
      <c r="K51" s="1197">
        <f t="shared" si="13"/>
        <v>0.5707100018953366</v>
      </c>
      <c r="L51" s="1197">
        <f t="shared" si="14"/>
        <v>0.5695506796732922</v>
      </c>
      <c r="M51" s="1198">
        <f t="shared" si="15"/>
        <v>0.9515387229911807</v>
      </c>
      <c r="N51" s="1196">
        <f>IF('Mkt Pen Veh-Mi'!N50=0,$N$5,($N$5-SUMPRODUCT(O51:S51,'Mkt Pen Veh-Mi'!O50:S50))/'Mkt Pen Veh-Mi'!N50)</f>
        <v>0.39376196367342609</v>
      </c>
      <c r="O51" s="1197">
        <f t="shared" si="16"/>
        <v>0.40098099904127033</v>
      </c>
      <c r="P51" s="1197">
        <f t="shared" si="17"/>
        <v>0.40826312933076025</v>
      </c>
      <c r="Q51" s="1197">
        <f t="shared" si="18"/>
        <v>0.40860400650897</v>
      </c>
      <c r="R51" s="1197">
        <f t="shared" si="19"/>
        <v>0.38877334354460225</v>
      </c>
      <c r="S51" s="1198">
        <f t="shared" si="20"/>
        <v>0.40869260159112364</v>
      </c>
    </row>
    <row r="52" spans="1:19" x14ac:dyDescent="0.25">
      <c r="A52" s="1193">
        <v>2049</v>
      </c>
      <c r="B52" s="1196">
        <f>IF('Mkt Pen Veh-Mi'!B51=0,$B$5,($B$5-SUMPRODUCT(C52:G52,'Mkt Pen Veh-Mi'!C51:G51))/'Mkt Pen Veh-Mi'!B51)</f>
        <v>0.31271540938064857</v>
      </c>
      <c r="C52" s="1197">
        <f t="shared" si="6"/>
        <v>0.193707950173136</v>
      </c>
      <c r="D52" s="1197">
        <f t="shared" si="7"/>
        <v>0.19400920686068959</v>
      </c>
      <c r="E52" s="1197">
        <f t="shared" si="8"/>
        <v>0.18801649266331794</v>
      </c>
      <c r="F52" s="1197">
        <f t="shared" si="9"/>
        <v>0.17941872971615633</v>
      </c>
      <c r="G52" s="1198">
        <f t="shared" si="10"/>
        <v>0.71118184088885228</v>
      </c>
      <c r="H52" s="1196">
        <f>IF('Mkt Pen Veh-Mi'!H51=0,$H$5,($H$5-SUMPRODUCT(I52:M52,'Mkt Pen Veh-Mi'!I51:M51))/'Mkt Pen Veh-Mi'!H51)</f>
        <v>0.20370765655306278</v>
      </c>
      <c r="I52" s="1197">
        <f t="shared" si="11"/>
        <v>0.57644010576867866</v>
      </c>
      <c r="J52" s="1197">
        <f t="shared" si="12"/>
        <v>0.57644010576867855</v>
      </c>
      <c r="K52" s="1197">
        <f t="shared" si="13"/>
        <v>0.57590102504289842</v>
      </c>
      <c r="L52" s="1197">
        <f t="shared" si="14"/>
        <v>0.57551863017025351</v>
      </c>
      <c r="M52" s="1198">
        <f t="shared" si="15"/>
        <v>0.93244928213028822</v>
      </c>
      <c r="N52" s="1196">
        <f>IF('Mkt Pen Veh-Mi'!N51=0,$N$5,($N$5-SUMPRODUCT(O52:S52,'Mkt Pen Veh-Mi'!O51:S51))/'Mkt Pen Veh-Mi'!N51)</f>
        <v>0.39370823830152291</v>
      </c>
      <c r="O52" s="1197">
        <f t="shared" si="16"/>
        <v>0.40102716247843601</v>
      </c>
      <c r="P52" s="1197">
        <f t="shared" si="17"/>
        <v>0.40851220882115846</v>
      </c>
      <c r="Q52" s="1197">
        <f t="shared" si="18"/>
        <v>0.40846080352050329</v>
      </c>
      <c r="R52" s="1197">
        <f t="shared" si="19"/>
        <v>0.38881371779834467</v>
      </c>
      <c r="S52" s="1198">
        <f t="shared" si="20"/>
        <v>0.40826032619685249</v>
      </c>
    </row>
    <row r="53" spans="1:19" ht="15.75" thickBot="1" x14ac:dyDescent="0.3">
      <c r="A53" s="1206">
        <v>2050</v>
      </c>
      <c r="B53" s="1207">
        <f>IF('Mkt Pen Veh-Mi'!B52=0,$B$5,($B$5-SUMPRODUCT(C53:G53,'Mkt Pen Veh-Mi'!C52:G52))/'Mkt Pen Veh-Mi'!B52)</f>
        <v>0.31271540938064857</v>
      </c>
      <c r="C53" s="1208">
        <f t="shared" si="6"/>
        <v>0.19473858457144855</v>
      </c>
      <c r="D53" s="1208">
        <f t="shared" si="7"/>
        <v>0.19504303861764591</v>
      </c>
      <c r="E53" s="1208">
        <f t="shared" si="8"/>
        <v>0.18856624608376565</v>
      </c>
      <c r="F53" s="1208">
        <f t="shared" si="9"/>
        <v>0.17854411146215304</v>
      </c>
      <c r="G53" s="1209">
        <f t="shared" si="10"/>
        <v>0.67806014542042969</v>
      </c>
      <c r="H53" s="1207">
        <f>IF('Mkt Pen Veh-Mi'!H52=0,$H$5,($H$5-SUMPRODUCT(I53:M53,'Mkt Pen Veh-Mi'!I52:M52))/'Mkt Pen Veh-Mi'!H52)</f>
        <v>0.17103502676528157</v>
      </c>
      <c r="I53" s="1208">
        <f t="shared" si="11"/>
        <v>0.57784614351111074</v>
      </c>
      <c r="J53" s="1208">
        <f t="shared" si="12"/>
        <v>0.57784614351111074</v>
      </c>
      <c r="K53" s="1208">
        <f t="shared" si="13"/>
        <v>0.57820967130541323</v>
      </c>
      <c r="L53" s="1208">
        <f t="shared" si="14"/>
        <v>0.58512153131190903</v>
      </c>
      <c r="M53" s="1209">
        <f t="shared" si="15"/>
        <v>0.92077635488821241</v>
      </c>
      <c r="N53" s="1207">
        <f>IF('Mkt Pen Veh-Mi'!N52=0,$N$5,($N$5-SUMPRODUCT(O53:S53,'Mkt Pen Veh-Mi'!O52:S52))/'Mkt Pen Veh-Mi'!N52)</f>
        <v>0.39370823830152279</v>
      </c>
      <c r="O53" s="1208">
        <f t="shared" si="16"/>
        <v>0.39861505766238919</v>
      </c>
      <c r="P53" s="1208">
        <f t="shared" si="17"/>
        <v>0.40552801179516701</v>
      </c>
      <c r="Q53" s="1208">
        <f t="shared" si="18"/>
        <v>0.40657530882459131</v>
      </c>
      <c r="R53" s="1208">
        <f t="shared" si="19"/>
        <v>0.39458689161195781</v>
      </c>
      <c r="S53" s="1209">
        <f t="shared" si="20"/>
        <v>0.41496413474483718</v>
      </c>
    </row>
    <row r="55" spans="1:19" x14ac:dyDescent="0.25">
      <c r="K55" s="1178">
        <f>MATCH($A53,$A$10:$A$53,0)</f>
        <v>44</v>
      </c>
    </row>
    <row r="56" spans="1:19" x14ac:dyDescent="0.25">
      <c r="K56" s="1178">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178" customFormat="1" ht="15.75" x14ac:dyDescent="0.25">
      <c r="A1" s="1210" t="s">
        <v>329</v>
      </c>
    </row>
    <row r="2" spans="1:19" s="1178" customFormat="1" ht="15" x14ac:dyDescent="0.25"/>
    <row r="3" spans="1:19" s="1178" customFormat="1" ht="15.75" thickBot="1" x14ac:dyDescent="0.3"/>
    <row r="4" spans="1:19" s="1178" customFormat="1" ht="15" x14ac:dyDescent="0.25">
      <c r="A4" s="1179"/>
      <c r="B4" s="1616" t="s">
        <v>250</v>
      </c>
      <c r="C4" s="1617"/>
      <c r="D4" s="1617"/>
      <c r="E4" s="1617"/>
      <c r="F4" s="1617"/>
      <c r="G4" s="1618"/>
      <c r="H4" s="1616" t="s">
        <v>251</v>
      </c>
      <c r="I4" s="1617"/>
      <c r="J4" s="1617"/>
      <c r="K4" s="1617"/>
      <c r="L4" s="1617"/>
      <c r="M4" s="1618"/>
      <c r="N4" s="1616" t="s">
        <v>155</v>
      </c>
      <c r="O4" s="1617"/>
      <c r="P4" s="1617"/>
      <c r="Q4" s="1617"/>
      <c r="R4" s="1617"/>
      <c r="S4" s="1618"/>
    </row>
    <row r="5" spans="1:19" s="1178" customFormat="1" ht="15" x14ac:dyDescent="0.25">
      <c r="A5" s="1180"/>
      <c r="B5" s="1619" t="s">
        <v>129</v>
      </c>
      <c r="C5" s="1620"/>
      <c r="D5" s="1620"/>
      <c r="E5" s="1620"/>
      <c r="F5" s="1620"/>
      <c r="G5" s="1621"/>
      <c r="H5" s="1619" t="s">
        <v>129</v>
      </c>
      <c r="I5" s="1620"/>
      <c r="J5" s="1620"/>
      <c r="K5" s="1620"/>
      <c r="L5" s="1620"/>
      <c r="M5" s="1621"/>
      <c r="N5" s="1619" t="s">
        <v>129</v>
      </c>
      <c r="O5" s="1620"/>
      <c r="P5" s="1620"/>
      <c r="Q5" s="1620"/>
      <c r="R5" s="1620"/>
      <c r="S5" s="1621"/>
    </row>
    <row r="6" spans="1:19" s="1178" customFormat="1" ht="15" x14ac:dyDescent="0.25">
      <c r="A6" s="1180"/>
      <c r="B6" s="1181" t="s">
        <v>69</v>
      </c>
      <c r="C6" s="1182" t="s">
        <v>65</v>
      </c>
      <c r="D6" s="1182" t="s">
        <v>66</v>
      </c>
      <c r="E6" s="1182" t="s">
        <v>67</v>
      </c>
      <c r="F6" s="1182" t="s">
        <v>206</v>
      </c>
      <c r="G6" s="1183" t="s">
        <v>207</v>
      </c>
      <c r="H6" s="1181" t="s">
        <v>69</v>
      </c>
      <c r="I6" s="1182" t="s">
        <v>65</v>
      </c>
      <c r="J6" s="1182" t="s">
        <v>66</v>
      </c>
      <c r="K6" s="1182" t="s">
        <v>67</v>
      </c>
      <c r="L6" s="1182" t="s">
        <v>206</v>
      </c>
      <c r="M6" s="1183" t="s">
        <v>207</v>
      </c>
      <c r="N6" s="1181" t="s">
        <v>69</v>
      </c>
      <c r="O6" s="1182" t="s">
        <v>65</v>
      </c>
      <c r="P6" s="1182" t="s">
        <v>66</v>
      </c>
      <c r="Q6" s="1182" t="s">
        <v>67</v>
      </c>
      <c r="R6" s="1182" t="s">
        <v>206</v>
      </c>
      <c r="S6" s="1183" t="s">
        <v>207</v>
      </c>
    </row>
    <row r="7" spans="1:19" s="1178" customFormat="1" ht="45" x14ac:dyDescent="0.25">
      <c r="A7" s="1184"/>
      <c r="B7" s="1185" t="str">
        <f t="shared" ref="B7:G7" si="0">INDEX(TECH_OPT_DESC_Cls1,MATCH(B6,TECH_OPT_ROWS_Cls1,0))</f>
        <v>Conventional Diesel ICE</v>
      </c>
      <c r="C7" s="1186" t="str">
        <f t="shared" si="0"/>
        <v>Adv Conv</v>
      </c>
      <c r="D7" s="1186" t="str">
        <f t="shared" si="0"/>
        <v>ISG</v>
      </c>
      <c r="E7" s="1186" t="str">
        <f t="shared" si="0"/>
        <v>HEV</v>
      </c>
      <c r="F7" s="1186" t="str">
        <f t="shared" si="0"/>
        <v>PHEV</v>
      </c>
      <c r="G7" s="1187" t="str">
        <f t="shared" si="0"/>
        <v>FCHEV</v>
      </c>
      <c r="H7" s="1185" t="str">
        <f t="shared" ref="H7:M7" si="1">INDEX(TECH_OPT_DESC_Cls2,MATCH(H6,TECH_OPT_ROWS_Cls2,0))</f>
        <v>Conventional Diesel ICE</v>
      </c>
      <c r="I7" s="1186" t="str">
        <f t="shared" si="1"/>
        <v>Adv Conv</v>
      </c>
      <c r="J7" s="1186" t="str">
        <f t="shared" si="1"/>
        <v>ISG</v>
      </c>
      <c r="K7" s="1186" t="str">
        <f t="shared" si="1"/>
        <v>PHEV</v>
      </c>
      <c r="L7" s="1186" t="str">
        <f t="shared" si="1"/>
        <v>BEV</v>
      </c>
      <c r="M7" s="1187" t="str">
        <f t="shared" si="1"/>
        <v>FCHEV</v>
      </c>
      <c r="N7" s="1185" t="str">
        <f t="shared" ref="N7:S7" si="2">INDEX(TECH_OPT_DESC_Cls3,MATCH(N6,TECH_OPT_ROWS_Cls3,0))</f>
        <v>Conventional Diesel ICE</v>
      </c>
      <c r="O7" s="1186" t="str">
        <f t="shared" si="2"/>
        <v>Adv Conv</v>
      </c>
      <c r="P7" s="1186" t="str">
        <f t="shared" si="2"/>
        <v>ISG</v>
      </c>
      <c r="Q7" s="1186" t="str">
        <f t="shared" si="2"/>
        <v>HEV</v>
      </c>
      <c r="R7" s="1186" t="str">
        <f t="shared" si="2"/>
        <v>PHEV</v>
      </c>
      <c r="S7" s="1187" t="str">
        <f t="shared" si="2"/>
        <v>BEV</v>
      </c>
    </row>
    <row r="8" spans="1:19" s="1178" customFormat="1" ht="15.75" thickBot="1" x14ac:dyDescent="0.3">
      <c r="A8" s="1188" t="s">
        <v>3</v>
      </c>
      <c r="B8" s="1189" t="str">
        <f t="shared" ref="B8:G8" si="3">INDEX(TECH_OPT_FUEL1_Cls1,MATCH(B6,TECH_OPT_ROWS_Cls1,0))</f>
        <v>Diesel</v>
      </c>
      <c r="C8" s="1190" t="str">
        <f t="shared" si="3"/>
        <v>Diesel</v>
      </c>
      <c r="D8" s="1190" t="str">
        <f t="shared" si="3"/>
        <v>Diesel</v>
      </c>
      <c r="E8" s="1190" t="str">
        <f t="shared" si="3"/>
        <v>Diesel</v>
      </c>
      <c r="F8" s="1190" t="str">
        <f t="shared" si="3"/>
        <v>Diesel</v>
      </c>
      <c r="G8" s="1191" t="str">
        <f t="shared" si="3"/>
        <v>Hydrogen</v>
      </c>
      <c r="H8" s="1192" t="str">
        <f t="shared" ref="H8:M8" si="4">INDEX(TECH_OPT_FUEL1_Cls2,MATCH(H6,TECH_OPT_ROWS_Cls2,0))</f>
        <v>Diesel</v>
      </c>
      <c r="I8" s="1190" t="str">
        <f t="shared" si="4"/>
        <v>Diesel</v>
      </c>
      <c r="J8" s="1190" t="str">
        <f t="shared" si="4"/>
        <v>Diesel</v>
      </c>
      <c r="K8" s="1190" t="str">
        <f t="shared" si="4"/>
        <v>Diesel</v>
      </c>
      <c r="L8" s="1190" t="str">
        <f t="shared" si="4"/>
        <v>Electricity</v>
      </c>
      <c r="M8" s="1191" t="str">
        <f t="shared" si="4"/>
        <v>Hydrogen</v>
      </c>
      <c r="N8" s="1189" t="str">
        <f t="shared" ref="N8:S8" si="5">INDEX(TECH_OPT_FUEL1_Cls3,MATCH(N6,TECH_OPT_ROWS_Cls3,0))</f>
        <v>Diesel</v>
      </c>
      <c r="O8" s="1190" t="str">
        <f t="shared" si="5"/>
        <v>Diesel</v>
      </c>
      <c r="P8" s="1190" t="str">
        <f t="shared" si="5"/>
        <v>Diesel</v>
      </c>
      <c r="Q8" s="1190" t="str">
        <f t="shared" si="5"/>
        <v>Diesel</v>
      </c>
      <c r="R8" s="1190" t="str">
        <f t="shared" si="5"/>
        <v>Diesel</v>
      </c>
      <c r="S8" s="1191" t="str">
        <f t="shared" si="5"/>
        <v>Electricity</v>
      </c>
    </row>
    <row r="9" spans="1:19" s="1178" customFormat="1" ht="15.75" thickTop="1" x14ac:dyDescent="0.25">
      <c r="A9" s="1193">
        <v>2007</v>
      </c>
      <c r="B9" s="1264">
        <f t="shared" ref="B9:B52" si="6">INDEX(COST_Cls1,MATCH($A9,Years,0),MATCH(B$6,TECHOPTS_Cls1,0))</f>
        <v>156000</v>
      </c>
      <c r="C9" s="1265">
        <f t="shared" ref="C9:G18" si="7">$B9+INDEX(COST_Cls1,MATCH($A9,Years,0),MATCH(C$6,TECHOPTS_Cls1,0))</f>
        <v>1156000</v>
      </c>
      <c r="D9" s="1265">
        <f t="shared" si="7"/>
        <v>1156000</v>
      </c>
      <c r="E9" s="1265">
        <f t="shared" si="7"/>
        <v>1156000</v>
      </c>
      <c r="F9" s="1265">
        <f t="shared" si="7"/>
        <v>1156000</v>
      </c>
      <c r="G9" s="1265">
        <f t="shared" si="7"/>
        <v>1156000</v>
      </c>
      <c r="H9" s="1264">
        <f t="shared" ref="H9:H52" si="8">INDEX(COST_Cls2,MATCH($A9,Years,0),MATCH(H$6,TECHOPTS_Cls1,0))</f>
        <v>136900</v>
      </c>
      <c r="I9" s="1265">
        <f t="shared" ref="I9:M18" si="9">$B9+INDEX(COST_Cls2,MATCH($A9,Years,0),MATCH(I$6,TECHOPTS_Cls1,0))</f>
        <v>1156000</v>
      </c>
      <c r="J9" s="1265">
        <f t="shared" si="9"/>
        <v>1156000</v>
      </c>
      <c r="K9" s="1265">
        <f t="shared" si="9"/>
        <v>1156000</v>
      </c>
      <c r="L9" s="1265">
        <f t="shared" si="9"/>
        <v>1156000</v>
      </c>
      <c r="M9" s="1266">
        <f t="shared" si="9"/>
        <v>1156000</v>
      </c>
      <c r="N9" s="1264">
        <f t="shared" ref="N9:N52" si="10">INDEX(COST_Cls3,MATCH($A9,Years,0),MATCH(N$6,TECHOPTS_Cls1,0))</f>
        <v>96771.806566877567</v>
      </c>
      <c r="O9" s="1265">
        <f t="shared" ref="O9:S18" si="11">$B9+INDEX(COST_Cls3,MATCH($A9,Years,0),MATCH(O$6,TECHOPTS_Cls1,0))</f>
        <v>1156000</v>
      </c>
      <c r="P9" s="1265">
        <f t="shared" si="11"/>
        <v>1156000</v>
      </c>
      <c r="Q9" s="1265">
        <f t="shared" si="11"/>
        <v>1156000</v>
      </c>
      <c r="R9" s="1265">
        <f t="shared" si="11"/>
        <v>1156000</v>
      </c>
      <c r="S9" s="1266">
        <f t="shared" si="11"/>
        <v>1156000</v>
      </c>
    </row>
    <row r="10" spans="1:19" s="1178" customFormat="1" ht="15" x14ac:dyDescent="0.25">
      <c r="A10" s="1193">
        <v>2008</v>
      </c>
      <c r="B10" s="1264">
        <f t="shared" si="6"/>
        <v>156000</v>
      </c>
      <c r="C10" s="1267">
        <f t="shared" si="7"/>
        <v>1156000</v>
      </c>
      <c r="D10" s="1267">
        <f t="shared" si="7"/>
        <v>1156000</v>
      </c>
      <c r="E10" s="1267">
        <f t="shared" si="7"/>
        <v>1156000</v>
      </c>
      <c r="F10" s="1267">
        <f t="shared" si="7"/>
        <v>1156000</v>
      </c>
      <c r="G10" s="1268">
        <f t="shared" si="7"/>
        <v>1156000</v>
      </c>
      <c r="H10" s="1264">
        <f t="shared" si="8"/>
        <v>136900</v>
      </c>
      <c r="I10" s="1267">
        <f t="shared" si="9"/>
        <v>1156000</v>
      </c>
      <c r="J10" s="1267">
        <f t="shared" si="9"/>
        <v>1156000</v>
      </c>
      <c r="K10" s="1267">
        <f t="shared" si="9"/>
        <v>1156000</v>
      </c>
      <c r="L10" s="1267">
        <f t="shared" si="9"/>
        <v>1156000</v>
      </c>
      <c r="M10" s="1268">
        <f t="shared" si="9"/>
        <v>1156000</v>
      </c>
      <c r="N10" s="1264">
        <f t="shared" si="10"/>
        <v>96771.806566877567</v>
      </c>
      <c r="O10" s="1267">
        <f t="shared" si="11"/>
        <v>1156000</v>
      </c>
      <c r="P10" s="1267">
        <f t="shared" si="11"/>
        <v>1156000</v>
      </c>
      <c r="Q10" s="1267">
        <f t="shared" si="11"/>
        <v>1156000</v>
      </c>
      <c r="R10" s="1267">
        <f t="shared" si="11"/>
        <v>1156000</v>
      </c>
      <c r="S10" s="1268">
        <f t="shared" si="11"/>
        <v>1156000</v>
      </c>
    </row>
    <row r="11" spans="1:19" s="1178" customFormat="1" ht="15" x14ac:dyDescent="0.25">
      <c r="A11" s="1193">
        <v>2009</v>
      </c>
      <c r="B11" s="1264">
        <f t="shared" si="6"/>
        <v>156000</v>
      </c>
      <c r="C11" s="1267">
        <f t="shared" si="7"/>
        <v>1156000</v>
      </c>
      <c r="D11" s="1267">
        <f t="shared" si="7"/>
        <v>1156000</v>
      </c>
      <c r="E11" s="1267">
        <f t="shared" si="7"/>
        <v>1156000</v>
      </c>
      <c r="F11" s="1267">
        <f t="shared" si="7"/>
        <v>1156000</v>
      </c>
      <c r="G11" s="1268">
        <f t="shared" si="7"/>
        <v>1156000</v>
      </c>
      <c r="H11" s="1264">
        <f t="shared" si="8"/>
        <v>136900</v>
      </c>
      <c r="I11" s="1267">
        <f t="shared" si="9"/>
        <v>1156000</v>
      </c>
      <c r="J11" s="1267">
        <f t="shared" si="9"/>
        <v>1156000</v>
      </c>
      <c r="K11" s="1267">
        <f t="shared" si="9"/>
        <v>1156000</v>
      </c>
      <c r="L11" s="1267">
        <f t="shared" si="9"/>
        <v>1156000</v>
      </c>
      <c r="M11" s="1268">
        <f t="shared" si="9"/>
        <v>1156000</v>
      </c>
      <c r="N11" s="1264">
        <f t="shared" si="10"/>
        <v>96771.806566877567</v>
      </c>
      <c r="O11" s="1267">
        <f t="shared" si="11"/>
        <v>1156000</v>
      </c>
      <c r="P11" s="1267">
        <f t="shared" si="11"/>
        <v>1156000</v>
      </c>
      <c r="Q11" s="1267">
        <f t="shared" si="11"/>
        <v>1156000</v>
      </c>
      <c r="R11" s="1267">
        <f t="shared" si="11"/>
        <v>1156000</v>
      </c>
      <c r="S11" s="1268">
        <f t="shared" si="11"/>
        <v>1156000</v>
      </c>
    </row>
    <row r="12" spans="1:19" s="1178" customFormat="1" ht="15" x14ac:dyDescent="0.25">
      <c r="A12" s="1199">
        <v>2010</v>
      </c>
      <c r="B12" s="1269">
        <f t="shared" si="6"/>
        <v>156000</v>
      </c>
      <c r="C12" s="1270">
        <f t="shared" si="7"/>
        <v>1156000</v>
      </c>
      <c r="D12" s="1270">
        <f t="shared" si="7"/>
        <v>1156000</v>
      </c>
      <c r="E12" s="1270">
        <f t="shared" si="7"/>
        <v>1156000</v>
      </c>
      <c r="F12" s="1270">
        <f t="shared" si="7"/>
        <v>1156000</v>
      </c>
      <c r="G12" s="1271">
        <f t="shared" si="7"/>
        <v>1156000</v>
      </c>
      <c r="H12" s="1269">
        <f t="shared" si="8"/>
        <v>136900</v>
      </c>
      <c r="I12" s="1270">
        <f t="shared" si="9"/>
        <v>1156000</v>
      </c>
      <c r="J12" s="1270">
        <f t="shared" si="9"/>
        <v>1156000</v>
      </c>
      <c r="K12" s="1270">
        <f t="shared" si="9"/>
        <v>1156000</v>
      </c>
      <c r="L12" s="1270">
        <f t="shared" si="9"/>
        <v>1156000</v>
      </c>
      <c r="M12" s="1271">
        <f t="shared" si="9"/>
        <v>1156000</v>
      </c>
      <c r="N12" s="1269">
        <f t="shared" si="10"/>
        <v>96771.806566877567</v>
      </c>
      <c r="O12" s="1270">
        <f t="shared" si="11"/>
        <v>1156000</v>
      </c>
      <c r="P12" s="1270">
        <f t="shared" si="11"/>
        <v>1156000</v>
      </c>
      <c r="Q12" s="1270">
        <f t="shared" si="11"/>
        <v>1156000</v>
      </c>
      <c r="R12" s="1270">
        <f t="shared" si="11"/>
        <v>1156000</v>
      </c>
      <c r="S12" s="1271">
        <f t="shared" si="11"/>
        <v>1156000</v>
      </c>
    </row>
    <row r="13" spans="1:19" s="1178" customFormat="1" ht="15" x14ac:dyDescent="0.25">
      <c r="A13" s="1193">
        <v>2011</v>
      </c>
      <c r="B13" s="1272">
        <f t="shared" si="6"/>
        <v>156000</v>
      </c>
      <c r="C13" s="1273">
        <f t="shared" si="7"/>
        <v>1156000</v>
      </c>
      <c r="D13" s="1273">
        <f t="shared" si="7"/>
        <v>1156000</v>
      </c>
      <c r="E13" s="1273">
        <f t="shared" si="7"/>
        <v>1156000</v>
      </c>
      <c r="F13" s="1273">
        <f t="shared" si="7"/>
        <v>1156000</v>
      </c>
      <c r="G13" s="1274">
        <f t="shared" si="7"/>
        <v>1156000</v>
      </c>
      <c r="H13" s="1272">
        <f t="shared" si="8"/>
        <v>136900</v>
      </c>
      <c r="I13" s="1273">
        <f t="shared" si="9"/>
        <v>1156000</v>
      </c>
      <c r="J13" s="1273">
        <f t="shared" si="9"/>
        <v>1156000</v>
      </c>
      <c r="K13" s="1273">
        <f t="shared" si="9"/>
        <v>1156000</v>
      </c>
      <c r="L13" s="1273">
        <f t="shared" si="9"/>
        <v>1156000</v>
      </c>
      <c r="M13" s="1274">
        <f t="shared" si="9"/>
        <v>1156000</v>
      </c>
      <c r="N13" s="1272">
        <f t="shared" si="10"/>
        <v>96771.806566877567</v>
      </c>
      <c r="O13" s="1273">
        <f t="shared" si="11"/>
        <v>1156000</v>
      </c>
      <c r="P13" s="1273">
        <f t="shared" si="11"/>
        <v>1156000</v>
      </c>
      <c r="Q13" s="1273">
        <f t="shared" si="11"/>
        <v>1156000</v>
      </c>
      <c r="R13" s="1273">
        <f t="shared" si="11"/>
        <v>1156000</v>
      </c>
      <c r="S13" s="1274">
        <f t="shared" si="11"/>
        <v>1156000</v>
      </c>
    </row>
    <row r="14" spans="1:19" s="1178" customFormat="1" ht="15" x14ac:dyDescent="0.25">
      <c r="A14" s="1193">
        <v>2012</v>
      </c>
      <c r="B14" s="1264">
        <f t="shared" si="6"/>
        <v>156000</v>
      </c>
      <c r="C14" s="1267">
        <f t="shared" si="7"/>
        <v>1156000</v>
      </c>
      <c r="D14" s="1267">
        <f t="shared" si="7"/>
        <v>1156000</v>
      </c>
      <c r="E14" s="1267">
        <f t="shared" si="7"/>
        <v>1156000</v>
      </c>
      <c r="F14" s="1267">
        <f t="shared" si="7"/>
        <v>1156000</v>
      </c>
      <c r="G14" s="1268">
        <f t="shared" si="7"/>
        <v>1156000</v>
      </c>
      <c r="H14" s="1264">
        <f t="shared" si="8"/>
        <v>136900</v>
      </c>
      <c r="I14" s="1267">
        <f t="shared" si="9"/>
        <v>1156000</v>
      </c>
      <c r="J14" s="1267">
        <f t="shared" si="9"/>
        <v>1156000</v>
      </c>
      <c r="K14" s="1267">
        <f t="shared" si="9"/>
        <v>1156000</v>
      </c>
      <c r="L14" s="1267">
        <f t="shared" si="9"/>
        <v>1156000</v>
      </c>
      <c r="M14" s="1268">
        <f t="shared" si="9"/>
        <v>1156000</v>
      </c>
      <c r="N14" s="1264">
        <f t="shared" si="10"/>
        <v>96771.806566877567</v>
      </c>
      <c r="O14" s="1267">
        <f t="shared" si="11"/>
        <v>1156000</v>
      </c>
      <c r="P14" s="1267">
        <f t="shared" si="11"/>
        <v>1156000</v>
      </c>
      <c r="Q14" s="1267">
        <f t="shared" si="11"/>
        <v>1156000</v>
      </c>
      <c r="R14" s="1267">
        <f t="shared" si="11"/>
        <v>1156000</v>
      </c>
      <c r="S14" s="1268">
        <f t="shared" si="11"/>
        <v>1156000</v>
      </c>
    </row>
    <row r="15" spans="1:19" s="1178" customFormat="1" ht="15" x14ac:dyDescent="0.25">
      <c r="A15" s="1193">
        <v>2013</v>
      </c>
      <c r="B15" s="1264">
        <f t="shared" si="6"/>
        <v>156000</v>
      </c>
      <c r="C15" s="1267">
        <f t="shared" si="7"/>
        <v>1156000</v>
      </c>
      <c r="D15" s="1267">
        <f t="shared" si="7"/>
        <v>1156000</v>
      </c>
      <c r="E15" s="1267">
        <f t="shared" si="7"/>
        <v>1156000</v>
      </c>
      <c r="F15" s="1267">
        <f t="shared" si="7"/>
        <v>1156000</v>
      </c>
      <c r="G15" s="1268">
        <f t="shared" si="7"/>
        <v>1156000</v>
      </c>
      <c r="H15" s="1264">
        <f t="shared" si="8"/>
        <v>136900</v>
      </c>
      <c r="I15" s="1267">
        <f t="shared" si="9"/>
        <v>1156000</v>
      </c>
      <c r="J15" s="1267">
        <f t="shared" si="9"/>
        <v>1156000</v>
      </c>
      <c r="K15" s="1267">
        <f t="shared" si="9"/>
        <v>1156000</v>
      </c>
      <c r="L15" s="1267">
        <f t="shared" si="9"/>
        <v>1156000</v>
      </c>
      <c r="M15" s="1268">
        <f t="shared" si="9"/>
        <v>1156000</v>
      </c>
      <c r="N15" s="1264">
        <f t="shared" si="10"/>
        <v>96771.806566877567</v>
      </c>
      <c r="O15" s="1267">
        <f t="shared" si="11"/>
        <v>1156000</v>
      </c>
      <c r="P15" s="1267">
        <f t="shared" si="11"/>
        <v>1156000</v>
      </c>
      <c r="Q15" s="1267">
        <f t="shared" si="11"/>
        <v>1156000</v>
      </c>
      <c r="R15" s="1267">
        <f t="shared" si="11"/>
        <v>1156000</v>
      </c>
      <c r="S15" s="1268">
        <f t="shared" si="11"/>
        <v>1156000</v>
      </c>
    </row>
    <row r="16" spans="1:19" s="1178" customFormat="1" ht="15" x14ac:dyDescent="0.25">
      <c r="A16" s="1193">
        <v>2014</v>
      </c>
      <c r="B16" s="1264">
        <f t="shared" si="6"/>
        <v>156000</v>
      </c>
      <c r="C16" s="1267">
        <f t="shared" si="7"/>
        <v>1156000</v>
      </c>
      <c r="D16" s="1267">
        <f t="shared" si="7"/>
        <v>1156000</v>
      </c>
      <c r="E16" s="1267">
        <f t="shared" si="7"/>
        <v>1156000</v>
      </c>
      <c r="F16" s="1267">
        <f t="shared" si="7"/>
        <v>1156000</v>
      </c>
      <c r="G16" s="1268">
        <f t="shared" si="7"/>
        <v>1156000</v>
      </c>
      <c r="H16" s="1264">
        <f t="shared" si="8"/>
        <v>136900</v>
      </c>
      <c r="I16" s="1267">
        <f t="shared" si="9"/>
        <v>1156000</v>
      </c>
      <c r="J16" s="1267">
        <f t="shared" si="9"/>
        <v>1156000</v>
      </c>
      <c r="K16" s="1267">
        <f t="shared" si="9"/>
        <v>1156000</v>
      </c>
      <c r="L16" s="1267">
        <f t="shared" si="9"/>
        <v>1156000</v>
      </c>
      <c r="M16" s="1268">
        <f t="shared" si="9"/>
        <v>1156000</v>
      </c>
      <c r="N16" s="1264">
        <f t="shared" si="10"/>
        <v>96771.806566877567</v>
      </c>
      <c r="O16" s="1267">
        <f t="shared" si="11"/>
        <v>1156000</v>
      </c>
      <c r="P16" s="1267">
        <f t="shared" si="11"/>
        <v>1156000</v>
      </c>
      <c r="Q16" s="1267">
        <f t="shared" si="11"/>
        <v>1156000</v>
      </c>
      <c r="R16" s="1267">
        <f t="shared" si="11"/>
        <v>1156000</v>
      </c>
      <c r="S16" s="1268">
        <f t="shared" si="11"/>
        <v>1156000</v>
      </c>
    </row>
    <row r="17" spans="1:19" s="1178" customFormat="1" ht="15" x14ac:dyDescent="0.25">
      <c r="A17" s="1199">
        <v>2015</v>
      </c>
      <c r="B17" s="1269">
        <f t="shared" si="6"/>
        <v>156000</v>
      </c>
      <c r="C17" s="1270">
        <f t="shared" si="7"/>
        <v>1156000</v>
      </c>
      <c r="D17" s="1270">
        <f t="shared" si="7"/>
        <v>1156000</v>
      </c>
      <c r="E17" s="1270">
        <f t="shared" si="7"/>
        <v>1156000</v>
      </c>
      <c r="F17" s="1270">
        <f t="shared" si="7"/>
        <v>1156000</v>
      </c>
      <c r="G17" s="1271">
        <f t="shared" si="7"/>
        <v>1156000</v>
      </c>
      <c r="H17" s="1269">
        <f t="shared" si="8"/>
        <v>136900</v>
      </c>
      <c r="I17" s="1270">
        <f t="shared" si="9"/>
        <v>1156000</v>
      </c>
      <c r="J17" s="1270">
        <f t="shared" si="9"/>
        <v>1156000</v>
      </c>
      <c r="K17" s="1270">
        <f t="shared" si="9"/>
        <v>1156000</v>
      </c>
      <c r="L17" s="1270">
        <f t="shared" si="9"/>
        <v>1156000</v>
      </c>
      <c r="M17" s="1271">
        <f t="shared" si="9"/>
        <v>1156000</v>
      </c>
      <c r="N17" s="1269">
        <f t="shared" si="10"/>
        <v>96771.806566877567</v>
      </c>
      <c r="O17" s="1270">
        <f t="shared" si="11"/>
        <v>1156000</v>
      </c>
      <c r="P17" s="1270">
        <f t="shared" si="11"/>
        <v>1156000</v>
      </c>
      <c r="Q17" s="1270">
        <f t="shared" si="11"/>
        <v>1156000</v>
      </c>
      <c r="R17" s="1270">
        <f t="shared" si="11"/>
        <v>1156000</v>
      </c>
      <c r="S17" s="1271">
        <f t="shared" si="11"/>
        <v>1156000</v>
      </c>
    </row>
    <row r="18" spans="1:19" s="1178" customFormat="1" ht="15" x14ac:dyDescent="0.25">
      <c r="A18" s="1193">
        <v>2016</v>
      </c>
      <c r="B18" s="1272">
        <f t="shared" si="6"/>
        <v>156000</v>
      </c>
      <c r="C18" s="1273">
        <f t="shared" si="7"/>
        <v>1156000</v>
      </c>
      <c r="D18" s="1273">
        <f t="shared" si="7"/>
        <v>1156000</v>
      </c>
      <c r="E18" s="1273">
        <f t="shared" si="7"/>
        <v>1156000</v>
      </c>
      <c r="F18" s="1273">
        <f t="shared" si="7"/>
        <v>1156000</v>
      </c>
      <c r="G18" s="1274">
        <f t="shared" si="7"/>
        <v>1156000</v>
      </c>
      <c r="H18" s="1272">
        <f t="shared" si="8"/>
        <v>136900</v>
      </c>
      <c r="I18" s="1273">
        <f t="shared" si="9"/>
        <v>1156000</v>
      </c>
      <c r="J18" s="1273">
        <f t="shared" si="9"/>
        <v>1156000</v>
      </c>
      <c r="K18" s="1273">
        <f t="shared" si="9"/>
        <v>1156000</v>
      </c>
      <c r="L18" s="1273">
        <f t="shared" si="9"/>
        <v>1156000</v>
      </c>
      <c r="M18" s="1274">
        <f t="shared" si="9"/>
        <v>1156000</v>
      </c>
      <c r="N18" s="1272">
        <f t="shared" si="10"/>
        <v>96771.806566877567</v>
      </c>
      <c r="O18" s="1273">
        <f t="shared" si="11"/>
        <v>1156000</v>
      </c>
      <c r="P18" s="1273">
        <f t="shared" si="11"/>
        <v>1156000</v>
      </c>
      <c r="Q18" s="1273">
        <f t="shared" si="11"/>
        <v>1156000</v>
      </c>
      <c r="R18" s="1273">
        <f t="shared" si="11"/>
        <v>1156000</v>
      </c>
      <c r="S18" s="1274">
        <f t="shared" si="11"/>
        <v>1156000</v>
      </c>
    </row>
    <row r="19" spans="1:19" s="1178" customFormat="1" ht="15" x14ac:dyDescent="0.25">
      <c r="A19" s="1193">
        <v>2017</v>
      </c>
      <c r="B19" s="1264">
        <f t="shared" si="6"/>
        <v>156000</v>
      </c>
      <c r="C19" s="1267">
        <f t="shared" ref="C19:G28" si="12">$B19+INDEX(COST_Cls1,MATCH($A19,Years,0),MATCH(C$6,TECHOPTS_Cls1,0))</f>
        <v>1156000</v>
      </c>
      <c r="D19" s="1267">
        <f t="shared" si="12"/>
        <v>1156000</v>
      </c>
      <c r="E19" s="1267">
        <f t="shared" si="12"/>
        <v>1156000</v>
      </c>
      <c r="F19" s="1267">
        <f t="shared" si="12"/>
        <v>1156000</v>
      </c>
      <c r="G19" s="1268">
        <f t="shared" si="12"/>
        <v>1156000</v>
      </c>
      <c r="H19" s="1264">
        <f t="shared" si="8"/>
        <v>136900</v>
      </c>
      <c r="I19" s="1267">
        <f t="shared" ref="I19:M28" si="13">$B19+INDEX(COST_Cls2,MATCH($A19,Years,0),MATCH(I$6,TECHOPTS_Cls1,0))</f>
        <v>1156000</v>
      </c>
      <c r="J19" s="1267">
        <f t="shared" si="13"/>
        <v>1156000</v>
      </c>
      <c r="K19" s="1267">
        <f t="shared" si="13"/>
        <v>1156000</v>
      </c>
      <c r="L19" s="1267">
        <f t="shared" si="13"/>
        <v>1156000</v>
      </c>
      <c r="M19" s="1268">
        <f t="shared" si="13"/>
        <v>1156000</v>
      </c>
      <c r="N19" s="1264">
        <f t="shared" si="10"/>
        <v>96771.806566877567</v>
      </c>
      <c r="O19" s="1267">
        <f t="shared" ref="O19:S28" si="14">$B19+INDEX(COST_Cls3,MATCH($A19,Years,0),MATCH(O$6,TECHOPTS_Cls1,0))</f>
        <v>1156000</v>
      </c>
      <c r="P19" s="1267">
        <f t="shared" si="14"/>
        <v>1156000</v>
      </c>
      <c r="Q19" s="1267">
        <f t="shared" si="14"/>
        <v>1156000</v>
      </c>
      <c r="R19" s="1267">
        <f t="shared" si="14"/>
        <v>1156000</v>
      </c>
      <c r="S19" s="1268">
        <f t="shared" si="14"/>
        <v>1156000</v>
      </c>
    </row>
    <row r="20" spans="1:19" s="1178" customFormat="1" ht="15" x14ac:dyDescent="0.25">
      <c r="A20" s="1193">
        <v>2018</v>
      </c>
      <c r="B20" s="1264">
        <f t="shared" si="6"/>
        <v>156000</v>
      </c>
      <c r="C20" s="1267">
        <f t="shared" si="12"/>
        <v>1156000</v>
      </c>
      <c r="D20" s="1267">
        <f t="shared" si="12"/>
        <v>1156000</v>
      </c>
      <c r="E20" s="1267">
        <f t="shared" si="12"/>
        <v>1156000</v>
      </c>
      <c r="F20" s="1267">
        <f t="shared" si="12"/>
        <v>1156000</v>
      </c>
      <c r="G20" s="1268">
        <f t="shared" si="12"/>
        <v>1156000</v>
      </c>
      <c r="H20" s="1264">
        <f t="shared" si="8"/>
        <v>136900</v>
      </c>
      <c r="I20" s="1267">
        <f t="shared" si="13"/>
        <v>1156000</v>
      </c>
      <c r="J20" s="1267">
        <f t="shared" si="13"/>
        <v>1156000</v>
      </c>
      <c r="K20" s="1267">
        <f t="shared" si="13"/>
        <v>1156000</v>
      </c>
      <c r="L20" s="1267">
        <f t="shared" si="13"/>
        <v>1156000</v>
      </c>
      <c r="M20" s="1268">
        <f t="shared" si="13"/>
        <v>1156000</v>
      </c>
      <c r="N20" s="1264">
        <f t="shared" si="10"/>
        <v>96771.806566877567</v>
      </c>
      <c r="O20" s="1267">
        <f t="shared" si="14"/>
        <v>1156000</v>
      </c>
      <c r="P20" s="1267">
        <f t="shared" si="14"/>
        <v>1156000</v>
      </c>
      <c r="Q20" s="1267">
        <f t="shared" si="14"/>
        <v>1156000</v>
      </c>
      <c r="R20" s="1267">
        <f t="shared" si="14"/>
        <v>1156000</v>
      </c>
      <c r="S20" s="1268">
        <f t="shared" si="14"/>
        <v>1156000</v>
      </c>
    </row>
    <row r="21" spans="1:19" s="1178" customFormat="1" ht="15" x14ac:dyDescent="0.25">
      <c r="A21" s="1193">
        <v>2019</v>
      </c>
      <c r="B21" s="1264">
        <f t="shared" si="6"/>
        <v>156000</v>
      </c>
      <c r="C21" s="1267">
        <f t="shared" si="12"/>
        <v>1156000</v>
      </c>
      <c r="D21" s="1267">
        <f t="shared" si="12"/>
        <v>1156000</v>
      </c>
      <c r="E21" s="1267">
        <f t="shared" si="12"/>
        <v>1156000</v>
      </c>
      <c r="F21" s="1267">
        <f t="shared" si="12"/>
        <v>1156000</v>
      </c>
      <c r="G21" s="1268">
        <f t="shared" si="12"/>
        <v>1156000</v>
      </c>
      <c r="H21" s="1264">
        <f t="shared" si="8"/>
        <v>136900</v>
      </c>
      <c r="I21" s="1267">
        <f t="shared" si="13"/>
        <v>1156000</v>
      </c>
      <c r="J21" s="1267">
        <f t="shared" si="13"/>
        <v>1156000</v>
      </c>
      <c r="K21" s="1267">
        <f t="shared" si="13"/>
        <v>1156000</v>
      </c>
      <c r="L21" s="1267">
        <f t="shared" si="13"/>
        <v>1156000</v>
      </c>
      <c r="M21" s="1268">
        <f t="shared" si="13"/>
        <v>1156000</v>
      </c>
      <c r="N21" s="1264">
        <f t="shared" si="10"/>
        <v>96771.806566877567</v>
      </c>
      <c r="O21" s="1267">
        <f t="shared" si="14"/>
        <v>1156000</v>
      </c>
      <c r="P21" s="1267">
        <f t="shared" si="14"/>
        <v>1156000</v>
      </c>
      <c r="Q21" s="1267">
        <f t="shared" si="14"/>
        <v>1156000</v>
      </c>
      <c r="R21" s="1267">
        <f t="shared" si="14"/>
        <v>1156000</v>
      </c>
      <c r="S21" s="1268">
        <f t="shared" si="14"/>
        <v>1156000</v>
      </c>
    </row>
    <row r="22" spans="1:19" s="1178" customFormat="1" ht="15" x14ac:dyDescent="0.25">
      <c r="A22" s="1199">
        <v>2020</v>
      </c>
      <c r="B22" s="1269">
        <f t="shared" si="6"/>
        <v>156000</v>
      </c>
      <c r="C22" s="1270">
        <f t="shared" si="12"/>
        <v>1156000</v>
      </c>
      <c r="D22" s="1270">
        <f t="shared" si="12"/>
        <v>1156000</v>
      </c>
      <c r="E22" s="1270">
        <f t="shared" si="12"/>
        <v>1156000</v>
      </c>
      <c r="F22" s="1270">
        <f t="shared" si="12"/>
        <v>1156000</v>
      </c>
      <c r="G22" s="1271">
        <f t="shared" si="12"/>
        <v>1156000</v>
      </c>
      <c r="H22" s="1269">
        <f t="shared" si="8"/>
        <v>136900</v>
      </c>
      <c r="I22" s="1270">
        <f t="shared" si="13"/>
        <v>1156000</v>
      </c>
      <c r="J22" s="1270">
        <f t="shared" si="13"/>
        <v>1156000</v>
      </c>
      <c r="K22" s="1270">
        <f t="shared" si="13"/>
        <v>1156000</v>
      </c>
      <c r="L22" s="1270">
        <f t="shared" si="13"/>
        <v>1156000</v>
      </c>
      <c r="M22" s="1271">
        <f t="shared" si="13"/>
        <v>1156000</v>
      </c>
      <c r="N22" s="1269">
        <f t="shared" si="10"/>
        <v>96771.806566877567</v>
      </c>
      <c r="O22" s="1270">
        <f t="shared" si="14"/>
        <v>1156000</v>
      </c>
      <c r="P22" s="1270">
        <f t="shared" si="14"/>
        <v>1156000</v>
      </c>
      <c r="Q22" s="1270">
        <f t="shared" si="14"/>
        <v>1156000</v>
      </c>
      <c r="R22" s="1270">
        <f t="shared" si="14"/>
        <v>1156000</v>
      </c>
      <c r="S22" s="1271">
        <f t="shared" si="14"/>
        <v>1156000</v>
      </c>
    </row>
    <row r="23" spans="1:19" s="1178" customFormat="1" ht="15" x14ac:dyDescent="0.25">
      <c r="A23" s="1193">
        <v>2021</v>
      </c>
      <c r="B23" s="1272">
        <f t="shared" si="6"/>
        <v>156551.27371701796</v>
      </c>
      <c r="C23" s="1273">
        <f t="shared" si="12"/>
        <v>157281.63690162453</v>
      </c>
      <c r="D23" s="1273">
        <f t="shared" si="12"/>
        <v>159257.02327124705</v>
      </c>
      <c r="E23" s="1273">
        <f t="shared" si="12"/>
        <v>169111.19705339478</v>
      </c>
      <c r="F23" s="1273">
        <f t="shared" si="12"/>
        <v>524890.48503306461</v>
      </c>
      <c r="G23" s="1274">
        <f t="shared" si="12"/>
        <v>346739.15641011362</v>
      </c>
      <c r="H23" s="1272">
        <f t="shared" si="8"/>
        <v>137205.78935754453</v>
      </c>
      <c r="I23" s="1273">
        <f t="shared" si="13"/>
        <v>157671.86453202809</v>
      </c>
      <c r="J23" s="1273">
        <f t="shared" si="13"/>
        <v>159197.43402067892</v>
      </c>
      <c r="K23" s="1273">
        <f t="shared" si="13"/>
        <v>354398.58378781762</v>
      </c>
      <c r="L23" s="1273">
        <f t="shared" si="13"/>
        <v>512525.04439293314</v>
      </c>
      <c r="M23" s="1274">
        <f t="shared" si="13"/>
        <v>323890.07515325036</v>
      </c>
      <c r="N23" s="1272">
        <f t="shared" si="10"/>
        <v>97040.03007304229</v>
      </c>
      <c r="O23" s="1273">
        <f t="shared" si="14"/>
        <v>157391.73898790206</v>
      </c>
      <c r="P23" s="1273">
        <f t="shared" si="14"/>
        <v>158217.75313424726</v>
      </c>
      <c r="Q23" s="1273">
        <f t="shared" si="14"/>
        <v>169661.00359474536</v>
      </c>
      <c r="R23" s="1273">
        <f t="shared" si="14"/>
        <v>300716.07223672769</v>
      </c>
      <c r="S23" s="1274">
        <f t="shared" si="14"/>
        <v>411502.37118237745</v>
      </c>
    </row>
    <row r="24" spans="1:19" s="1178" customFormat="1" ht="15" x14ac:dyDescent="0.25">
      <c r="A24" s="1193">
        <v>2022</v>
      </c>
      <c r="B24" s="1264">
        <f t="shared" si="6"/>
        <v>157102.54743403592</v>
      </c>
      <c r="C24" s="1267">
        <f t="shared" si="12"/>
        <v>158563.27380324906</v>
      </c>
      <c r="D24" s="1267">
        <f t="shared" si="12"/>
        <v>160234.74247474287</v>
      </c>
      <c r="E24" s="1267">
        <f t="shared" si="12"/>
        <v>169918.14082797192</v>
      </c>
      <c r="F24" s="1267">
        <f t="shared" si="12"/>
        <v>468959.33651074371</v>
      </c>
      <c r="G24" s="1268">
        <f t="shared" si="12"/>
        <v>321515.26817192207</v>
      </c>
      <c r="H24" s="1264">
        <f t="shared" si="8"/>
        <v>137511.57871508907</v>
      </c>
      <c r="I24" s="1267">
        <f t="shared" si="13"/>
        <v>159343.72906405616</v>
      </c>
      <c r="J24" s="1267">
        <f t="shared" si="13"/>
        <v>160623.60302657503</v>
      </c>
      <c r="K24" s="1267">
        <f t="shared" si="13"/>
        <v>323185.10051895544</v>
      </c>
      <c r="L24" s="1267">
        <f t="shared" si="13"/>
        <v>455203.21410235058</v>
      </c>
      <c r="M24" s="1268">
        <f t="shared" si="13"/>
        <v>301404.95513371163</v>
      </c>
      <c r="N24" s="1264">
        <f t="shared" si="10"/>
        <v>97308.253579207012</v>
      </c>
      <c r="O24" s="1267">
        <f t="shared" si="14"/>
        <v>158783.4779758041</v>
      </c>
      <c r="P24" s="1267">
        <f t="shared" si="14"/>
        <v>159463.09880321226</v>
      </c>
      <c r="Q24" s="1267">
        <f t="shared" si="14"/>
        <v>169573.87651341141</v>
      </c>
      <c r="R24" s="1267">
        <f t="shared" si="14"/>
        <v>279458.79085242166</v>
      </c>
      <c r="S24" s="1268">
        <f t="shared" si="14"/>
        <v>372240.60714311176</v>
      </c>
    </row>
    <row r="25" spans="1:19" s="1178" customFormat="1" ht="15" x14ac:dyDescent="0.25">
      <c r="A25" s="1193">
        <v>2023</v>
      </c>
      <c r="B25" s="1264">
        <f t="shared" si="6"/>
        <v>157653.82115105388</v>
      </c>
      <c r="C25" s="1267">
        <f t="shared" si="12"/>
        <v>159844.91070487359</v>
      </c>
      <c r="D25" s="1267">
        <f t="shared" si="12"/>
        <v>161212.4616782387</v>
      </c>
      <c r="E25" s="1267">
        <f t="shared" si="12"/>
        <v>170725.08460254906</v>
      </c>
      <c r="F25" s="1267">
        <f t="shared" si="12"/>
        <v>413028.18798842281</v>
      </c>
      <c r="G25" s="1268">
        <f t="shared" si="12"/>
        <v>296291.37993373052</v>
      </c>
      <c r="H25" s="1264">
        <f t="shared" si="8"/>
        <v>137817.3680726336</v>
      </c>
      <c r="I25" s="1267">
        <f t="shared" si="13"/>
        <v>161015.59359608422</v>
      </c>
      <c r="J25" s="1267">
        <f t="shared" si="13"/>
        <v>162049.77203247114</v>
      </c>
      <c r="K25" s="1267">
        <f t="shared" si="13"/>
        <v>291971.6172500932</v>
      </c>
      <c r="L25" s="1267">
        <f t="shared" si="13"/>
        <v>397881.38381176803</v>
      </c>
      <c r="M25" s="1268">
        <f t="shared" si="13"/>
        <v>278919.83511417289</v>
      </c>
      <c r="N25" s="1264">
        <f t="shared" si="10"/>
        <v>97576.477085371735</v>
      </c>
      <c r="O25" s="1267">
        <f t="shared" si="14"/>
        <v>160175.21696370613</v>
      </c>
      <c r="P25" s="1267">
        <f t="shared" si="14"/>
        <v>160708.44447217725</v>
      </c>
      <c r="Q25" s="1267">
        <f t="shared" si="14"/>
        <v>169486.74943207746</v>
      </c>
      <c r="R25" s="1267">
        <f t="shared" si="14"/>
        <v>258201.50946811558</v>
      </c>
      <c r="S25" s="1268">
        <f t="shared" si="14"/>
        <v>332978.84310384607</v>
      </c>
    </row>
    <row r="26" spans="1:19" s="1178" customFormat="1" ht="15" x14ac:dyDescent="0.25">
      <c r="A26" s="1193">
        <v>2024</v>
      </c>
      <c r="B26" s="1264">
        <f t="shared" si="6"/>
        <v>158205.09486807184</v>
      </c>
      <c r="C26" s="1267">
        <f t="shared" si="12"/>
        <v>161126.54760649812</v>
      </c>
      <c r="D26" s="1267">
        <f t="shared" si="12"/>
        <v>162190.18088173453</v>
      </c>
      <c r="E26" s="1267">
        <f t="shared" si="12"/>
        <v>171532.0283771262</v>
      </c>
      <c r="F26" s="1267">
        <f t="shared" si="12"/>
        <v>357097.03946610191</v>
      </c>
      <c r="G26" s="1268">
        <f t="shared" si="12"/>
        <v>271067.49169553898</v>
      </c>
      <c r="H26" s="1264">
        <f t="shared" si="8"/>
        <v>138123.15743017814</v>
      </c>
      <c r="I26" s="1267">
        <f t="shared" si="13"/>
        <v>162687.45812811231</v>
      </c>
      <c r="J26" s="1267">
        <f t="shared" si="13"/>
        <v>163475.94103836728</v>
      </c>
      <c r="K26" s="1267">
        <f t="shared" si="13"/>
        <v>260758.13398123096</v>
      </c>
      <c r="L26" s="1267">
        <f t="shared" si="13"/>
        <v>340559.55352118553</v>
      </c>
      <c r="M26" s="1268">
        <f t="shared" si="13"/>
        <v>256434.7150946341</v>
      </c>
      <c r="N26" s="1264">
        <f t="shared" si="10"/>
        <v>97844.700591536457</v>
      </c>
      <c r="O26" s="1267">
        <f t="shared" si="14"/>
        <v>161566.95595160819</v>
      </c>
      <c r="P26" s="1267">
        <f t="shared" si="14"/>
        <v>161953.79014114221</v>
      </c>
      <c r="Q26" s="1267">
        <f t="shared" si="14"/>
        <v>169399.62235074351</v>
      </c>
      <c r="R26" s="1267">
        <f t="shared" si="14"/>
        <v>236944.22808380949</v>
      </c>
      <c r="S26" s="1268">
        <f t="shared" si="14"/>
        <v>293717.07906458044</v>
      </c>
    </row>
    <row r="27" spans="1:19" s="1178" customFormat="1" ht="15" x14ac:dyDescent="0.25">
      <c r="A27" s="1199">
        <v>2025</v>
      </c>
      <c r="B27" s="1269">
        <f t="shared" si="6"/>
        <v>158756.3685850898</v>
      </c>
      <c r="C27" s="1270">
        <f t="shared" si="12"/>
        <v>162408.18450812271</v>
      </c>
      <c r="D27" s="1270">
        <f t="shared" si="12"/>
        <v>163167.90008523039</v>
      </c>
      <c r="E27" s="1270">
        <f t="shared" si="12"/>
        <v>172338.97215170335</v>
      </c>
      <c r="F27" s="1270">
        <f t="shared" si="12"/>
        <v>301165.89094378095</v>
      </c>
      <c r="G27" s="1271">
        <f t="shared" si="12"/>
        <v>245843.60345734755</v>
      </c>
      <c r="H27" s="1269">
        <f t="shared" si="8"/>
        <v>138428.94678772261</v>
      </c>
      <c r="I27" s="1270">
        <f t="shared" si="13"/>
        <v>164359.3226601404</v>
      </c>
      <c r="J27" s="1270">
        <f t="shared" si="13"/>
        <v>164902.11004426348</v>
      </c>
      <c r="K27" s="1270">
        <f t="shared" si="13"/>
        <v>229544.65071236875</v>
      </c>
      <c r="L27" s="1270">
        <f t="shared" si="13"/>
        <v>283237.72323060303</v>
      </c>
      <c r="M27" s="1271">
        <f t="shared" si="13"/>
        <v>233949.59507509533</v>
      </c>
      <c r="N27" s="1269">
        <f t="shared" si="10"/>
        <v>98112.924097701165</v>
      </c>
      <c r="O27" s="1270">
        <f t="shared" si="14"/>
        <v>162958.69493951026</v>
      </c>
      <c r="P27" s="1270">
        <f t="shared" si="14"/>
        <v>163199.1358101072</v>
      </c>
      <c r="Q27" s="1270">
        <f t="shared" si="14"/>
        <v>169312.49526940958</v>
      </c>
      <c r="R27" s="1270">
        <f t="shared" si="14"/>
        <v>215686.9466995034</v>
      </c>
      <c r="S27" s="1271">
        <f t="shared" si="14"/>
        <v>254455.31502531481</v>
      </c>
    </row>
    <row r="28" spans="1:19" s="1178" customFormat="1" ht="15" x14ac:dyDescent="0.25">
      <c r="A28" s="1193">
        <v>2026</v>
      </c>
      <c r="B28" s="1272">
        <f t="shared" si="6"/>
        <v>159487.32933471107</v>
      </c>
      <c r="C28" s="1273">
        <f t="shared" si="12"/>
        <v>163236.48492375619</v>
      </c>
      <c r="D28" s="1273">
        <f t="shared" si="12"/>
        <v>163910.85967252287</v>
      </c>
      <c r="E28" s="1273">
        <f t="shared" si="12"/>
        <v>172686.61349739414</v>
      </c>
      <c r="F28" s="1273">
        <f t="shared" si="12"/>
        <v>287877.09232421464</v>
      </c>
      <c r="G28" s="1274">
        <f t="shared" si="12"/>
        <v>235207.41417192924</v>
      </c>
      <c r="H28" s="1272">
        <f t="shared" si="8"/>
        <v>139088.32283276951</v>
      </c>
      <c r="I28" s="1273">
        <f t="shared" si="13"/>
        <v>165316.84771078819</v>
      </c>
      <c r="J28" s="1273">
        <f t="shared" si="13"/>
        <v>165798.36192940891</v>
      </c>
      <c r="K28" s="1273">
        <f t="shared" si="13"/>
        <v>222926.58019506134</v>
      </c>
      <c r="L28" s="1273">
        <f t="shared" si="13"/>
        <v>270542.60505442962</v>
      </c>
      <c r="M28" s="1274">
        <f t="shared" si="13"/>
        <v>224422.13503764558</v>
      </c>
      <c r="N28" s="1272">
        <f t="shared" si="10"/>
        <v>98535.258281973045</v>
      </c>
      <c r="O28" s="1273">
        <f t="shared" si="14"/>
        <v>163861.14456831603</v>
      </c>
      <c r="P28" s="1273">
        <f t="shared" si="14"/>
        <v>164066.33797761245</v>
      </c>
      <c r="Q28" s="1273">
        <f t="shared" si="14"/>
        <v>169892.68067002873</v>
      </c>
      <c r="R28" s="1273">
        <f t="shared" si="14"/>
        <v>211499.05308907098</v>
      </c>
      <c r="S28" s="1274">
        <f t="shared" si="14"/>
        <v>245570.79819267907</v>
      </c>
    </row>
    <row r="29" spans="1:19" s="1178" customFormat="1" ht="15" x14ac:dyDescent="0.25">
      <c r="A29" s="1193">
        <v>2027</v>
      </c>
      <c r="B29" s="1264">
        <f t="shared" si="6"/>
        <v>160218.29008433232</v>
      </c>
      <c r="C29" s="1267">
        <f t="shared" ref="C29:G38" si="15">$B29+INDEX(COST_Cls1,MATCH($A29,Years,0),MATCH(C$6,TECHOPTS_Cls1,0))</f>
        <v>164064.78533938964</v>
      </c>
      <c r="D29" s="1267">
        <f t="shared" si="15"/>
        <v>164653.81925981533</v>
      </c>
      <c r="E29" s="1267">
        <f t="shared" si="15"/>
        <v>173034.2548430849</v>
      </c>
      <c r="F29" s="1267">
        <f t="shared" si="15"/>
        <v>274588.29370464827</v>
      </c>
      <c r="G29" s="1268">
        <f t="shared" si="15"/>
        <v>224571.2248865109</v>
      </c>
      <c r="H29" s="1264">
        <f t="shared" si="8"/>
        <v>139747.69887781641</v>
      </c>
      <c r="I29" s="1267">
        <f t="shared" ref="I29:M38" si="16">$B29+INDEX(COST_Cls2,MATCH($A29,Years,0),MATCH(I$6,TECHOPTS_Cls1,0))</f>
        <v>166274.37276143598</v>
      </c>
      <c r="J29" s="1267">
        <f t="shared" si="16"/>
        <v>166694.61381455435</v>
      </c>
      <c r="K29" s="1267">
        <f t="shared" si="16"/>
        <v>216308.50967775387</v>
      </c>
      <c r="L29" s="1267">
        <f t="shared" si="16"/>
        <v>257847.48687825614</v>
      </c>
      <c r="M29" s="1268">
        <f t="shared" si="16"/>
        <v>214894.67500019583</v>
      </c>
      <c r="N29" s="1264">
        <f t="shared" si="10"/>
        <v>98957.592466244925</v>
      </c>
      <c r="O29" s="1267">
        <f t="shared" ref="O29:S38" si="17">$B29+INDEX(COST_Cls3,MATCH($A29,Years,0),MATCH(O$6,TECHOPTS_Cls1,0))</f>
        <v>164763.59419712174</v>
      </c>
      <c r="P29" s="1267">
        <f t="shared" si="17"/>
        <v>164933.54014511764</v>
      </c>
      <c r="Q29" s="1267">
        <f t="shared" si="17"/>
        <v>170472.86607064787</v>
      </c>
      <c r="R29" s="1267">
        <f t="shared" si="17"/>
        <v>207311.15947863855</v>
      </c>
      <c r="S29" s="1268">
        <f t="shared" si="17"/>
        <v>236686.28136004327</v>
      </c>
    </row>
    <row r="30" spans="1:19" s="1178" customFormat="1" ht="15" x14ac:dyDescent="0.25">
      <c r="A30" s="1193">
        <v>2028</v>
      </c>
      <c r="B30" s="1264">
        <f t="shared" si="6"/>
        <v>160949.25083395356</v>
      </c>
      <c r="C30" s="1267">
        <f t="shared" si="15"/>
        <v>164893.08575502309</v>
      </c>
      <c r="D30" s="1267">
        <f t="shared" si="15"/>
        <v>165396.77884710778</v>
      </c>
      <c r="E30" s="1267">
        <f t="shared" si="15"/>
        <v>173381.89618877566</v>
      </c>
      <c r="F30" s="1267">
        <f t="shared" si="15"/>
        <v>261299.4950850819</v>
      </c>
      <c r="G30" s="1268">
        <f t="shared" si="15"/>
        <v>213935.03560109256</v>
      </c>
      <c r="H30" s="1264">
        <f t="shared" si="8"/>
        <v>140407.07492286331</v>
      </c>
      <c r="I30" s="1267">
        <f t="shared" si="16"/>
        <v>167231.89781208377</v>
      </c>
      <c r="J30" s="1267">
        <f t="shared" si="16"/>
        <v>167590.86569969979</v>
      </c>
      <c r="K30" s="1267">
        <f t="shared" si="16"/>
        <v>209690.4391604464</v>
      </c>
      <c r="L30" s="1267">
        <f t="shared" si="16"/>
        <v>245152.36870208266</v>
      </c>
      <c r="M30" s="1268">
        <f t="shared" si="16"/>
        <v>205367.21496274607</v>
      </c>
      <c r="N30" s="1264">
        <f t="shared" si="10"/>
        <v>99379.926650516805</v>
      </c>
      <c r="O30" s="1267">
        <f t="shared" si="17"/>
        <v>165666.04382592748</v>
      </c>
      <c r="P30" s="1267">
        <f t="shared" si="17"/>
        <v>165800.74231262284</v>
      </c>
      <c r="Q30" s="1267">
        <f t="shared" si="17"/>
        <v>171053.05147126701</v>
      </c>
      <c r="R30" s="1267">
        <f t="shared" si="17"/>
        <v>203123.2658682061</v>
      </c>
      <c r="S30" s="1268">
        <f t="shared" si="17"/>
        <v>227801.7645274075</v>
      </c>
    </row>
    <row r="31" spans="1:19" s="1178" customFormat="1" ht="15" x14ac:dyDescent="0.25">
      <c r="A31" s="1193">
        <v>2029</v>
      </c>
      <c r="B31" s="1264">
        <f t="shared" si="6"/>
        <v>161680.2115835748</v>
      </c>
      <c r="C31" s="1267">
        <f t="shared" si="15"/>
        <v>165721.38617065654</v>
      </c>
      <c r="D31" s="1267">
        <f t="shared" si="15"/>
        <v>166139.73843440023</v>
      </c>
      <c r="E31" s="1267">
        <f t="shared" si="15"/>
        <v>173729.53753446642</v>
      </c>
      <c r="F31" s="1267">
        <f t="shared" si="15"/>
        <v>248010.69646551553</v>
      </c>
      <c r="G31" s="1268">
        <f t="shared" si="15"/>
        <v>203298.84631567422</v>
      </c>
      <c r="H31" s="1264">
        <f t="shared" si="8"/>
        <v>141066.45096791023</v>
      </c>
      <c r="I31" s="1267">
        <f t="shared" si="16"/>
        <v>168189.42286273153</v>
      </c>
      <c r="J31" s="1267">
        <f t="shared" si="16"/>
        <v>168487.1175848452</v>
      </c>
      <c r="K31" s="1267">
        <f t="shared" si="16"/>
        <v>203072.36864313897</v>
      </c>
      <c r="L31" s="1267">
        <f t="shared" si="16"/>
        <v>232457.25052590921</v>
      </c>
      <c r="M31" s="1268">
        <f t="shared" si="16"/>
        <v>195839.75492529629</v>
      </c>
      <c r="N31" s="1264">
        <f t="shared" si="10"/>
        <v>99802.260834788685</v>
      </c>
      <c r="O31" s="1267">
        <f t="shared" si="17"/>
        <v>166568.49345473322</v>
      </c>
      <c r="P31" s="1267">
        <f t="shared" si="17"/>
        <v>166667.94448012806</v>
      </c>
      <c r="Q31" s="1267">
        <f t="shared" si="17"/>
        <v>171633.23687188613</v>
      </c>
      <c r="R31" s="1267">
        <f t="shared" si="17"/>
        <v>198935.37225777365</v>
      </c>
      <c r="S31" s="1268">
        <f t="shared" si="17"/>
        <v>218917.24769477174</v>
      </c>
    </row>
    <row r="32" spans="1:19" s="1178" customFormat="1" ht="15" x14ac:dyDescent="0.25">
      <c r="A32" s="1199">
        <v>2030</v>
      </c>
      <c r="B32" s="1269">
        <f t="shared" si="6"/>
        <v>162352.82643157447</v>
      </c>
      <c r="C32" s="1270">
        <f t="shared" si="15"/>
        <v>166491.34068466845</v>
      </c>
      <c r="D32" s="1270">
        <f t="shared" si="15"/>
        <v>166824.35212007107</v>
      </c>
      <c r="E32" s="1270">
        <f t="shared" si="15"/>
        <v>174018.83297853565</v>
      </c>
      <c r="F32" s="1270">
        <f t="shared" si="15"/>
        <v>234663.5519443276</v>
      </c>
      <c r="G32" s="1271">
        <f t="shared" si="15"/>
        <v>192604.31112863435</v>
      </c>
      <c r="H32" s="1269">
        <f t="shared" si="8"/>
        <v>141725.82701295713</v>
      </c>
      <c r="I32" s="1270">
        <f t="shared" si="16"/>
        <v>169088.60201175776</v>
      </c>
      <c r="J32" s="1270">
        <f t="shared" si="16"/>
        <v>169325.0235683691</v>
      </c>
      <c r="K32" s="1270">
        <f t="shared" si="16"/>
        <v>196395.9522242099</v>
      </c>
      <c r="L32" s="1270">
        <f t="shared" si="16"/>
        <v>219703.78644811426</v>
      </c>
      <c r="M32" s="1271">
        <f t="shared" si="16"/>
        <v>186253.948986225</v>
      </c>
      <c r="N32" s="1269">
        <f t="shared" si="10"/>
        <v>100224.59501906054</v>
      </c>
      <c r="O32" s="1270">
        <f t="shared" si="17"/>
        <v>167412.5971819174</v>
      </c>
      <c r="P32" s="1270">
        <f t="shared" si="17"/>
        <v>167476.80074601172</v>
      </c>
      <c r="Q32" s="1270">
        <f t="shared" si="17"/>
        <v>172155.07637088373</v>
      </c>
      <c r="R32" s="1270">
        <f t="shared" si="17"/>
        <v>194689.13274571975</v>
      </c>
      <c r="S32" s="1271">
        <f t="shared" si="17"/>
        <v>209974.38496051435</v>
      </c>
    </row>
    <row r="33" spans="1:19" s="1178" customFormat="1" ht="15" x14ac:dyDescent="0.25">
      <c r="A33" s="1193">
        <v>2031</v>
      </c>
      <c r="B33" s="1272">
        <f t="shared" si="6"/>
        <v>162352.82643157447</v>
      </c>
      <c r="C33" s="1273">
        <f t="shared" si="15"/>
        <v>166491.34068466845</v>
      </c>
      <c r="D33" s="1273">
        <f t="shared" si="15"/>
        <v>166824.35212007107</v>
      </c>
      <c r="E33" s="1273">
        <f t="shared" si="15"/>
        <v>174801.08922676268</v>
      </c>
      <c r="F33" s="1273">
        <f t="shared" si="15"/>
        <v>229161.50260848328</v>
      </c>
      <c r="G33" s="1274">
        <f t="shared" si="15"/>
        <v>189634.86166768993</v>
      </c>
      <c r="H33" s="1272">
        <f t="shared" si="8"/>
        <v>141725.82701295713</v>
      </c>
      <c r="I33" s="1273">
        <f t="shared" si="16"/>
        <v>169088.60201175776</v>
      </c>
      <c r="J33" s="1273">
        <f t="shared" si="16"/>
        <v>169325.0235683691</v>
      </c>
      <c r="K33" s="1273">
        <f t="shared" si="16"/>
        <v>193866.16327199488</v>
      </c>
      <c r="L33" s="1273">
        <f t="shared" si="16"/>
        <v>214357.33813847287</v>
      </c>
      <c r="M33" s="1274">
        <f t="shared" si="16"/>
        <v>184009.05176756598</v>
      </c>
      <c r="N33" s="1272">
        <f t="shared" si="10"/>
        <v>100224.59501906054</v>
      </c>
      <c r="O33" s="1273">
        <f t="shared" si="17"/>
        <v>167412.5971819174</v>
      </c>
      <c r="P33" s="1273">
        <f t="shared" si="17"/>
        <v>167476.80074601172</v>
      </c>
      <c r="Q33" s="1273">
        <f t="shared" si="17"/>
        <v>172429.22816456109</v>
      </c>
      <c r="R33" s="1273">
        <f t="shared" si="17"/>
        <v>192817.9663910442</v>
      </c>
      <c r="S33" s="1274">
        <f t="shared" si="17"/>
        <v>206050.63508893724</v>
      </c>
    </row>
    <row r="34" spans="1:19" s="1178" customFormat="1" ht="15" x14ac:dyDescent="0.25">
      <c r="A34" s="1193">
        <v>2032</v>
      </c>
      <c r="B34" s="1264">
        <f t="shared" si="6"/>
        <v>162352.82643157447</v>
      </c>
      <c r="C34" s="1267">
        <f t="shared" si="15"/>
        <v>166491.34068466845</v>
      </c>
      <c r="D34" s="1267">
        <f t="shared" si="15"/>
        <v>166824.35212007107</v>
      </c>
      <c r="E34" s="1267">
        <f t="shared" si="15"/>
        <v>175583.34547498971</v>
      </c>
      <c r="F34" s="1267">
        <f t="shared" si="15"/>
        <v>223659.45327263896</v>
      </c>
      <c r="G34" s="1268">
        <f t="shared" si="15"/>
        <v>186665.4122067455</v>
      </c>
      <c r="H34" s="1264">
        <f t="shared" si="8"/>
        <v>141725.82701295713</v>
      </c>
      <c r="I34" s="1267">
        <f t="shared" si="16"/>
        <v>169088.60201175776</v>
      </c>
      <c r="J34" s="1267">
        <f t="shared" si="16"/>
        <v>169325.0235683691</v>
      </c>
      <c r="K34" s="1267">
        <f t="shared" si="16"/>
        <v>191336.37431977986</v>
      </c>
      <c r="L34" s="1267">
        <f t="shared" si="16"/>
        <v>209010.88982883148</v>
      </c>
      <c r="M34" s="1268">
        <f t="shared" si="16"/>
        <v>181764.15454890695</v>
      </c>
      <c r="N34" s="1264">
        <f t="shared" si="10"/>
        <v>100224.59501906054</v>
      </c>
      <c r="O34" s="1267">
        <f t="shared" si="17"/>
        <v>167412.5971819174</v>
      </c>
      <c r="P34" s="1267">
        <f t="shared" si="17"/>
        <v>167476.80074601172</v>
      </c>
      <c r="Q34" s="1267">
        <f t="shared" si="17"/>
        <v>172703.37995823845</v>
      </c>
      <c r="R34" s="1267">
        <f t="shared" si="17"/>
        <v>190946.80003636866</v>
      </c>
      <c r="S34" s="1268">
        <f t="shared" si="17"/>
        <v>202126.88521736013</v>
      </c>
    </row>
    <row r="35" spans="1:19" s="1178" customFormat="1" ht="15" x14ac:dyDescent="0.25">
      <c r="A35" s="1193">
        <v>2033</v>
      </c>
      <c r="B35" s="1264">
        <f t="shared" si="6"/>
        <v>162352.82643157447</v>
      </c>
      <c r="C35" s="1267">
        <f t="shared" si="15"/>
        <v>166491.34068466845</v>
      </c>
      <c r="D35" s="1267">
        <f t="shared" si="15"/>
        <v>166824.35212007107</v>
      </c>
      <c r="E35" s="1267">
        <f t="shared" si="15"/>
        <v>176365.60172321674</v>
      </c>
      <c r="F35" s="1267">
        <f t="shared" si="15"/>
        <v>218157.40393679464</v>
      </c>
      <c r="G35" s="1268">
        <f t="shared" si="15"/>
        <v>183695.96274580108</v>
      </c>
      <c r="H35" s="1264">
        <f t="shared" si="8"/>
        <v>141725.82701295713</v>
      </c>
      <c r="I35" s="1267">
        <f t="shared" si="16"/>
        <v>169088.60201175776</v>
      </c>
      <c r="J35" s="1267">
        <f t="shared" si="16"/>
        <v>169325.0235683691</v>
      </c>
      <c r="K35" s="1267">
        <f t="shared" si="16"/>
        <v>188806.58536756484</v>
      </c>
      <c r="L35" s="1267">
        <f t="shared" si="16"/>
        <v>203664.44151919009</v>
      </c>
      <c r="M35" s="1268">
        <f t="shared" si="16"/>
        <v>179519.25733024793</v>
      </c>
      <c r="N35" s="1264">
        <f t="shared" si="10"/>
        <v>100224.59501906054</v>
      </c>
      <c r="O35" s="1267">
        <f t="shared" si="17"/>
        <v>167412.5971819174</v>
      </c>
      <c r="P35" s="1267">
        <f t="shared" si="17"/>
        <v>167476.80074601172</v>
      </c>
      <c r="Q35" s="1267">
        <f t="shared" si="17"/>
        <v>172977.53175191581</v>
      </c>
      <c r="R35" s="1267">
        <f t="shared" si="17"/>
        <v>189075.63368169311</v>
      </c>
      <c r="S35" s="1268">
        <f t="shared" si="17"/>
        <v>198203.13534578303</v>
      </c>
    </row>
    <row r="36" spans="1:19" s="1178" customFormat="1" ht="15" x14ac:dyDescent="0.25">
      <c r="A36" s="1193">
        <v>2034</v>
      </c>
      <c r="B36" s="1264">
        <f t="shared" si="6"/>
        <v>162352.82643157447</v>
      </c>
      <c r="C36" s="1267">
        <f t="shared" si="15"/>
        <v>166491.34068466845</v>
      </c>
      <c r="D36" s="1267">
        <f t="shared" si="15"/>
        <v>166824.35212007107</v>
      </c>
      <c r="E36" s="1267">
        <f t="shared" si="15"/>
        <v>177147.85797144377</v>
      </c>
      <c r="F36" s="1267">
        <f t="shared" si="15"/>
        <v>212655.35460095032</v>
      </c>
      <c r="G36" s="1268">
        <f t="shared" si="15"/>
        <v>180726.51328485666</v>
      </c>
      <c r="H36" s="1264">
        <f t="shared" si="8"/>
        <v>141725.82701295713</v>
      </c>
      <c r="I36" s="1267">
        <f t="shared" si="16"/>
        <v>169088.60201175776</v>
      </c>
      <c r="J36" s="1267">
        <f t="shared" si="16"/>
        <v>169325.0235683691</v>
      </c>
      <c r="K36" s="1267">
        <f t="shared" si="16"/>
        <v>186276.79641534982</v>
      </c>
      <c r="L36" s="1267">
        <f t="shared" si="16"/>
        <v>198317.9932095487</v>
      </c>
      <c r="M36" s="1268">
        <f t="shared" si="16"/>
        <v>177274.3601115889</v>
      </c>
      <c r="N36" s="1264">
        <f t="shared" si="10"/>
        <v>100224.59501906054</v>
      </c>
      <c r="O36" s="1267">
        <f t="shared" si="17"/>
        <v>167412.5971819174</v>
      </c>
      <c r="P36" s="1267">
        <f t="shared" si="17"/>
        <v>167476.80074601172</v>
      </c>
      <c r="Q36" s="1267">
        <f t="shared" si="17"/>
        <v>173251.68354559317</v>
      </c>
      <c r="R36" s="1267">
        <f t="shared" si="17"/>
        <v>187204.46732701757</v>
      </c>
      <c r="S36" s="1268">
        <f t="shared" si="17"/>
        <v>194279.38547420592</v>
      </c>
    </row>
    <row r="37" spans="1:19" s="1178" customFormat="1" ht="15" x14ac:dyDescent="0.25">
      <c r="A37" s="1199">
        <v>2035</v>
      </c>
      <c r="B37" s="1269">
        <f t="shared" si="6"/>
        <v>162352.82643157447</v>
      </c>
      <c r="C37" s="1270">
        <f t="shared" si="15"/>
        <v>166491.34068466845</v>
      </c>
      <c r="D37" s="1270">
        <f t="shared" si="15"/>
        <v>166824.35212007107</v>
      </c>
      <c r="E37" s="1270">
        <f t="shared" si="15"/>
        <v>177930.11421967082</v>
      </c>
      <c r="F37" s="1270">
        <f t="shared" si="15"/>
        <v>207153.305265106</v>
      </c>
      <c r="G37" s="1271">
        <f t="shared" si="15"/>
        <v>177757.06382391226</v>
      </c>
      <c r="H37" s="1269">
        <f t="shared" si="8"/>
        <v>141725.82701295713</v>
      </c>
      <c r="I37" s="1270">
        <f t="shared" si="16"/>
        <v>169088.60201175776</v>
      </c>
      <c r="J37" s="1270">
        <f t="shared" si="16"/>
        <v>169325.0235683691</v>
      </c>
      <c r="K37" s="1270">
        <f t="shared" si="16"/>
        <v>183747.00746313474</v>
      </c>
      <c r="L37" s="1270">
        <f t="shared" si="16"/>
        <v>192971.54489990731</v>
      </c>
      <c r="M37" s="1271">
        <f t="shared" si="16"/>
        <v>175029.46289292991</v>
      </c>
      <c r="N37" s="1269">
        <f t="shared" si="10"/>
        <v>100224.59501906054</v>
      </c>
      <c r="O37" s="1270">
        <f t="shared" si="17"/>
        <v>167412.5971819174</v>
      </c>
      <c r="P37" s="1270">
        <f t="shared" si="17"/>
        <v>167476.80074601172</v>
      </c>
      <c r="Q37" s="1270">
        <f t="shared" si="17"/>
        <v>173525.83533927053</v>
      </c>
      <c r="R37" s="1270">
        <f t="shared" si="17"/>
        <v>185333.300972342</v>
      </c>
      <c r="S37" s="1271">
        <f t="shared" si="17"/>
        <v>190355.63560262887</v>
      </c>
    </row>
    <row r="38" spans="1:19" s="1178" customFormat="1" ht="15" x14ac:dyDescent="0.25">
      <c r="A38" s="1193">
        <v>2036</v>
      </c>
      <c r="B38" s="1272">
        <f t="shared" si="6"/>
        <v>162352.82643157447</v>
      </c>
      <c r="C38" s="1273">
        <f t="shared" si="15"/>
        <v>166491.34068466845</v>
      </c>
      <c r="D38" s="1273">
        <f t="shared" si="15"/>
        <v>166824.35212007107</v>
      </c>
      <c r="E38" s="1273">
        <f t="shared" si="15"/>
        <v>178247.85593826344</v>
      </c>
      <c r="F38" s="1273">
        <f t="shared" si="15"/>
        <v>206616.23316901896</v>
      </c>
      <c r="G38" s="1274">
        <f t="shared" si="15"/>
        <v>177279.22293086632</v>
      </c>
      <c r="H38" s="1272">
        <f t="shared" si="8"/>
        <v>141725.82701295713</v>
      </c>
      <c r="I38" s="1273">
        <f t="shared" si="16"/>
        <v>169088.60201175776</v>
      </c>
      <c r="J38" s="1273">
        <f t="shared" si="16"/>
        <v>169325.0235683691</v>
      </c>
      <c r="K38" s="1273">
        <f t="shared" si="16"/>
        <v>183600.65330687331</v>
      </c>
      <c r="L38" s="1273">
        <f t="shared" si="16"/>
        <v>192392.57746154637</v>
      </c>
      <c r="M38" s="1274">
        <f t="shared" si="16"/>
        <v>174496.71898592098</v>
      </c>
      <c r="N38" s="1272">
        <f t="shared" si="10"/>
        <v>100224.59501906054</v>
      </c>
      <c r="O38" s="1273">
        <f t="shared" si="17"/>
        <v>167412.5971819174</v>
      </c>
      <c r="P38" s="1273">
        <f t="shared" si="17"/>
        <v>167476.80074601172</v>
      </c>
      <c r="Q38" s="1273">
        <f t="shared" si="17"/>
        <v>173825.24961645476</v>
      </c>
      <c r="R38" s="1273">
        <f t="shared" si="17"/>
        <v>185347.96838510555</v>
      </c>
      <c r="S38" s="1274">
        <f t="shared" si="17"/>
        <v>189995.52978553483</v>
      </c>
    </row>
    <row r="39" spans="1:19" s="1178" customFormat="1" ht="15" x14ac:dyDescent="0.25">
      <c r="A39" s="1193">
        <v>2037</v>
      </c>
      <c r="B39" s="1264">
        <f t="shared" si="6"/>
        <v>162352.82643157447</v>
      </c>
      <c r="C39" s="1267">
        <f t="shared" ref="C39:G52" si="18">$B39+INDEX(COST_Cls1,MATCH($A39,Years,0),MATCH(C$6,TECHOPTS_Cls1,0))</f>
        <v>166491.34068466845</v>
      </c>
      <c r="D39" s="1267">
        <f t="shared" si="18"/>
        <v>166824.35212007107</v>
      </c>
      <c r="E39" s="1267">
        <f t="shared" si="18"/>
        <v>178565.59765685606</v>
      </c>
      <c r="F39" s="1267">
        <f t="shared" si="18"/>
        <v>206079.16107293192</v>
      </c>
      <c r="G39" s="1268">
        <f t="shared" si="18"/>
        <v>176801.38203782038</v>
      </c>
      <c r="H39" s="1264">
        <f t="shared" si="8"/>
        <v>141725.82701295713</v>
      </c>
      <c r="I39" s="1267">
        <f t="shared" ref="I39:M52" si="19">$B39+INDEX(COST_Cls2,MATCH($A39,Years,0),MATCH(I$6,TECHOPTS_Cls1,0))</f>
        <v>169088.60201175776</v>
      </c>
      <c r="J39" s="1267">
        <f t="shared" si="19"/>
        <v>169325.0235683691</v>
      </c>
      <c r="K39" s="1267">
        <f t="shared" si="19"/>
        <v>183454.29915061189</v>
      </c>
      <c r="L39" s="1267">
        <f t="shared" si="19"/>
        <v>191813.61002318544</v>
      </c>
      <c r="M39" s="1268">
        <f t="shared" si="19"/>
        <v>173963.97507891204</v>
      </c>
      <c r="N39" s="1264">
        <f t="shared" si="10"/>
        <v>100224.59501906054</v>
      </c>
      <c r="O39" s="1267">
        <f t="shared" ref="O39:S52" si="20">$B39+INDEX(COST_Cls3,MATCH($A39,Years,0),MATCH(O$6,TECHOPTS_Cls1,0))</f>
        <v>167412.5971819174</v>
      </c>
      <c r="P39" s="1267">
        <f t="shared" si="20"/>
        <v>167476.80074601172</v>
      </c>
      <c r="Q39" s="1267">
        <f t="shared" si="20"/>
        <v>173825.24961645476</v>
      </c>
      <c r="R39" s="1267">
        <f t="shared" si="20"/>
        <v>185362.63579786909</v>
      </c>
      <c r="S39" s="1268">
        <f t="shared" si="20"/>
        <v>189635.42396844077</v>
      </c>
    </row>
    <row r="40" spans="1:19" s="1178" customFormat="1" ht="15" x14ac:dyDescent="0.25">
      <c r="A40" s="1193">
        <v>2038</v>
      </c>
      <c r="B40" s="1264">
        <f t="shared" si="6"/>
        <v>162352.82643157447</v>
      </c>
      <c r="C40" s="1267">
        <f t="shared" si="18"/>
        <v>166491.34068466845</v>
      </c>
      <c r="D40" s="1267">
        <f t="shared" si="18"/>
        <v>166824.35212007107</v>
      </c>
      <c r="E40" s="1267">
        <f t="shared" si="18"/>
        <v>178883.33937544868</v>
      </c>
      <c r="F40" s="1267">
        <f t="shared" si="18"/>
        <v>205542.08897684488</v>
      </c>
      <c r="G40" s="1268">
        <f t="shared" si="18"/>
        <v>176323.54114477444</v>
      </c>
      <c r="H40" s="1264">
        <f t="shared" si="8"/>
        <v>141725.82701295713</v>
      </c>
      <c r="I40" s="1267">
        <f t="shared" si="19"/>
        <v>169088.60201175776</v>
      </c>
      <c r="J40" s="1267">
        <f t="shared" si="19"/>
        <v>169325.0235683691</v>
      </c>
      <c r="K40" s="1267">
        <f t="shared" si="19"/>
        <v>183307.94499435046</v>
      </c>
      <c r="L40" s="1267">
        <f t="shared" si="19"/>
        <v>191234.6425848245</v>
      </c>
      <c r="M40" s="1268">
        <f t="shared" si="19"/>
        <v>173431.23117190311</v>
      </c>
      <c r="N40" s="1264">
        <f t="shared" si="10"/>
        <v>100224.59501906054</v>
      </c>
      <c r="O40" s="1267">
        <f t="shared" si="20"/>
        <v>167412.5971819174</v>
      </c>
      <c r="P40" s="1267">
        <f t="shared" si="20"/>
        <v>167476.80074601172</v>
      </c>
      <c r="Q40" s="1267">
        <f t="shared" si="20"/>
        <v>173825.24961645476</v>
      </c>
      <c r="R40" s="1267">
        <f t="shared" si="20"/>
        <v>185377.30321063264</v>
      </c>
      <c r="S40" s="1268">
        <f t="shared" si="20"/>
        <v>189275.3181513467</v>
      </c>
    </row>
    <row r="41" spans="1:19" s="1178" customFormat="1" ht="15" x14ac:dyDescent="0.25">
      <c r="A41" s="1193">
        <v>2039</v>
      </c>
      <c r="B41" s="1264">
        <f t="shared" si="6"/>
        <v>162352.82643157447</v>
      </c>
      <c r="C41" s="1267">
        <f t="shared" si="18"/>
        <v>166491.34068466845</v>
      </c>
      <c r="D41" s="1267">
        <f t="shared" si="18"/>
        <v>166824.35212007107</v>
      </c>
      <c r="E41" s="1267">
        <f t="shared" si="18"/>
        <v>179201.08109404129</v>
      </c>
      <c r="F41" s="1267">
        <f t="shared" si="18"/>
        <v>205005.01688075784</v>
      </c>
      <c r="G41" s="1268">
        <f t="shared" si="18"/>
        <v>175845.7002517285</v>
      </c>
      <c r="H41" s="1264">
        <f t="shared" si="8"/>
        <v>141725.82701295713</v>
      </c>
      <c r="I41" s="1267">
        <f t="shared" si="19"/>
        <v>169088.60201175776</v>
      </c>
      <c r="J41" s="1267">
        <f t="shared" si="19"/>
        <v>169325.0235683691</v>
      </c>
      <c r="K41" s="1267">
        <f t="shared" si="19"/>
        <v>183161.59083808903</v>
      </c>
      <c r="L41" s="1267">
        <f t="shared" si="19"/>
        <v>190655.67514646356</v>
      </c>
      <c r="M41" s="1268">
        <f t="shared" si="19"/>
        <v>172898.48726489418</v>
      </c>
      <c r="N41" s="1264">
        <f t="shared" si="10"/>
        <v>100224.59501906054</v>
      </c>
      <c r="O41" s="1267">
        <f t="shared" si="20"/>
        <v>167412.5971819174</v>
      </c>
      <c r="P41" s="1267">
        <f t="shared" si="20"/>
        <v>167476.80074601172</v>
      </c>
      <c r="Q41" s="1267">
        <f t="shared" si="20"/>
        <v>173825.24961645476</v>
      </c>
      <c r="R41" s="1267">
        <f t="shared" si="20"/>
        <v>185391.97062339619</v>
      </c>
      <c r="S41" s="1268">
        <f t="shared" si="20"/>
        <v>188915.21233425266</v>
      </c>
    </row>
    <row r="42" spans="1:19" s="1178" customFormat="1" ht="15" x14ac:dyDescent="0.25">
      <c r="A42" s="1199">
        <v>2040</v>
      </c>
      <c r="B42" s="1269">
        <f t="shared" si="6"/>
        <v>162352.82643157447</v>
      </c>
      <c r="C42" s="1270">
        <f t="shared" si="18"/>
        <v>166491.34068466845</v>
      </c>
      <c r="D42" s="1270">
        <f t="shared" si="18"/>
        <v>166824.35212007107</v>
      </c>
      <c r="E42" s="1270">
        <f t="shared" si="18"/>
        <v>179518.82281263391</v>
      </c>
      <c r="F42" s="1270">
        <f t="shared" si="18"/>
        <v>204467.94478467081</v>
      </c>
      <c r="G42" s="1271">
        <f t="shared" si="18"/>
        <v>175367.85935868256</v>
      </c>
      <c r="H42" s="1278">
        <f t="shared" si="8"/>
        <v>141725.82701295713</v>
      </c>
      <c r="I42" s="1279">
        <f t="shared" si="19"/>
        <v>169088.60201175776</v>
      </c>
      <c r="J42" s="1279">
        <f t="shared" si="19"/>
        <v>169325.0235683691</v>
      </c>
      <c r="K42" s="1279">
        <f t="shared" si="19"/>
        <v>183015.23668182761</v>
      </c>
      <c r="L42" s="1279">
        <f t="shared" si="19"/>
        <v>190076.70770810262</v>
      </c>
      <c r="M42" s="1280">
        <f t="shared" si="19"/>
        <v>172365.74335788525</v>
      </c>
      <c r="N42" s="1278">
        <f t="shared" si="10"/>
        <v>100224.59501906054</v>
      </c>
      <c r="O42" s="1279">
        <f t="shared" si="20"/>
        <v>167412.5971819174</v>
      </c>
      <c r="P42" s="1279">
        <f t="shared" si="20"/>
        <v>167476.80074601172</v>
      </c>
      <c r="Q42" s="1279">
        <f t="shared" si="20"/>
        <v>173825.24961645476</v>
      </c>
      <c r="R42" s="1279">
        <f t="shared" si="20"/>
        <v>185406.63803615974</v>
      </c>
      <c r="S42" s="1280">
        <f t="shared" si="20"/>
        <v>188555.10651715862</v>
      </c>
    </row>
    <row r="43" spans="1:19" s="1178" customFormat="1" ht="15" x14ac:dyDescent="0.25">
      <c r="A43" s="1193">
        <v>2041</v>
      </c>
      <c r="B43" s="1272">
        <f t="shared" si="6"/>
        <v>162352.82643157447</v>
      </c>
      <c r="C43" s="1273">
        <f t="shared" si="18"/>
        <v>166491.34068466845</v>
      </c>
      <c r="D43" s="1273">
        <f t="shared" si="18"/>
        <v>166824.35212007107</v>
      </c>
      <c r="E43" s="1273">
        <f t="shared" si="18"/>
        <v>179518.82281263391</v>
      </c>
      <c r="F43" s="1273">
        <f t="shared" si="18"/>
        <v>203930.87268858377</v>
      </c>
      <c r="G43" s="1274">
        <f t="shared" si="18"/>
        <v>174890.01846563662</v>
      </c>
      <c r="H43" s="1272">
        <f t="shared" si="8"/>
        <v>141725.82701295713</v>
      </c>
      <c r="I43" s="1273">
        <f t="shared" si="19"/>
        <v>169088.60201175776</v>
      </c>
      <c r="J43" s="1273">
        <f t="shared" si="19"/>
        <v>169325.0235683691</v>
      </c>
      <c r="K43" s="1273">
        <f t="shared" si="19"/>
        <v>182868.88252556618</v>
      </c>
      <c r="L43" s="1273">
        <f t="shared" si="19"/>
        <v>189497.74026974168</v>
      </c>
      <c r="M43" s="1274">
        <f t="shared" si="19"/>
        <v>171832.99945087632</v>
      </c>
      <c r="N43" s="1272">
        <f t="shared" si="10"/>
        <v>100224.59501906054</v>
      </c>
      <c r="O43" s="1273">
        <f t="shared" si="20"/>
        <v>167412.5971819174</v>
      </c>
      <c r="P43" s="1273">
        <f t="shared" si="20"/>
        <v>167476.80074601172</v>
      </c>
      <c r="Q43" s="1273">
        <f t="shared" si="20"/>
        <v>173825.24961645476</v>
      </c>
      <c r="R43" s="1273">
        <f t="shared" si="20"/>
        <v>185421.30544892329</v>
      </c>
      <c r="S43" s="1274">
        <f t="shared" si="20"/>
        <v>188195.00070006456</v>
      </c>
    </row>
    <row r="44" spans="1:19" s="1178" customFormat="1" ht="15" x14ac:dyDescent="0.25">
      <c r="A44" s="1193">
        <v>2042</v>
      </c>
      <c r="B44" s="1264">
        <f t="shared" si="6"/>
        <v>162352.82643157447</v>
      </c>
      <c r="C44" s="1267">
        <f t="shared" si="18"/>
        <v>166491.34068466845</v>
      </c>
      <c r="D44" s="1267">
        <f t="shared" si="18"/>
        <v>166824.35212007107</v>
      </c>
      <c r="E44" s="1267">
        <f t="shared" si="18"/>
        <v>180154.30624981914</v>
      </c>
      <c r="F44" s="1267">
        <f t="shared" si="18"/>
        <v>203393.80059249673</v>
      </c>
      <c r="G44" s="1268">
        <f t="shared" si="18"/>
        <v>174412.17757259068</v>
      </c>
      <c r="H44" s="1264">
        <f t="shared" si="8"/>
        <v>141725.82701295713</v>
      </c>
      <c r="I44" s="1267">
        <f t="shared" si="19"/>
        <v>169088.60201175776</v>
      </c>
      <c r="J44" s="1267">
        <f t="shared" si="19"/>
        <v>169325.0235683691</v>
      </c>
      <c r="K44" s="1267">
        <f t="shared" si="19"/>
        <v>182722.52836930475</v>
      </c>
      <c r="L44" s="1267">
        <f t="shared" si="19"/>
        <v>188918.77283138075</v>
      </c>
      <c r="M44" s="1268">
        <f t="shared" si="19"/>
        <v>171300.25554386739</v>
      </c>
      <c r="N44" s="1264">
        <f t="shared" si="10"/>
        <v>100224.59501906054</v>
      </c>
      <c r="O44" s="1267">
        <f t="shared" si="20"/>
        <v>167412.5971819174</v>
      </c>
      <c r="P44" s="1267">
        <f t="shared" si="20"/>
        <v>167476.80074601172</v>
      </c>
      <c r="Q44" s="1267">
        <f t="shared" si="20"/>
        <v>173825.24961645476</v>
      </c>
      <c r="R44" s="1267">
        <f t="shared" si="20"/>
        <v>185435.97286168684</v>
      </c>
      <c r="S44" s="1268">
        <f t="shared" si="20"/>
        <v>187834.89488297049</v>
      </c>
    </row>
    <row r="45" spans="1:19" s="1178" customFormat="1" ht="15" x14ac:dyDescent="0.25">
      <c r="A45" s="1193">
        <v>2043</v>
      </c>
      <c r="B45" s="1264">
        <f t="shared" si="6"/>
        <v>162352.82643157447</v>
      </c>
      <c r="C45" s="1267">
        <f t="shared" si="18"/>
        <v>166491.34068466845</v>
      </c>
      <c r="D45" s="1267">
        <f t="shared" si="18"/>
        <v>166824.35212007107</v>
      </c>
      <c r="E45" s="1267">
        <f t="shared" si="18"/>
        <v>180472.04796841176</v>
      </c>
      <c r="F45" s="1267">
        <f t="shared" si="18"/>
        <v>202856.72849640969</v>
      </c>
      <c r="G45" s="1268">
        <f t="shared" si="18"/>
        <v>173934.33667954474</v>
      </c>
      <c r="H45" s="1264">
        <f t="shared" si="8"/>
        <v>141725.82701295713</v>
      </c>
      <c r="I45" s="1267">
        <f t="shared" si="19"/>
        <v>169088.60201175776</v>
      </c>
      <c r="J45" s="1267">
        <f t="shared" si="19"/>
        <v>169325.0235683691</v>
      </c>
      <c r="K45" s="1267">
        <f t="shared" si="19"/>
        <v>182576.17421304333</v>
      </c>
      <c r="L45" s="1267">
        <f t="shared" si="19"/>
        <v>188339.80539301981</v>
      </c>
      <c r="M45" s="1268">
        <f t="shared" si="19"/>
        <v>170767.51163685846</v>
      </c>
      <c r="N45" s="1264">
        <f t="shared" si="10"/>
        <v>100224.59501906054</v>
      </c>
      <c r="O45" s="1267">
        <f t="shared" si="20"/>
        <v>167412.5971819174</v>
      </c>
      <c r="P45" s="1267">
        <f t="shared" si="20"/>
        <v>167476.80074601172</v>
      </c>
      <c r="Q45" s="1267">
        <f t="shared" si="20"/>
        <v>173825.24961645476</v>
      </c>
      <c r="R45" s="1267">
        <f t="shared" si="20"/>
        <v>185450.64027445039</v>
      </c>
      <c r="S45" s="1268">
        <f t="shared" si="20"/>
        <v>187474.78906587645</v>
      </c>
    </row>
    <row r="46" spans="1:19" s="1178" customFormat="1" ht="15" x14ac:dyDescent="0.25">
      <c r="A46" s="1193">
        <v>2044</v>
      </c>
      <c r="B46" s="1264">
        <f t="shared" si="6"/>
        <v>162352.82643157447</v>
      </c>
      <c r="C46" s="1267">
        <f t="shared" si="18"/>
        <v>166491.34068466845</v>
      </c>
      <c r="D46" s="1267">
        <f t="shared" si="18"/>
        <v>166824.35212007107</v>
      </c>
      <c r="E46" s="1267">
        <f t="shared" si="18"/>
        <v>180789.78968700438</v>
      </c>
      <c r="F46" s="1267">
        <f t="shared" si="18"/>
        <v>202319.65640032265</v>
      </c>
      <c r="G46" s="1268">
        <f t="shared" si="18"/>
        <v>173456.4957864988</v>
      </c>
      <c r="H46" s="1264">
        <f t="shared" si="8"/>
        <v>141725.82701295713</v>
      </c>
      <c r="I46" s="1267">
        <f t="shared" si="19"/>
        <v>169088.60201175776</v>
      </c>
      <c r="J46" s="1267">
        <f t="shared" si="19"/>
        <v>169325.0235683691</v>
      </c>
      <c r="K46" s="1267">
        <f t="shared" si="19"/>
        <v>182429.8200567819</v>
      </c>
      <c r="L46" s="1267">
        <f t="shared" si="19"/>
        <v>187760.83795465887</v>
      </c>
      <c r="M46" s="1268">
        <f t="shared" si="19"/>
        <v>170234.76772984953</v>
      </c>
      <c r="N46" s="1264">
        <f t="shared" si="10"/>
        <v>100224.59501906054</v>
      </c>
      <c r="O46" s="1267">
        <f t="shared" si="20"/>
        <v>167412.5971819174</v>
      </c>
      <c r="P46" s="1267">
        <f t="shared" si="20"/>
        <v>167476.80074601172</v>
      </c>
      <c r="Q46" s="1267">
        <f t="shared" si="20"/>
        <v>173825.24961645476</v>
      </c>
      <c r="R46" s="1267">
        <f t="shared" si="20"/>
        <v>185465.30768721394</v>
      </c>
      <c r="S46" s="1268">
        <f t="shared" si="20"/>
        <v>187114.68324878241</v>
      </c>
    </row>
    <row r="47" spans="1:19" s="1178" customFormat="1" ht="15" x14ac:dyDescent="0.25">
      <c r="A47" s="1199">
        <v>2045</v>
      </c>
      <c r="B47" s="1269">
        <f t="shared" si="6"/>
        <v>162352.82643157447</v>
      </c>
      <c r="C47" s="1270">
        <f t="shared" si="18"/>
        <v>166491.34068466845</v>
      </c>
      <c r="D47" s="1270">
        <f t="shared" si="18"/>
        <v>166824.35212007107</v>
      </c>
      <c r="E47" s="1270">
        <f t="shared" si="18"/>
        <v>181107.53140559699</v>
      </c>
      <c r="F47" s="1270">
        <f t="shared" si="18"/>
        <v>201782.58430423561</v>
      </c>
      <c r="G47" s="1271">
        <f t="shared" si="18"/>
        <v>172978.65489345285</v>
      </c>
      <c r="H47" s="1269">
        <f t="shared" si="8"/>
        <v>141725.82701295713</v>
      </c>
      <c r="I47" s="1270">
        <f t="shared" si="19"/>
        <v>169088.60201175776</v>
      </c>
      <c r="J47" s="1270">
        <f t="shared" si="19"/>
        <v>169325.0235683691</v>
      </c>
      <c r="K47" s="1270">
        <f t="shared" si="19"/>
        <v>182283.46590052047</v>
      </c>
      <c r="L47" s="1270">
        <f t="shared" si="19"/>
        <v>187181.87051629793</v>
      </c>
      <c r="M47" s="1271">
        <f t="shared" si="19"/>
        <v>169702.02382284059</v>
      </c>
      <c r="N47" s="1269">
        <f t="shared" si="10"/>
        <v>100224.59501906054</v>
      </c>
      <c r="O47" s="1270">
        <f t="shared" si="20"/>
        <v>167412.5971819174</v>
      </c>
      <c r="P47" s="1270">
        <f t="shared" si="20"/>
        <v>167476.80074601172</v>
      </c>
      <c r="Q47" s="1270">
        <f t="shared" si="20"/>
        <v>173825.24961645476</v>
      </c>
      <c r="R47" s="1270">
        <f t="shared" si="20"/>
        <v>185479.97509997748</v>
      </c>
      <c r="S47" s="1271">
        <f t="shared" si="20"/>
        <v>186754.57743168835</v>
      </c>
    </row>
    <row r="48" spans="1:19" s="1178" customFormat="1" ht="15" x14ac:dyDescent="0.25">
      <c r="A48" s="1193">
        <v>2046</v>
      </c>
      <c r="B48" s="1272">
        <f t="shared" si="6"/>
        <v>162352.82643157447</v>
      </c>
      <c r="C48" s="1273">
        <f t="shared" si="18"/>
        <v>166491.34068466845</v>
      </c>
      <c r="D48" s="1273">
        <f t="shared" si="18"/>
        <v>166824.35212007107</v>
      </c>
      <c r="E48" s="1273">
        <f t="shared" si="18"/>
        <v>181425.27312418961</v>
      </c>
      <c r="F48" s="1273">
        <f t="shared" si="18"/>
        <v>201245.51220814858</v>
      </c>
      <c r="G48" s="1274">
        <f t="shared" si="18"/>
        <v>172500.81400040691</v>
      </c>
      <c r="H48" s="1272">
        <f t="shared" si="8"/>
        <v>141725.82701295713</v>
      </c>
      <c r="I48" s="1273">
        <f t="shared" si="19"/>
        <v>169088.60201175776</v>
      </c>
      <c r="J48" s="1273">
        <f t="shared" si="19"/>
        <v>169325.0235683691</v>
      </c>
      <c r="K48" s="1273">
        <f t="shared" si="19"/>
        <v>182137.11174425905</v>
      </c>
      <c r="L48" s="1273">
        <f t="shared" si="19"/>
        <v>186602.90307793699</v>
      </c>
      <c r="M48" s="1274">
        <f t="shared" si="19"/>
        <v>169169.27991583166</v>
      </c>
      <c r="N48" s="1272">
        <f t="shared" si="10"/>
        <v>100224.59501906054</v>
      </c>
      <c r="O48" s="1273">
        <f t="shared" si="20"/>
        <v>167412.5971819174</v>
      </c>
      <c r="P48" s="1273">
        <f t="shared" si="20"/>
        <v>167476.80074601172</v>
      </c>
      <c r="Q48" s="1273">
        <f t="shared" si="20"/>
        <v>173825.24961645476</v>
      </c>
      <c r="R48" s="1273">
        <f t="shared" si="20"/>
        <v>185494.64251274103</v>
      </c>
      <c r="S48" s="1274">
        <f t="shared" si="20"/>
        <v>186394.47161459428</v>
      </c>
    </row>
    <row r="49" spans="1:19" s="1178" customFormat="1" ht="15" x14ac:dyDescent="0.25">
      <c r="A49" s="1193">
        <v>2047</v>
      </c>
      <c r="B49" s="1264">
        <f t="shared" si="6"/>
        <v>162352.82643157447</v>
      </c>
      <c r="C49" s="1267">
        <f t="shared" si="18"/>
        <v>166491.34068466845</v>
      </c>
      <c r="D49" s="1267">
        <f t="shared" si="18"/>
        <v>166824.35212007107</v>
      </c>
      <c r="E49" s="1267">
        <f t="shared" si="18"/>
        <v>181743.01484278223</v>
      </c>
      <c r="F49" s="1267">
        <f t="shared" si="18"/>
        <v>200708.44011206154</v>
      </c>
      <c r="G49" s="1268">
        <f t="shared" si="18"/>
        <v>172022.97310736097</v>
      </c>
      <c r="H49" s="1264">
        <f t="shared" si="8"/>
        <v>141725.82701295713</v>
      </c>
      <c r="I49" s="1267">
        <f t="shared" si="19"/>
        <v>169088.60201175776</v>
      </c>
      <c r="J49" s="1267">
        <f t="shared" si="19"/>
        <v>169325.0235683691</v>
      </c>
      <c r="K49" s="1267">
        <f t="shared" si="19"/>
        <v>181990.75758799762</v>
      </c>
      <c r="L49" s="1267">
        <f t="shared" si="19"/>
        <v>186023.93563957606</v>
      </c>
      <c r="M49" s="1268">
        <f t="shared" si="19"/>
        <v>168636.53600882273</v>
      </c>
      <c r="N49" s="1264">
        <f t="shared" si="10"/>
        <v>100224.59501906054</v>
      </c>
      <c r="O49" s="1267">
        <f t="shared" si="20"/>
        <v>167412.5971819174</v>
      </c>
      <c r="P49" s="1267">
        <f t="shared" si="20"/>
        <v>167476.80074601172</v>
      </c>
      <c r="Q49" s="1267">
        <f t="shared" si="20"/>
        <v>173825.24961645476</v>
      </c>
      <c r="R49" s="1267">
        <f t="shared" si="20"/>
        <v>185509.30992550458</v>
      </c>
      <c r="S49" s="1268">
        <f t="shared" si="20"/>
        <v>186034.36579750024</v>
      </c>
    </row>
    <row r="50" spans="1:19" s="1178" customFormat="1" ht="15" x14ac:dyDescent="0.25">
      <c r="A50" s="1193">
        <v>2048</v>
      </c>
      <c r="B50" s="1264">
        <f t="shared" si="6"/>
        <v>162352.82643157447</v>
      </c>
      <c r="C50" s="1267">
        <f t="shared" si="18"/>
        <v>166491.34068466845</v>
      </c>
      <c r="D50" s="1267">
        <f t="shared" si="18"/>
        <v>166824.35212007107</v>
      </c>
      <c r="E50" s="1267">
        <f t="shared" si="18"/>
        <v>182060.75656137484</v>
      </c>
      <c r="F50" s="1267">
        <f t="shared" si="18"/>
        <v>200171.3680159745</v>
      </c>
      <c r="G50" s="1268">
        <f t="shared" si="18"/>
        <v>171545.13221431503</v>
      </c>
      <c r="H50" s="1264">
        <f t="shared" si="8"/>
        <v>141725.82701295713</v>
      </c>
      <c r="I50" s="1267">
        <f t="shared" si="19"/>
        <v>169088.60201175776</v>
      </c>
      <c r="J50" s="1267">
        <f t="shared" si="19"/>
        <v>169325.0235683691</v>
      </c>
      <c r="K50" s="1267">
        <f t="shared" si="19"/>
        <v>181844.40343173619</v>
      </c>
      <c r="L50" s="1267">
        <f t="shared" si="19"/>
        <v>185444.96820121512</v>
      </c>
      <c r="M50" s="1268">
        <f t="shared" si="19"/>
        <v>168103.7921018138</v>
      </c>
      <c r="N50" s="1264">
        <f t="shared" si="10"/>
        <v>100224.59501906054</v>
      </c>
      <c r="O50" s="1267">
        <f t="shared" si="20"/>
        <v>167412.5971819174</v>
      </c>
      <c r="P50" s="1267">
        <f t="shared" si="20"/>
        <v>167476.80074601172</v>
      </c>
      <c r="Q50" s="1267">
        <f t="shared" si="20"/>
        <v>173825.24961645476</v>
      </c>
      <c r="R50" s="1267">
        <f t="shared" si="20"/>
        <v>185523.97733826813</v>
      </c>
      <c r="S50" s="1268">
        <f t="shared" si="20"/>
        <v>185674.2599804062</v>
      </c>
    </row>
    <row r="51" spans="1:19" s="1178" customFormat="1" ht="15" x14ac:dyDescent="0.25">
      <c r="A51" s="1193">
        <v>2049</v>
      </c>
      <c r="B51" s="1264">
        <f t="shared" si="6"/>
        <v>162352.82643157447</v>
      </c>
      <c r="C51" s="1267">
        <f t="shared" si="18"/>
        <v>166491.34068466845</v>
      </c>
      <c r="D51" s="1267">
        <f t="shared" si="18"/>
        <v>166824.35212007107</v>
      </c>
      <c r="E51" s="1267">
        <f t="shared" si="18"/>
        <v>182378.49827996746</v>
      </c>
      <c r="F51" s="1267">
        <f t="shared" si="18"/>
        <v>199634.29591988746</v>
      </c>
      <c r="G51" s="1268">
        <f t="shared" si="18"/>
        <v>171067.29132126909</v>
      </c>
      <c r="H51" s="1264">
        <f t="shared" si="8"/>
        <v>141725.82701295713</v>
      </c>
      <c r="I51" s="1267">
        <f t="shared" si="19"/>
        <v>169088.60201175776</v>
      </c>
      <c r="J51" s="1267">
        <f t="shared" si="19"/>
        <v>169325.0235683691</v>
      </c>
      <c r="K51" s="1267">
        <f t="shared" si="19"/>
        <v>181698.04927547477</v>
      </c>
      <c r="L51" s="1267">
        <f t="shared" si="19"/>
        <v>184866.00076285418</v>
      </c>
      <c r="M51" s="1268">
        <f t="shared" si="19"/>
        <v>167571.04819480487</v>
      </c>
      <c r="N51" s="1264">
        <f t="shared" si="10"/>
        <v>100224.59501906054</v>
      </c>
      <c r="O51" s="1267">
        <f t="shared" si="20"/>
        <v>167412.5971819174</v>
      </c>
      <c r="P51" s="1267">
        <f t="shared" si="20"/>
        <v>167476.80074601172</v>
      </c>
      <c r="Q51" s="1267">
        <f t="shared" si="20"/>
        <v>173825.24961645476</v>
      </c>
      <c r="R51" s="1267">
        <f t="shared" si="20"/>
        <v>185538.64475103168</v>
      </c>
      <c r="S51" s="1268">
        <f t="shared" si="20"/>
        <v>185314.15416331214</v>
      </c>
    </row>
    <row r="52" spans="1:19" s="1178" customFormat="1" ht="15.75" thickBot="1" x14ac:dyDescent="0.3">
      <c r="A52" s="1206">
        <v>2050</v>
      </c>
      <c r="B52" s="1275">
        <f t="shared" si="6"/>
        <v>162352.82643157447</v>
      </c>
      <c r="C52" s="1276">
        <f t="shared" si="18"/>
        <v>166491.34068466845</v>
      </c>
      <c r="D52" s="1276">
        <f t="shared" si="18"/>
        <v>166824.35212007107</v>
      </c>
      <c r="E52" s="1276">
        <f t="shared" si="18"/>
        <v>182696.23999856022</v>
      </c>
      <c r="F52" s="1276">
        <f t="shared" si="18"/>
        <v>199097.22382380048</v>
      </c>
      <c r="G52" s="1277">
        <f t="shared" si="18"/>
        <v>170589.45042822332</v>
      </c>
      <c r="H52" s="1275">
        <f t="shared" si="8"/>
        <v>141725.82701295713</v>
      </c>
      <c r="I52" s="1276">
        <f t="shared" si="19"/>
        <v>169088.60201175776</v>
      </c>
      <c r="J52" s="1276">
        <f t="shared" si="19"/>
        <v>169325.0235683691</v>
      </c>
      <c r="K52" s="1276">
        <f t="shared" si="19"/>
        <v>181551.69511921323</v>
      </c>
      <c r="L52" s="1276">
        <f t="shared" si="19"/>
        <v>184287.03332449321</v>
      </c>
      <c r="M52" s="1277">
        <f t="shared" si="19"/>
        <v>167038.30428779608</v>
      </c>
      <c r="N52" s="1275">
        <f t="shared" si="10"/>
        <v>100224.59501906054</v>
      </c>
      <c r="O52" s="1276">
        <f t="shared" si="20"/>
        <v>167412.5971819174</v>
      </c>
      <c r="P52" s="1276">
        <f t="shared" si="20"/>
        <v>167476.80074601172</v>
      </c>
      <c r="Q52" s="1276">
        <f t="shared" si="20"/>
        <v>173825.24961645476</v>
      </c>
      <c r="R52" s="1276">
        <f t="shared" si="20"/>
        <v>185553.3121637952</v>
      </c>
      <c r="S52" s="1277">
        <f t="shared" si="20"/>
        <v>184954.04834621804</v>
      </c>
    </row>
  </sheetData>
  <mergeCells count="6">
    <mergeCell ref="B4:G4"/>
    <mergeCell ref="H4:M4"/>
    <mergeCell ref="N4:S4"/>
    <mergeCell ref="B5:G5"/>
    <mergeCell ref="H5:M5"/>
    <mergeCell ref="N5:S5"/>
  </mergeCells>
  <conditionalFormatting sqref="B6:S52">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178"/>
    <col min="2" max="19" width="13.5703125" style="1178" customWidth="1"/>
    <col min="20" max="16384" width="9.140625" style="1178"/>
  </cols>
  <sheetData>
    <row r="1" spans="1:19" ht="15.75" x14ac:dyDescent="0.25">
      <c r="A1" s="1210" t="s">
        <v>316</v>
      </c>
    </row>
    <row r="3" spans="1:19" ht="15.75" thickBot="1" x14ac:dyDescent="0.3"/>
    <row r="4" spans="1:19" x14ac:dyDescent="0.25">
      <c r="A4" s="1179"/>
      <c r="B4" s="1616" t="s">
        <v>250</v>
      </c>
      <c r="C4" s="1617"/>
      <c r="D4" s="1617"/>
      <c r="E4" s="1617"/>
      <c r="F4" s="1617"/>
      <c r="G4" s="1618"/>
      <c r="H4" s="1616" t="s">
        <v>251</v>
      </c>
      <c r="I4" s="1617"/>
      <c r="J4" s="1617"/>
      <c r="K4" s="1617"/>
      <c r="L4" s="1617"/>
      <c r="M4" s="1618"/>
      <c r="N4" s="1616" t="s">
        <v>155</v>
      </c>
      <c r="O4" s="1617"/>
      <c r="P4" s="1617"/>
      <c r="Q4" s="1617"/>
      <c r="R4" s="1617"/>
      <c r="S4" s="1618"/>
    </row>
    <row r="5" spans="1:19" x14ac:dyDescent="0.25">
      <c r="A5" s="1180"/>
      <c r="B5" s="1619" t="s">
        <v>129</v>
      </c>
      <c r="C5" s="1620"/>
      <c r="D5" s="1620"/>
      <c r="E5" s="1620"/>
      <c r="F5" s="1620"/>
      <c r="G5" s="1621"/>
      <c r="H5" s="1619" t="s">
        <v>129</v>
      </c>
      <c r="I5" s="1620"/>
      <c r="J5" s="1620"/>
      <c r="K5" s="1620"/>
      <c r="L5" s="1620"/>
      <c r="M5" s="1621"/>
      <c r="N5" s="1619" t="s">
        <v>129</v>
      </c>
      <c r="O5" s="1620"/>
      <c r="P5" s="1620"/>
      <c r="Q5" s="1620"/>
      <c r="R5" s="1620"/>
      <c r="S5" s="1621"/>
    </row>
    <row r="6" spans="1:19" x14ac:dyDescent="0.25">
      <c r="A6" s="1180"/>
      <c r="B6" s="1181" t="s">
        <v>69</v>
      </c>
      <c r="C6" s="1182" t="s">
        <v>65</v>
      </c>
      <c r="D6" s="1182" t="s">
        <v>66</v>
      </c>
      <c r="E6" s="1182" t="s">
        <v>67</v>
      </c>
      <c r="F6" s="1182" t="s">
        <v>206</v>
      </c>
      <c r="G6" s="1183" t="s">
        <v>207</v>
      </c>
      <c r="H6" s="1181" t="s">
        <v>69</v>
      </c>
      <c r="I6" s="1182" t="s">
        <v>65</v>
      </c>
      <c r="J6" s="1182" t="s">
        <v>66</v>
      </c>
      <c r="K6" s="1182" t="s">
        <v>67</v>
      </c>
      <c r="L6" s="1182" t="s">
        <v>206</v>
      </c>
      <c r="M6" s="1183" t="s">
        <v>207</v>
      </c>
      <c r="N6" s="1181" t="s">
        <v>69</v>
      </c>
      <c r="O6" s="1182" t="s">
        <v>65</v>
      </c>
      <c r="P6" s="1182" t="s">
        <v>66</v>
      </c>
      <c r="Q6" s="1182" t="s">
        <v>67</v>
      </c>
      <c r="R6" s="1182" t="s">
        <v>206</v>
      </c>
      <c r="S6" s="1183" t="s">
        <v>207</v>
      </c>
    </row>
    <row r="7" spans="1:19" ht="30" x14ac:dyDescent="0.25">
      <c r="A7" s="1184"/>
      <c r="B7" s="1185" t="str">
        <f t="shared" ref="B7:G7" si="0">INDEX(TECH_OPT_DESC_Cls1,MATCH(B6,TECH_OPT_ROWS_Cls1,0))</f>
        <v>Conventional Diesel ICE</v>
      </c>
      <c r="C7" s="1186" t="str">
        <f t="shared" si="0"/>
        <v>Adv Conv</v>
      </c>
      <c r="D7" s="1186" t="str">
        <f t="shared" si="0"/>
        <v>ISG</v>
      </c>
      <c r="E7" s="1186" t="str">
        <f t="shared" si="0"/>
        <v>HEV</v>
      </c>
      <c r="F7" s="1186" t="str">
        <f t="shared" si="0"/>
        <v>PHEV</v>
      </c>
      <c r="G7" s="1187" t="str">
        <f t="shared" si="0"/>
        <v>FCHEV</v>
      </c>
      <c r="H7" s="1185" t="str">
        <f t="shared" ref="H7:M7" si="1">INDEX(TECH_OPT_DESC_Cls2,MATCH(H6,TECH_OPT_ROWS_Cls2,0))</f>
        <v>Conventional Diesel ICE</v>
      </c>
      <c r="I7" s="1186" t="str">
        <f t="shared" si="1"/>
        <v>Adv Conv</v>
      </c>
      <c r="J7" s="1186" t="str">
        <f t="shared" si="1"/>
        <v>ISG</v>
      </c>
      <c r="K7" s="1186" t="str">
        <f t="shared" si="1"/>
        <v>PHEV</v>
      </c>
      <c r="L7" s="1186" t="str">
        <f t="shared" si="1"/>
        <v>BEV</v>
      </c>
      <c r="M7" s="1187" t="str">
        <f t="shared" si="1"/>
        <v>FCHEV</v>
      </c>
      <c r="N7" s="1185" t="str">
        <f t="shared" ref="N7:S7" si="2">INDEX(TECH_OPT_DESC_Cls3,MATCH(N6,TECH_OPT_ROWS_Cls3,0))</f>
        <v>Conventional Diesel ICE</v>
      </c>
      <c r="O7" s="1186" t="str">
        <f t="shared" si="2"/>
        <v>Adv Conv</v>
      </c>
      <c r="P7" s="1186" t="str">
        <f t="shared" si="2"/>
        <v>ISG</v>
      </c>
      <c r="Q7" s="1186" t="str">
        <f t="shared" si="2"/>
        <v>HEV</v>
      </c>
      <c r="R7" s="1186" t="str">
        <f t="shared" si="2"/>
        <v>PHEV</v>
      </c>
      <c r="S7" s="1187" t="str">
        <f t="shared" si="2"/>
        <v>BEV</v>
      </c>
    </row>
    <row r="8" spans="1:19" x14ac:dyDescent="0.25">
      <c r="A8" s="1184" t="s">
        <v>315</v>
      </c>
      <c r="B8" s="1225" t="str">
        <f t="shared" ref="B8:G8" si="3">INDEX(TECH_OPT_FUEL2_Cls1,MATCH(B6,TECH_OPT_ROWS_Cls1,0))</f>
        <v>N/A</v>
      </c>
      <c r="C8" s="1226" t="str">
        <f t="shared" si="3"/>
        <v>N/A</v>
      </c>
      <c r="D8" s="1226" t="str">
        <f t="shared" si="3"/>
        <v>N/A</v>
      </c>
      <c r="E8" s="1226" t="str">
        <f t="shared" si="3"/>
        <v>N/A</v>
      </c>
      <c r="F8" s="1226" t="str">
        <f t="shared" si="3"/>
        <v>Electricity</v>
      </c>
      <c r="G8" s="1227" t="str">
        <f t="shared" si="3"/>
        <v>N/A</v>
      </c>
      <c r="H8" s="1225" t="str">
        <f t="shared" ref="H8:M8" si="4">INDEX(TECH_OPT_FUEL2_Cls2,MATCH(H6,TECH_OPT_ROWS_Cls2,0))</f>
        <v>N/A</v>
      </c>
      <c r="I8" s="1226" t="str">
        <f t="shared" si="4"/>
        <v>N/A</v>
      </c>
      <c r="J8" s="1226" t="str">
        <f t="shared" si="4"/>
        <v>N/A</v>
      </c>
      <c r="K8" s="1226" t="str">
        <f t="shared" si="4"/>
        <v>Electricity</v>
      </c>
      <c r="L8" s="1226" t="str">
        <f t="shared" si="4"/>
        <v>N/A</v>
      </c>
      <c r="M8" s="1227" t="str">
        <f t="shared" si="4"/>
        <v>N/A</v>
      </c>
      <c r="N8" s="1225" t="str">
        <f t="shared" ref="N8:S8" si="5">INDEX(TECH_OPT_FUEL2_Cls3,MATCH(N6,TECH_OPT_ROWS_Cls3,0))</f>
        <v>N/A</v>
      </c>
      <c r="O8" s="1226" t="str">
        <f t="shared" si="5"/>
        <v>N/A</v>
      </c>
      <c r="P8" s="1226" t="str">
        <f t="shared" si="5"/>
        <v>N/A</v>
      </c>
      <c r="Q8" s="1226" t="str">
        <f t="shared" si="5"/>
        <v>N/A</v>
      </c>
      <c r="R8" s="1226" t="str">
        <f t="shared" si="5"/>
        <v>Electricity</v>
      </c>
      <c r="S8" s="1227" t="str">
        <f t="shared" si="5"/>
        <v>N/A</v>
      </c>
    </row>
    <row r="9" spans="1:19" ht="15.75" thickBot="1" x14ac:dyDescent="0.3">
      <c r="A9" s="1188" t="s">
        <v>3</v>
      </c>
      <c r="B9" s="1189" t="str">
        <f t="shared" ref="B9:G9" si="6">INDEX(TECH_OPT_FUEL1_Cls1,MATCH(B6,TECH_OPT_ROWS_Cls1,0))</f>
        <v>Diesel</v>
      </c>
      <c r="C9" s="1190" t="str">
        <f t="shared" si="6"/>
        <v>Diesel</v>
      </c>
      <c r="D9" s="1190" t="str">
        <f t="shared" si="6"/>
        <v>Diesel</v>
      </c>
      <c r="E9" s="1190" t="str">
        <f t="shared" si="6"/>
        <v>Diesel</v>
      </c>
      <c r="F9" s="1190" t="str">
        <f t="shared" si="6"/>
        <v>Diesel</v>
      </c>
      <c r="G9" s="1191" t="str">
        <f t="shared" si="6"/>
        <v>Hydrogen</v>
      </c>
      <c r="H9" s="1192" t="str">
        <f t="shared" ref="H9:M9" si="7">INDEX(TECH_OPT_FUEL1_Cls2,MATCH(H6,TECH_OPT_ROWS_Cls2,0))</f>
        <v>Diesel</v>
      </c>
      <c r="I9" s="1190" t="str">
        <f t="shared" si="7"/>
        <v>Diesel</v>
      </c>
      <c r="J9" s="1190" t="str">
        <f t="shared" si="7"/>
        <v>Diesel</v>
      </c>
      <c r="K9" s="1190" t="str">
        <f t="shared" si="7"/>
        <v>Diesel</v>
      </c>
      <c r="L9" s="1190" t="str">
        <f t="shared" si="7"/>
        <v>Electricity</v>
      </c>
      <c r="M9" s="1191" t="str">
        <f t="shared" si="7"/>
        <v>Hydrogen</v>
      </c>
      <c r="N9" s="1189" t="str">
        <f t="shared" ref="N9:S9" si="8">INDEX(TECH_OPT_FUEL1_Cls3,MATCH(N6,TECH_OPT_ROWS_Cls3,0))</f>
        <v>Diesel</v>
      </c>
      <c r="O9" s="1190" t="str">
        <f t="shared" si="8"/>
        <v>Diesel</v>
      </c>
      <c r="P9" s="1190" t="str">
        <f t="shared" si="8"/>
        <v>Diesel</v>
      </c>
      <c r="Q9" s="1190" t="str">
        <f t="shared" si="8"/>
        <v>Diesel</v>
      </c>
      <c r="R9" s="1190" t="str">
        <f t="shared" si="8"/>
        <v>Diesel</v>
      </c>
      <c r="S9" s="1191" t="str">
        <f t="shared" si="8"/>
        <v>Electricity</v>
      </c>
    </row>
    <row r="10" spans="1:19" ht="15.75" thickTop="1" x14ac:dyDescent="0.25">
      <c r="A10" s="1193">
        <v>2007</v>
      </c>
      <c r="B10" s="1194">
        <v>0</v>
      </c>
      <c r="C10" s="1195">
        <f>'7&amp;8 Sleep'!AD76</f>
        <v>0</v>
      </c>
      <c r="D10" s="1195">
        <f>'7&amp;8 Sleep'!AD128</f>
        <v>0</v>
      </c>
      <c r="E10" s="1195">
        <f>'7&amp;8 Sleep'!AD180</f>
        <v>0</v>
      </c>
      <c r="F10" s="1195">
        <f>'7&amp;8 Sleep'!AD233</f>
        <v>0</v>
      </c>
      <c r="G10" s="1220">
        <f>'7&amp;8 Sleep'!AD286</f>
        <v>0</v>
      </c>
      <c r="H10" s="1194">
        <v>0</v>
      </c>
      <c r="I10" s="1195">
        <f>'7&amp;8 Day'!AD76</f>
        <v>0</v>
      </c>
      <c r="J10" s="1195">
        <f>'7&amp;8 Day'!AD128</f>
        <v>0</v>
      </c>
      <c r="K10" s="1195">
        <f>'7&amp;8 Day'!AD180</f>
        <v>0</v>
      </c>
      <c r="L10" s="1195">
        <f>'7&amp;8 Day'!AD233</f>
        <v>0</v>
      </c>
      <c r="M10" s="1221">
        <f>'7&amp;8 Day'!AD286</f>
        <v>0</v>
      </c>
      <c r="N10" s="1194">
        <v>0</v>
      </c>
      <c r="O10" s="1195">
        <f>'7&amp;8 SU'!AD76</f>
        <v>0</v>
      </c>
      <c r="P10" s="1195">
        <f>'7&amp;8 SU'!AD128</f>
        <v>0</v>
      </c>
      <c r="Q10" s="1195">
        <f>'7&amp;8 SU'!AD180</f>
        <v>0</v>
      </c>
      <c r="R10" s="1195">
        <f>'7&amp;8 SU'!AD233</f>
        <v>0</v>
      </c>
      <c r="S10" s="1221">
        <f>'7&amp;8 SU'!AD286</f>
        <v>0</v>
      </c>
    </row>
    <row r="11" spans="1:19" x14ac:dyDescent="0.25">
      <c r="A11" s="1193">
        <v>2008</v>
      </c>
      <c r="B11" s="1196">
        <v>0</v>
      </c>
      <c r="C11" s="1197">
        <f>'7&amp;8 Sleep'!AD77</f>
        <v>0</v>
      </c>
      <c r="D11" s="1197">
        <f>'7&amp;8 Sleep'!AD129</f>
        <v>0</v>
      </c>
      <c r="E11" s="1197">
        <f>'7&amp;8 Sleep'!AD181</f>
        <v>0</v>
      </c>
      <c r="F11" s="1197">
        <f>'7&amp;8 Sleep'!AD234</f>
        <v>0</v>
      </c>
      <c r="G11" s="1198">
        <f>'7&amp;8 Sleep'!AD287</f>
        <v>0</v>
      </c>
      <c r="H11" s="1196">
        <v>0</v>
      </c>
      <c r="I11" s="1197">
        <f>'7&amp;8 Day'!AD77</f>
        <v>0</v>
      </c>
      <c r="J11" s="1197">
        <f>'7&amp;8 Day'!AD129</f>
        <v>0</v>
      </c>
      <c r="K11" s="1197">
        <f>'7&amp;8 Day'!AD181</f>
        <v>0</v>
      </c>
      <c r="L11" s="1197">
        <f>'7&amp;8 Day'!AD234</f>
        <v>0</v>
      </c>
      <c r="M11" s="1198">
        <f>'7&amp;8 Day'!AD287</f>
        <v>0</v>
      </c>
      <c r="N11" s="1196">
        <v>0</v>
      </c>
      <c r="O11" s="1197">
        <f>'7&amp;8 SU'!AD77</f>
        <v>0</v>
      </c>
      <c r="P11" s="1197">
        <f>'7&amp;8 SU'!AD129</f>
        <v>0</v>
      </c>
      <c r="Q11" s="1197">
        <f>'7&amp;8 SU'!AD181</f>
        <v>0</v>
      </c>
      <c r="R11" s="1197">
        <f>'7&amp;8 SU'!AD234</f>
        <v>0</v>
      </c>
      <c r="S11" s="1198">
        <f>'7&amp;8 SU'!AD287</f>
        <v>0</v>
      </c>
    </row>
    <row r="12" spans="1:19" x14ac:dyDescent="0.25">
      <c r="A12" s="1193">
        <v>2009</v>
      </c>
      <c r="B12" s="1196">
        <v>0</v>
      </c>
      <c r="C12" s="1197">
        <f>'7&amp;8 Sleep'!AD78</f>
        <v>0</v>
      </c>
      <c r="D12" s="1197">
        <f>'7&amp;8 Sleep'!AD130</f>
        <v>0</v>
      </c>
      <c r="E12" s="1197">
        <f>'7&amp;8 Sleep'!AD182</f>
        <v>0</v>
      </c>
      <c r="F12" s="1197">
        <f>'7&amp;8 Sleep'!AD235</f>
        <v>0</v>
      </c>
      <c r="G12" s="1198">
        <f>'7&amp;8 Sleep'!AD288</f>
        <v>0</v>
      </c>
      <c r="H12" s="1196">
        <v>0</v>
      </c>
      <c r="I12" s="1197">
        <f>'7&amp;8 Day'!AD78</f>
        <v>0</v>
      </c>
      <c r="J12" s="1197">
        <f>'7&amp;8 Day'!AD130</f>
        <v>0</v>
      </c>
      <c r="K12" s="1197">
        <f>'7&amp;8 Day'!AD182</f>
        <v>0</v>
      </c>
      <c r="L12" s="1197">
        <f>'7&amp;8 Day'!AD235</f>
        <v>0</v>
      </c>
      <c r="M12" s="1198">
        <f>'7&amp;8 Day'!AD288</f>
        <v>0</v>
      </c>
      <c r="N12" s="1196">
        <v>0</v>
      </c>
      <c r="O12" s="1197">
        <f>'7&amp;8 SU'!AD78</f>
        <v>0</v>
      </c>
      <c r="P12" s="1197">
        <f>'7&amp;8 SU'!AD130</f>
        <v>0</v>
      </c>
      <c r="Q12" s="1197">
        <f>'7&amp;8 SU'!AD182</f>
        <v>0</v>
      </c>
      <c r="R12" s="1197">
        <f>'7&amp;8 SU'!AD235</f>
        <v>0</v>
      </c>
      <c r="S12" s="1198">
        <f>'7&amp;8 SU'!AD288</f>
        <v>0</v>
      </c>
    </row>
    <row r="13" spans="1:19" x14ac:dyDescent="0.25">
      <c r="A13" s="1199">
        <v>2010</v>
      </c>
      <c r="B13" s="1200">
        <v>0</v>
      </c>
      <c r="C13" s="1201">
        <f>'7&amp;8 Sleep'!AD79</f>
        <v>0</v>
      </c>
      <c r="D13" s="1201">
        <f>'7&amp;8 Sleep'!AD131</f>
        <v>0</v>
      </c>
      <c r="E13" s="1201">
        <f>'7&amp;8 Sleep'!AD183</f>
        <v>0</v>
      </c>
      <c r="F13" s="1201">
        <f>'7&amp;8 Sleep'!AD236</f>
        <v>0</v>
      </c>
      <c r="G13" s="1202">
        <f>'7&amp;8 Sleep'!AD289</f>
        <v>0</v>
      </c>
      <c r="H13" s="1200">
        <v>0</v>
      </c>
      <c r="I13" s="1201">
        <f>'7&amp;8 Day'!AD79</f>
        <v>0</v>
      </c>
      <c r="J13" s="1201">
        <f>'7&amp;8 Day'!AD131</f>
        <v>0</v>
      </c>
      <c r="K13" s="1201">
        <f>'7&amp;8 Day'!AD183</f>
        <v>0</v>
      </c>
      <c r="L13" s="1201">
        <f>'7&amp;8 Day'!AD236</f>
        <v>0</v>
      </c>
      <c r="M13" s="1202">
        <f>'7&amp;8 Day'!AD289</f>
        <v>0</v>
      </c>
      <c r="N13" s="1200">
        <v>0</v>
      </c>
      <c r="O13" s="1201">
        <f>'7&amp;8 SU'!AD79</f>
        <v>0</v>
      </c>
      <c r="P13" s="1201">
        <f>'7&amp;8 SU'!AD131</f>
        <v>0</v>
      </c>
      <c r="Q13" s="1201">
        <f>'7&amp;8 SU'!AD183</f>
        <v>0</v>
      </c>
      <c r="R13" s="1201">
        <f>'7&amp;8 SU'!AD236</f>
        <v>0</v>
      </c>
      <c r="S13" s="1202">
        <f>'7&amp;8 SU'!AD289</f>
        <v>0</v>
      </c>
    </row>
    <row r="14" spans="1:19" x14ac:dyDescent="0.25">
      <c r="A14" s="1193">
        <v>2011</v>
      </c>
      <c r="B14" s="1203">
        <v>0</v>
      </c>
      <c r="C14" s="1204">
        <f>'7&amp;8 Sleep'!AD80</f>
        <v>0</v>
      </c>
      <c r="D14" s="1204">
        <f>'7&amp;8 Sleep'!AD132</f>
        <v>0</v>
      </c>
      <c r="E14" s="1204">
        <f>'7&amp;8 Sleep'!AD184</f>
        <v>0</v>
      </c>
      <c r="F14" s="1204">
        <f>'7&amp;8 Sleep'!AD237</f>
        <v>0</v>
      </c>
      <c r="G14" s="1205">
        <f>'7&amp;8 Sleep'!AD290</f>
        <v>0</v>
      </c>
      <c r="H14" s="1203">
        <v>0</v>
      </c>
      <c r="I14" s="1204">
        <f>'7&amp;8 Day'!AD80</f>
        <v>0</v>
      </c>
      <c r="J14" s="1204">
        <f>'7&amp;8 Day'!AD132</f>
        <v>0</v>
      </c>
      <c r="K14" s="1204">
        <f>'7&amp;8 Day'!AD184</f>
        <v>0</v>
      </c>
      <c r="L14" s="1204">
        <f>'7&amp;8 Day'!AD237</f>
        <v>0</v>
      </c>
      <c r="M14" s="1205">
        <f>'7&amp;8 Day'!AD290</f>
        <v>0</v>
      </c>
      <c r="N14" s="1203">
        <v>0</v>
      </c>
      <c r="O14" s="1204">
        <f>'7&amp;8 SU'!AD80</f>
        <v>0</v>
      </c>
      <c r="P14" s="1204">
        <f>'7&amp;8 SU'!AD132</f>
        <v>0</v>
      </c>
      <c r="Q14" s="1204">
        <f>'7&amp;8 SU'!AD184</f>
        <v>0</v>
      </c>
      <c r="R14" s="1204">
        <f>'7&amp;8 SU'!AD237</f>
        <v>0</v>
      </c>
      <c r="S14" s="1205">
        <f>'7&amp;8 SU'!AD290</f>
        <v>0</v>
      </c>
    </row>
    <row r="15" spans="1:19" x14ac:dyDescent="0.25">
      <c r="A15" s="1193">
        <v>2012</v>
      </c>
      <c r="B15" s="1196">
        <v>0</v>
      </c>
      <c r="C15" s="1197">
        <f>'7&amp;8 Sleep'!AD81</f>
        <v>0</v>
      </c>
      <c r="D15" s="1197">
        <f>'7&amp;8 Sleep'!AD133</f>
        <v>0</v>
      </c>
      <c r="E15" s="1197">
        <f>'7&amp;8 Sleep'!AD185</f>
        <v>0</v>
      </c>
      <c r="F15" s="1197">
        <f>'7&amp;8 Sleep'!AD238</f>
        <v>0</v>
      </c>
      <c r="G15" s="1198">
        <f>'7&amp;8 Sleep'!AD291</f>
        <v>0</v>
      </c>
      <c r="H15" s="1196">
        <v>0</v>
      </c>
      <c r="I15" s="1197">
        <f>'7&amp;8 Day'!AD81</f>
        <v>0</v>
      </c>
      <c r="J15" s="1197">
        <f>'7&amp;8 Day'!AD133</f>
        <v>0</v>
      </c>
      <c r="K15" s="1197">
        <f>'7&amp;8 Day'!AD185</f>
        <v>0</v>
      </c>
      <c r="L15" s="1197">
        <f>'7&amp;8 Day'!AD238</f>
        <v>0</v>
      </c>
      <c r="M15" s="1198">
        <f>'7&amp;8 Day'!AD291</f>
        <v>0</v>
      </c>
      <c r="N15" s="1196">
        <v>0</v>
      </c>
      <c r="O15" s="1197">
        <f>'7&amp;8 SU'!AD81</f>
        <v>0</v>
      </c>
      <c r="P15" s="1197">
        <f>'7&amp;8 SU'!AD133</f>
        <v>0</v>
      </c>
      <c r="Q15" s="1197">
        <f>'7&amp;8 SU'!AD185</f>
        <v>0</v>
      </c>
      <c r="R15" s="1197">
        <f>'7&amp;8 SU'!AD238</f>
        <v>0</v>
      </c>
      <c r="S15" s="1198">
        <f>'7&amp;8 SU'!AD291</f>
        <v>0</v>
      </c>
    </row>
    <row r="16" spans="1:19" x14ac:dyDescent="0.25">
      <c r="A16" s="1193">
        <v>2013</v>
      </c>
      <c r="B16" s="1196">
        <v>0</v>
      </c>
      <c r="C16" s="1197">
        <f>'7&amp;8 Sleep'!AD82</f>
        <v>0</v>
      </c>
      <c r="D16" s="1197">
        <f>'7&amp;8 Sleep'!AD134</f>
        <v>0</v>
      </c>
      <c r="E16" s="1197">
        <f>'7&amp;8 Sleep'!AD186</f>
        <v>0</v>
      </c>
      <c r="F16" s="1197">
        <f>'7&amp;8 Sleep'!AD239</f>
        <v>0</v>
      </c>
      <c r="G16" s="1198">
        <f>'7&amp;8 Sleep'!AD292</f>
        <v>0</v>
      </c>
      <c r="H16" s="1196">
        <v>0</v>
      </c>
      <c r="I16" s="1197">
        <f>'7&amp;8 Day'!AD82</f>
        <v>0</v>
      </c>
      <c r="J16" s="1197">
        <f>'7&amp;8 Day'!AD134</f>
        <v>0</v>
      </c>
      <c r="K16" s="1197">
        <f>'7&amp;8 Day'!AD186</f>
        <v>0</v>
      </c>
      <c r="L16" s="1197">
        <f>'7&amp;8 Day'!AD239</f>
        <v>0</v>
      </c>
      <c r="M16" s="1198">
        <f>'7&amp;8 Day'!AD292</f>
        <v>0</v>
      </c>
      <c r="N16" s="1196">
        <v>0</v>
      </c>
      <c r="O16" s="1197">
        <f>'7&amp;8 SU'!AD82</f>
        <v>0</v>
      </c>
      <c r="P16" s="1197">
        <f>'7&amp;8 SU'!AD134</f>
        <v>0</v>
      </c>
      <c r="Q16" s="1197">
        <f>'7&amp;8 SU'!AD186</f>
        <v>0</v>
      </c>
      <c r="R16" s="1197">
        <f>'7&amp;8 SU'!AD239</f>
        <v>0</v>
      </c>
      <c r="S16" s="1198">
        <f>'7&amp;8 SU'!AD292</f>
        <v>0</v>
      </c>
    </row>
    <row r="17" spans="1:19" x14ac:dyDescent="0.25">
      <c r="A17" s="1193">
        <v>2014</v>
      </c>
      <c r="B17" s="1196">
        <v>0</v>
      </c>
      <c r="C17" s="1197">
        <f>'7&amp;8 Sleep'!AD83</f>
        <v>0</v>
      </c>
      <c r="D17" s="1197">
        <f>'7&amp;8 Sleep'!AD135</f>
        <v>0</v>
      </c>
      <c r="E17" s="1197">
        <f>'7&amp;8 Sleep'!AD187</f>
        <v>0</v>
      </c>
      <c r="F17" s="1197">
        <f>'7&amp;8 Sleep'!AD240</f>
        <v>0</v>
      </c>
      <c r="G17" s="1198">
        <f>'7&amp;8 Sleep'!AD293</f>
        <v>0</v>
      </c>
      <c r="H17" s="1196">
        <v>0</v>
      </c>
      <c r="I17" s="1197">
        <f>'7&amp;8 Day'!AD83</f>
        <v>0</v>
      </c>
      <c r="J17" s="1197">
        <f>'7&amp;8 Day'!AD135</f>
        <v>0</v>
      </c>
      <c r="K17" s="1197">
        <f>'7&amp;8 Day'!AD187</f>
        <v>0</v>
      </c>
      <c r="L17" s="1197">
        <f>'7&amp;8 Day'!AD240</f>
        <v>0</v>
      </c>
      <c r="M17" s="1198">
        <f>'7&amp;8 Day'!AD293</f>
        <v>0</v>
      </c>
      <c r="N17" s="1196">
        <v>0</v>
      </c>
      <c r="O17" s="1197">
        <f>'7&amp;8 SU'!AD83</f>
        <v>0</v>
      </c>
      <c r="P17" s="1197">
        <f>'7&amp;8 SU'!AD135</f>
        <v>0</v>
      </c>
      <c r="Q17" s="1197">
        <f>'7&amp;8 SU'!AD187</f>
        <v>0</v>
      </c>
      <c r="R17" s="1197">
        <f>'7&amp;8 SU'!AD240</f>
        <v>0</v>
      </c>
      <c r="S17" s="1198">
        <f>'7&amp;8 SU'!AD293</f>
        <v>0</v>
      </c>
    </row>
    <row r="18" spans="1:19" x14ac:dyDescent="0.25">
      <c r="A18" s="1199">
        <v>2015</v>
      </c>
      <c r="B18" s="1200">
        <v>0</v>
      </c>
      <c r="C18" s="1201">
        <f>'7&amp;8 Sleep'!AD84</f>
        <v>0</v>
      </c>
      <c r="D18" s="1201">
        <f>'7&amp;8 Sleep'!AD136</f>
        <v>0</v>
      </c>
      <c r="E18" s="1201">
        <f>'7&amp;8 Sleep'!AD188</f>
        <v>0</v>
      </c>
      <c r="F18" s="1201">
        <f>'7&amp;8 Sleep'!AD241</f>
        <v>0</v>
      </c>
      <c r="G18" s="1202">
        <f>'7&amp;8 Sleep'!AD294</f>
        <v>0</v>
      </c>
      <c r="H18" s="1200">
        <v>0</v>
      </c>
      <c r="I18" s="1201">
        <f>'7&amp;8 Day'!AD84</f>
        <v>0</v>
      </c>
      <c r="J18" s="1201">
        <f>'7&amp;8 Day'!AD136</f>
        <v>0</v>
      </c>
      <c r="K18" s="1201">
        <f>'7&amp;8 Day'!AD188</f>
        <v>0</v>
      </c>
      <c r="L18" s="1201">
        <f>'7&amp;8 Day'!AD241</f>
        <v>0</v>
      </c>
      <c r="M18" s="1202">
        <f>'7&amp;8 Day'!AD294</f>
        <v>0</v>
      </c>
      <c r="N18" s="1200">
        <v>0</v>
      </c>
      <c r="O18" s="1201">
        <f>'7&amp;8 SU'!AD84</f>
        <v>0</v>
      </c>
      <c r="P18" s="1201">
        <f>'7&amp;8 SU'!AD136</f>
        <v>0</v>
      </c>
      <c r="Q18" s="1201">
        <f>'7&amp;8 SU'!AD188</f>
        <v>0</v>
      </c>
      <c r="R18" s="1201">
        <f>'7&amp;8 SU'!AD241</f>
        <v>0</v>
      </c>
      <c r="S18" s="1202">
        <f>'7&amp;8 SU'!AD294</f>
        <v>0</v>
      </c>
    </row>
    <row r="19" spans="1:19" x14ac:dyDescent="0.25">
      <c r="A19" s="1193">
        <v>2016</v>
      </c>
      <c r="B19" s="1203">
        <v>0</v>
      </c>
      <c r="C19" s="1204">
        <f>'7&amp;8 Sleep'!AD85</f>
        <v>0</v>
      </c>
      <c r="D19" s="1204">
        <f>'7&amp;8 Sleep'!AD137</f>
        <v>0</v>
      </c>
      <c r="E19" s="1204">
        <f>'7&amp;8 Sleep'!AD189</f>
        <v>0</v>
      </c>
      <c r="F19" s="1204">
        <f>'7&amp;8 Sleep'!AD242</f>
        <v>0</v>
      </c>
      <c r="G19" s="1205">
        <f>'7&amp;8 Sleep'!AD295</f>
        <v>0</v>
      </c>
      <c r="H19" s="1203">
        <v>0</v>
      </c>
      <c r="I19" s="1204">
        <f>'7&amp;8 Day'!AD85</f>
        <v>0</v>
      </c>
      <c r="J19" s="1204">
        <f>'7&amp;8 Day'!AD137</f>
        <v>0</v>
      </c>
      <c r="K19" s="1204">
        <f>'7&amp;8 Day'!AD189</f>
        <v>0</v>
      </c>
      <c r="L19" s="1204">
        <f>'7&amp;8 Day'!AD242</f>
        <v>0</v>
      </c>
      <c r="M19" s="1205">
        <f>'7&amp;8 Day'!AD295</f>
        <v>0</v>
      </c>
      <c r="N19" s="1203">
        <v>0</v>
      </c>
      <c r="O19" s="1204">
        <f>'7&amp;8 SU'!AD85</f>
        <v>0</v>
      </c>
      <c r="P19" s="1204">
        <f>'7&amp;8 SU'!AD137</f>
        <v>0</v>
      </c>
      <c r="Q19" s="1204">
        <f>'7&amp;8 SU'!AD189</f>
        <v>0</v>
      </c>
      <c r="R19" s="1204">
        <f>'7&amp;8 SU'!AD242</f>
        <v>0</v>
      </c>
      <c r="S19" s="1205">
        <f>'7&amp;8 SU'!AD295</f>
        <v>0</v>
      </c>
    </row>
    <row r="20" spans="1:19" x14ac:dyDescent="0.25">
      <c r="A20" s="1193">
        <v>2017</v>
      </c>
      <c r="B20" s="1196">
        <v>0</v>
      </c>
      <c r="C20" s="1197">
        <f>'7&amp;8 Sleep'!AD86</f>
        <v>0</v>
      </c>
      <c r="D20" s="1197">
        <f>'7&amp;8 Sleep'!AD138</f>
        <v>0</v>
      </c>
      <c r="E20" s="1197">
        <f>'7&amp;8 Sleep'!AD190</f>
        <v>0</v>
      </c>
      <c r="F20" s="1197">
        <f>'7&amp;8 Sleep'!AD243</f>
        <v>0</v>
      </c>
      <c r="G20" s="1198">
        <f>'7&amp;8 Sleep'!AD296</f>
        <v>0</v>
      </c>
      <c r="H20" s="1196">
        <v>0</v>
      </c>
      <c r="I20" s="1197">
        <f>'7&amp;8 Day'!AD86</f>
        <v>0</v>
      </c>
      <c r="J20" s="1197">
        <f>'7&amp;8 Day'!AD138</f>
        <v>0</v>
      </c>
      <c r="K20" s="1197">
        <f>'7&amp;8 Day'!AD190</f>
        <v>0</v>
      </c>
      <c r="L20" s="1197">
        <f>'7&amp;8 Day'!AD243</f>
        <v>0</v>
      </c>
      <c r="M20" s="1198">
        <f>'7&amp;8 Day'!AD296</f>
        <v>0</v>
      </c>
      <c r="N20" s="1196">
        <v>0</v>
      </c>
      <c r="O20" s="1197">
        <f>'7&amp;8 SU'!AD86</f>
        <v>0</v>
      </c>
      <c r="P20" s="1197">
        <f>'7&amp;8 SU'!AD138</f>
        <v>0</v>
      </c>
      <c r="Q20" s="1197">
        <f>'7&amp;8 SU'!AD190</f>
        <v>0</v>
      </c>
      <c r="R20" s="1197">
        <f>'7&amp;8 SU'!AD243</f>
        <v>0</v>
      </c>
      <c r="S20" s="1198">
        <f>'7&amp;8 SU'!AD296</f>
        <v>0</v>
      </c>
    </row>
    <row r="21" spans="1:19" x14ac:dyDescent="0.25">
      <c r="A21" s="1193">
        <v>2018</v>
      </c>
      <c r="B21" s="1196">
        <v>0</v>
      </c>
      <c r="C21" s="1197">
        <f>'7&amp;8 Sleep'!AD87</f>
        <v>0</v>
      </c>
      <c r="D21" s="1197">
        <f>'7&amp;8 Sleep'!AD139</f>
        <v>0</v>
      </c>
      <c r="E21" s="1197">
        <f>'7&amp;8 Sleep'!AD191</f>
        <v>0</v>
      </c>
      <c r="F21" s="1197">
        <f>'7&amp;8 Sleep'!AD244</f>
        <v>0</v>
      </c>
      <c r="G21" s="1198">
        <f>'7&amp;8 Sleep'!AD297</f>
        <v>0</v>
      </c>
      <c r="H21" s="1196">
        <v>0</v>
      </c>
      <c r="I21" s="1197">
        <f>'7&amp;8 Day'!AD87</f>
        <v>0</v>
      </c>
      <c r="J21" s="1197">
        <f>'7&amp;8 Day'!AD139</f>
        <v>0</v>
      </c>
      <c r="K21" s="1197">
        <f>'7&amp;8 Day'!AD191</f>
        <v>0</v>
      </c>
      <c r="L21" s="1197">
        <f>'7&amp;8 Day'!AD244</f>
        <v>0</v>
      </c>
      <c r="M21" s="1198">
        <f>'7&amp;8 Day'!AD297</f>
        <v>0</v>
      </c>
      <c r="N21" s="1196">
        <v>0</v>
      </c>
      <c r="O21" s="1197">
        <f>'7&amp;8 SU'!AD87</f>
        <v>0</v>
      </c>
      <c r="P21" s="1197">
        <f>'7&amp;8 SU'!AD139</f>
        <v>0</v>
      </c>
      <c r="Q21" s="1197">
        <f>'7&amp;8 SU'!AD191</f>
        <v>0</v>
      </c>
      <c r="R21" s="1197">
        <f>'7&amp;8 SU'!AD244</f>
        <v>0</v>
      </c>
      <c r="S21" s="1198">
        <f>'7&amp;8 SU'!AD297</f>
        <v>0</v>
      </c>
    </row>
    <row r="22" spans="1:19" x14ac:dyDescent="0.25">
      <c r="A22" s="1193">
        <v>2019</v>
      </c>
      <c r="B22" s="1196">
        <v>0</v>
      </c>
      <c r="C22" s="1197">
        <f>'7&amp;8 Sleep'!AD88</f>
        <v>0</v>
      </c>
      <c r="D22" s="1197">
        <f>'7&amp;8 Sleep'!AD140</f>
        <v>0</v>
      </c>
      <c r="E22" s="1197">
        <f>'7&amp;8 Sleep'!AD192</f>
        <v>0</v>
      </c>
      <c r="F22" s="1197">
        <f>'7&amp;8 Sleep'!AD245</f>
        <v>0</v>
      </c>
      <c r="G22" s="1198">
        <f>'7&amp;8 Sleep'!AD298</f>
        <v>0</v>
      </c>
      <c r="H22" s="1196">
        <v>0</v>
      </c>
      <c r="I22" s="1197">
        <f>'7&amp;8 Day'!AD88</f>
        <v>0</v>
      </c>
      <c r="J22" s="1197">
        <f>'7&amp;8 Day'!AD140</f>
        <v>0</v>
      </c>
      <c r="K22" s="1197">
        <f>'7&amp;8 Day'!AD192</f>
        <v>0</v>
      </c>
      <c r="L22" s="1197">
        <f>'7&amp;8 Day'!AD245</f>
        <v>0</v>
      </c>
      <c r="M22" s="1198">
        <f>'7&amp;8 Day'!AD298</f>
        <v>0</v>
      </c>
      <c r="N22" s="1196">
        <v>0</v>
      </c>
      <c r="O22" s="1197">
        <f>'7&amp;8 SU'!AD88</f>
        <v>0</v>
      </c>
      <c r="P22" s="1197">
        <f>'7&amp;8 SU'!AD140</f>
        <v>0</v>
      </c>
      <c r="Q22" s="1197">
        <f>'7&amp;8 SU'!AD192</f>
        <v>0</v>
      </c>
      <c r="R22" s="1197">
        <f>'7&amp;8 SU'!AD245</f>
        <v>0</v>
      </c>
      <c r="S22" s="1198">
        <f>'7&amp;8 SU'!AD298</f>
        <v>0</v>
      </c>
    </row>
    <row r="23" spans="1:19" x14ac:dyDescent="0.25">
      <c r="A23" s="1199">
        <v>2020</v>
      </c>
      <c r="B23" s="1200">
        <v>0</v>
      </c>
      <c r="C23" s="1201">
        <f>'7&amp;8 Sleep'!AD89</f>
        <v>0</v>
      </c>
      <c r="D23" s="1201">
        <f>'7&amp;8 Sleep'!AD141</f>
        <v>0</v>
      </c>
      <c r="E23" s="1201">
        <f>'7&amp;8 Sleep'!AD193</f>
        <v>0</v>
      </c>
      <c r="F23" s="1201">
        <f>'7&amp;8 Sleep'!AD246</f>
        <v>0</v>
      </c>
      <c r="G23" s="1202">
        <f>'7&amp;8 Sleep'!AD299</f>
        <v>0</v>
      </c>
      <c r="H23" s="1200">
        <v>0</v>
      </c>
      <c r="I23" s="1201">
        <f>'7&amp;8 Day'!AD89</f>
        <v>0</v>
      </c>
      <c r="J23" s="1201">
        <f>'7&amp;8 Day'!AD141</f>
        <v>0</v>
      </c>
      <c r="K23" s="1201">
        <f>'7&amp;8 Day'!AD193</f>
        <v>0</v>
      </c>
      <c r="L23" s="1201">
        <f>'7&amp;8 Day'!AD246</f>
        <v>0</v>
      </c>
      <c r="M23" s="1202">
        <f>'7&amp;8 Day'!AD299</f>
        <v>0</v>
      </c>
      <c r="N23" s="1200">
        <v>0</v>
      </c>
      <c r="O23" s="1201">
        <f>'7&amp;8 SU'!AD89</f>
        <v>0</v>
      </c>
      <c r="P23" s="1201">
        <f>'7&amp;8 SU'!AD141</f>
        <v>0</v>
      </c>
      <c r="Q23" s="1201">
        <f>'7&amp;8 SU'!AD193</f>
        <v>0</v>
      </c>
      <c r="R23" s="1201">
        <f>'7&amp;8 SU'!AD246</f>
        <v>0</v>
      </c>
      <c r="S23" s="1202">
        <f>'7&amp;8 SU'!AD299</f>
        <v>0</v>
      </c>
    </row>
    <row r="24" spans="1:19" x14ac:dyDescent="0.25">
      <c r="A24" s="1193">
        <v>2021</v>
      </c>
      <c r="B24" s="1203">
        <v>0</v>
      </c>
      <c r="C24" s="1204">
        <f>'7&amp;8 Sleep'!AD90</f>
        <v>0</v>
      </c>
      <c r="D24" s="1204">
        <f>'7&amp;8 Sleep'!AD142</f>
        <v>0</v>
      </c>
      <c r="E24" s="1204">
        <f>'7&amp;8 Sleep'!AD194</f>
        <v>0</v>
      </c>
      <c r="F24" s="1204">
        <f>'7&amp;8 Sleep'!AD247</f>
        <v>0</v>
      </c>
      <c r="G24" s="1205">
        <f>'7&amp;8 Sleep'!AD300</f>
        <v>0</v>
      </c>
      <c r="H24" s="1203">
        <v>0</v>
      </c>
      <c r="I24" s="1204">
        <f>'7&amp;8 Day'!AD90</f>
        <v>0</v>
      </c>
      <c r="J24" s="1204">
        <f>'7&amp;8 Day'!AD142</f>
        <v>0</v>
      </c>
      <c r="K24" s="1204">
        <f>'7&amp;8 Day'!AD194</f>
        <v>0</v>
      </c>
      <c r="L24" s="1204">
        <f>'7&amp;8 Day'!AD247</f>
        <v>0</v>
      </c>
      <c r="M24" s="1205">
        <f>'7&amp;8 Day'!AD300</f>
        <v>0</v>
      </c>
      <c r="N24" s="1203">
        <v>0</v>
      </c>
      <c r="O24" s="1204">
        <f>'7&amp;8 SU'!AD90</f>
        <v>0</v>
      </c>
      <c r="P24" s="1204">
        <f>'7&amp;8 SU'!AD142</f>
        <v>0</v>
      </c>
      <c r="Q24" s="1204">
        <f>'7&amp;8 SU'!AD194</f>
        <v>0</v>
      </c>
      <c r="R24" s="1204">
        <f>'7&amp;8 SU'!AD247</f>
        <v>0</v>
      </c>
      <c r="S24" s="1205">
        <f>'7&amp;8 SU'!AD300</f>
        <v>0</v>
      </c>
    </row>
    <row r="25" spans="1:19" x14ac:dyDescent="0.25">
      <c r="A25" s="1193">
        <v>2022</v>
      </c>
      <c r="B25" s="1196">
        <v>0</v>
      </c>
      <c r="C25" s="1197">
        <f>'7&amp;8 Sleep'!AD91</f>
        <v>0</v>
      </c>
      <c r="D25" s="1197">
        <f>'7&amp;8 Sleep'!AD143</f>
        <v>0</v>
      </c>
      <c r="E25" s="1197">
        <f>'7&amp;8 Sleep'!AD195</f>
        <v>0</v>
      </c>
      <c r="F25" s="1197">
        <f>'7&amp;8 Sleep'!AD248</f>
        <v>0</v>
      </c>
      <c r="G25" s="1198">
        <f>'7&amp;8 Sleep'!AD301</f>
        <v>0</v>
      </c>
      <c r="H25" s="1196">
        <v>0</v>
      </c>
      <c r="I25" s="1197">
        <f>'7&amp;8 Day'!AD91</f>
        <v>0</v>
      </c>
      <c r="J25" s="1197">
        <f>'7&amp;8 Day'!AD143</f>
        <v>0</v>
      </c>
      <c r="K25" s="1197">
        <f>'7&amp;8 Day'!AD195</f>
        <v>0</v>
      </c>
      <c r="L25" s="1197">
        <f>'7&amp;8 Day'!AD248</f>
        <v>0</v>
      </c>
      <c r="M25" s="1198">
        <f>'7&amp;8 Day'!AD301</f>
        <v>0</v>
      </c>
      <c r="N25" s="1196">
        <v>0</v>
      </c>
      <c r="O25" s="1197">
        <f>'7&amp;8 SU'!AD91</f>
        <v>0</v>
      </c>
      <c r="P25" s="1197">
        <f>'7&amp;8 SU'!AD143</f>
        <v>0</v>
      </c>
      <c r="Q25" s="1197">
        <f>'7&amp;8 SU'!AD195</f>
        <v>0</v>
      </c>
      <c r="R25" s="1197">
        <f>'7&amp;8 SU'!AD248</f>
        <v>0</v>
      </c>
      <c r="S25" s="1198">
        <f>'7&amp;8 SU'!AD301</f>
        <v>0</v>
      </c>
    </row>
    <row r="26" spans="1:19" x14ac:dyDescent="0.25">
      <c r="A26" s="1193">
        <v>2023</v>
      </c>
      <c r="B26" s="1196">
        <v>0</v>
      </c>
      <c r="C26" s="1197">
        <f>'7&amp;8 Sleep'!AD92</f>
        <v>0</v>
      </c>
      <c r="D26" s="1197">
        <f>'7&amp;8 Sleep'!AD144</f>
        <v>0</v>
      </c>
      <c r="E26" s="1197">
        <f>'7&amp;8 Sleep'!AD196</f>
        <v>0</v>
      </c>
      <c r="F26" s="1197">
        <f>'7&amp;8 Sleep'!AD249</f>
        <v>0</v>
      </c>
      <c r="G26" s="1198">
        <f>'7&amp;8 Sleep'!AD302</f>
        <v>0</v>
      </c>
      <c r="H26" s="1196">
        <v>0</v>
      </c>
      <c r="I26" s="1197">
        <f>'7&amp;8 Day'!AD92</f>
        <v>0</v>
      </c>
      <c r="J26" s="1197">
        <f>'7&amp;8 Day'!AD144</f>
        <v>0</v>
      </c>
      <c r="K26" s="1197">
        <f>'7&amp;8 Day'!AD196</f>
        <v>0</v>
      </c>
      <c r="L26" s="1197">
        <f>'7&amp;8 Day'!AD249</f>
        <v>0</v>
      </c>
      <c r="M26" s="1198">
        <f>'7&amp;8 Day'!AD302</f>
        <v>0</v>
      </c>
      <c r="N26" s="1196">
        <v>0</v>
      </c>
      <c r="O26" s="1197">
        <f>'7&amp;8 SU'!AD92</f>
        <v>0</v>
      </c>
      <c r="P26" s="1197">
        <f>'7&amp;8 SU'!AD144</f>
        <v>0</v>
      </c>
      <c r="Q26" s="1197">
        <f>'7&amp;8 SU'!AD196</f>
        <v>0</v>
      </c>
      <c r="R26" s="1197">
        <f>'7&amp;8 SU'!AD249</f>
        <v>0</v>
      </c>
      <c r="S26" s="1198">
        <f>'7&amp;8 SU'!AD302</f>
        <v>0</v>
      </c>
    </row>
    <row r="27" spans="1:19" x14ac:dyDescent="0.25">
      <c r="A27" s="1193">
        <v>2024</v>
      </c>
      <c r="B27" s="1196">
        <v>0</v>
      </c>
      <c r="C27" s="1197">
        <f>'7&amp;8 Sleep'!AD93</f>
        <v>0</v>
      </c>
      <c r="D27" s="1197">
        <f>'7&amp;8 Sleep'!AD145</f>
        <v>0</v>
      </c>
      <c r="E27" s="1197">
        <f>'7&amp;8 Sleep'!AD197</f>
        <v>0</v>
      </c>
      <c r="F27" s="1197">
        <f>'7&amp;8 Sleep'!AD250</f>
        <v>0</v>
      </c>
      <c r="G27" s="1198">
        <f>'7&amp;8 Sleep'!AD303</f>
        <v>0</v>
      </c>
      <c r="H27" s="1196">
        <v>0</v>
      </c>
      <c r="I27" s="1197">
        <f>'7&amp;8 Day'!AD93</f>
        <v>0</v>
      </c>
      <c r="J27" s="1197">
        <f>'7&amp;8 Day'!AD145</f>
        <v>0</v>
      </c>
      <c r="K27" s="1197">
        <f>'7&amp;8 Day'!AD197</f>
        <v>0</v>
      </c>
      <c r="L27" s="1197">
        <f>'7&amp;8 Day'!AD250</f>
        <v>0</v>
      </c>
      <c r="M27" s="1198">
        <f>'7&amp;8 Day'!AD303</f>
        <v>0</v>
      </c>
      <c r="N27" s="1196">
        <v>0</v>
      </c>
      <c r="O27" s="1197">
        <f>'7&amp;8 SU'!AD93</f>
        <v>0</v>
      </c>
      <c r="P27" s="1197">
        <f>'7&amp;8 SU'!AD145</f>
        <v>0</v>
      </c>
      <c r="Q27" s="1197">
        <f>'7&amp;8 SU'!AD197</f>
        <v>0</v>
      </c>
      <c r="R27" s="1197">
        <f>'7&amp;8 SU'!AD250</f>
        <v>0</v>
      </c>
      <c r="S27" s="1198">
        <f>'7&amp;8 SU'!AD303</f>
        <v>0</v>
      </c>
    </row>
    <row r="28" spans="1:19" x14ac:dyDescent="0.25">
      <c r="A28" s="1199">
        <v>2025</v>
      </c>
      <c r="B28" s="1200">
        <v>0</v>
      </c>
      <c r="C28" s="1201">
        <f>'7&amp;8 Sleep'!AD94</f>
        <v>0</v>
      </c>
      <c r="D28" s="1201">
        <f>'7&amp;8 Sleep'!AD146</f>
        <v>0</v>
      </c>
      <c r="E28" s="1201">
        <f>'7&amp;8 Sleep'!AD198</f>
        <v>0</v>
      </c>
      <c r="F28" s="1201">
        <f>'7&amp;8 Sleep'!AD251</f>
        <v>0</v>
      </c>
      <c r="G28" s="1202">
        <f>'7&amp;8 Sleep'!AD304</f>
        <v>0</v>
      </c>
      <c r="H28" s="1200">
        <v>0</v>
      </c>
      <c r="I28" s="1201">
        <f>'7&amp;8 Day'!AD94</f>
        <v>0</v>
      </c>
      <c r="J28" s="1201">
        <f>'7&amp;8 Day'!AD146</f>
        <v>0</v>
      </c>
      <c r="K28" s="1201">
        <f>'7&amp;8 Day'!AD198</f>
        <v>0</v>
      </c>
      <c r="L28" s="1201">
        <f>'7&amp;8 Day'!AD251</f>
        <v>0</v>
      </c>
      <c r="M28" s="1202">
        <f>'7&amp;8 Day'!AD304</f>
        <v>0</v>
      </c>
      <c r="N28" s="1200">
        <v>0</v>
      </c>
      <c r="O28" s="1201">
        <f>'7&amp;8 SU'!AD94</f>
        <v>0</v>
      </c>
      <c r="P28" s="1201">
        <f>'7&amp;8 SU'!AD146</f>
        <v>0</v>
      </c>
      <c r="Q28" s="1201">
        <f>'7&amp;8 SU'!AD198</f>
        <v>0</v>
      </c>
      <c r="R28" s="1201">
        <f>'7&amp;8 SU'!AD251</f>
        <v>0.16817204428324778</v>
      </c>
      <c r="S28" s="1202">
        <f>'7&amp;8 SU'!AD304</f>
        <v>0</v>
      </c>
    </row>
    <row r="29" spans="1:19" x14ac:dyDescent="0.25">
      <c r="A29" s="1193">
        <v>2026</v>
      </c>
      <c r="B29" s="1203">
        <v>0</v>
      </c>
      <c r="C29" s="1204">
        <f>'7&amp;8 Sleep'!AD95</f>
        <v>0</v>
      </c>
      <c r="D29" s="1204">
        <f>'7&amp;8 Sleep'!AD147</f>
        <v>0</v>
      </c>
      <c r="E29" s="1204">
        <f>'7&amp;8 Sleep'!AD199</f>
        <v>0</v>
      </c>
      <c r="F29" s="1204">
        <f>'7&amp;8 Sleep'!AD252</f>
        <v>0</v>
      </c>
      <c r="G29" s="1205">
        <f>'7&amp;8 Sleep'!AD305</f>
        <v>0</v>
      </c>
      <c r="H29" s="1203">
        <v>0</v>
      </c>
      <c r="I29" s="1204">
        <f>'7&amp;8 Day'!AD95</f>
        <v>0</v>
      </c>
      <c r="J29" s="1204">
        <f>'7&amp;8 Day'!AD147</f>
        <v>0</v>
      </c>
      <c r="K29" s="1204">
        <f>'7&amp;8 Day'!AD199</f>
        <v>0</v>
      </c>
      <c r="L29" s="1204">
        <f>'7&amp;8 Day'!AD252</f>
        <v>0</v>
      </c>
      <c r="M29" s="1205">
        <f>'7&amp;8 Day'!AD305</f>
        <v>0</v>
      </c>
      <c r="N29" s="1203">
        <v>0</v>
      </c>
      <c r="O29" s="1204">
        <f>'7&amp;8 SU'!AD95</f>
        <v>0</v>
      </c>
      <c r="P29" s="1204">
        <f>'7&amp;8 SU'!AD147</f>
        <v>0</v>
      </c>
      <c r="Q29" s="1204">
        <f>'7&amp;8 SU'!AD199</f>
        <v>0</v>
      </c>
      <c r="R29" s="1204">
        <f>'7&amp;8 SU'!AD252</f>
        <v>0.17763400191747541</v>
      </c>
      <c r="S29" s="1205">
        <f>'7&amp;8 SU'!AD305</f>
        <v>0</v>
      </c>
    </row>
    <row r="30" spans="1:19" x14ac:dyDescent="0.25">
      <c r="A30" s="1193">
        <v>2027</v>
      </c>
      <c r="B30" s="1196">
        <v>0</v>
      </c>
      <c r="C30" s="1197">
        <f>'7&amp;8 Sleep'!AD96</f>
        <v>0</v>
      </c>
      <c r="D30" s="1197">
        <f>'7&amp;8 Sleep'!AD148</f>
        <v>0</v>
      </c>
      <c r="E30" s="1197">
        <f>'7&amp;8 Sleep'!AD200</f>
        <v>0</v>
      </c>
      <c r="F30" s="1197">
        <f>'7&amp;8 Sleep'!AD253</f>
        <v>0</v>
      </c>
      <c r="G30" s="1198">
        <f>'7&amp;8 Sleep'!AD306</f>
        <v>0</v>
      </c>
      <c r="H30" s="1196">
        <v>0</v>
      </c>
      <c r="I30" s="1197">
        <f>'7&amp;8 Day'!AD96</f>
        <v>0</v>
      </c>
      <c r="J30" s="1197">
        <f>'7&amp;8 Day'!AD148</f>
        <v>0</v>
      </c>
      <c r="K30" s="1197">
        <f>'7&amp;8 Day'!AD200</f>
        <v>0</v>
      </c>
      <c r="L30" s="1197">
        <f>'7&amp;8 Day'!AD253</f>
        <v>0</v>
      </c>
      <c r="M30" s="1198">
        <f>'7&amp;8 Day'!AD306</f>
        <v>0</v>
      </c>
      <c r="N30" s="1196">
        <v>0</v>
      </c>
      <c r="O30" s="1197">
        <f>'7&amp;8 SU'!AD96</f>
        <v>0</v>
      </c>
      <c r="P30" s="1197">
        <f>'7&amp;8 SU'!AD148</f>
        <v>0</v>
      </c>
      <c r="Q30" s="1197">
        <f>'7&amp;8 SU'!AD200</f>
        <v>0</v>
      </c>
      <c r="R30" s="1197">
        <f>'7&amp;8 SU'!AD253</f>
        <v>0.20304199655289151</v>
      </c>
      <c r="S30" s="1198">
        <f>'7&amp;8 SU'!AD306</f>
        <v>0</v>
      </c>
    </row>
    <row r="31" spans="1:19" x14ac:dyDescent="0.25">
      <c r="A31" s="1193">
        <v>2028</v>
      </c>
      <c r="B31" s="1196">
        <v>0</v>
      </c>
      <c r="C31" s="1197">
        <f>'7&amp;8 Sleep'!AD97</f>
        <v>0</v>
      </c>
      <c r="D31" s="1197">
        <f>'7&amp;8 Sleep'!AD149</f>
        <v>0</v>
      </c>
      <c r="E31" s="1197">
        <f>'7&amp;8 Sleep'!AD201</f>
        <v>0</v>
      </c>
      <c r="F31" s="1197">
        <f>'7&amp;8 Sleep'!AD254</f>
        <v>0</v>
      </c>
      <c r="G31" s="1198">
        <f>'7&amp;8 Sleep'!AD307</f>
        <v>0</v>
      </c>
      <c r="H31" s="1196">
        <v>0</v>
      </c>
      <c r="I31" s="1197">
        <f>'7&amp;8 Day'!AD97</f>
        <v>0</v>
      </c>
      <c r="J31" s="1197">
        <f>'7&amp;8 Day'!AD149</f>
        <v>0</v>
      </c>
      <c r="K31" s="1197">
        <f>'7&amp;8 Day'!AD201</f>
        <v>0</v>
      </c>
      <c r="L31" s="1197">
        <f>'7&amp;8 Day'!AD254</f>
        <v>0</v>
      </c>
      <c r="M31" s="1198">
        <f>'7&amp;8 Day'!AD307</f>
        <v>0</v>
      </c>
      <c r="N31" s="1196">
        <v>0</v>
      </c>
      <c r="O31" s="1197">
        <f>'7&amp;8 SU'!AD97</f>
        <v>0</v>
      </c>
      <c r="P31" s="1197">
        <f>'7&amp;8 SU'!AD149</f>
        <v>0</v>
      </c>
      <c r="Q31" s="1197">
        <f>'7&amp;8 SU'!AD201</f>
        <v>0</v>
      </c>
      <c r="R31" s="1197">
        <f>'7&amp;8 SU'!AD254</f>
        <v>0.22656567337007466</v>
      </c>
      <c r="S31" s="1198">
        <f>'7&amp;8 SU'!AD307</f>
        <v>0</v>
      </c>
    </row>
    <row r="32" spans="1:19" x14ac:dyDescent="0.25">
      <c r="A32" s="1193">
        <v>2029</v>
      </c>
      <c r="B32" s="1196">
        <v>0</v>
      </c>
      <c r="C32" s="1197">
        <f>'7&amp;8 Sleep'!AD98</f>
        <v>0</v>
      </c>
      <c r="D32" s="1197">
        <f>'7&amp;8 Sleep'!AD150</f>
        <v>0</v>
      </c>
      <c r="E32" s="1197">
        <f>'7&amp;8 Sleep'!AD202</f>
        <v>0</v>
      </c>
      <c r="F32" s="1197">
        <f>'7&amp;8 Sleep'!AD255</f>
        <v>0</v>
      </c>
      <c r="G32" s="1198">
        <f>'7&amp;8 Sleep'!AD308</f>
        <v>0</v>
      </c>
      <c r="H32" s="1196">
        <v>0</v>
      </c>
      <c r="I32" s="1197">
        <f>'7&amp;8 Day'!AD98</f>
        <v>0</v>
      </c>
      <c r="J32" s="1197">
        <f>'7&amp;8 Day'!AD150</f>
        <v>0</v>
      </c>
      <c r="K32" s="1197">
        <f>'7&amp;8 Day'!AD202</f>
        <v>0</v>
      </c>
      <c r="L32" s="1197">
        <f>'7&amp;8 Day'!AD255</f>
        <v>0</v>
      </c>
      <c r="M32" s="1198">
        <f>'7&amp;8 Day'!AD308</f>
        <v>0</v>
      </c>
      <c r="N32" s="1196">
        <v>0</v>
      </c>
      <c r="O32" s="1197">
        <f>'7&amp;8 SU'!AD98</f>
        <v>0</v>
      </c>
      <c r="P32" s="1197">
        <f>'7&amp;8 SU'!AD150</f>
        <v>0</v>
      </c>
      <c r="Q32" s="1197">
        <f>'7&amp;8 SU'!AD202</f>
        <v>0</v>
      </c>
      <c r="R32" s="1197">
        <f>'7&amp;8 SU'!AD255</f>
        <v>0.24905663104940015</v>
      </c>
      <c r="S32" s="1198">
        <f>'7&amp;8 SU'!AD308</f>
        <v>0</v>
      </c>
    </row>
    <row r="33" spans="1:19" x14ac:dyDescent="0.25">
      <c r="A33" s="1199">
        <v>2030</v>
      </c>
      <c r="B33" s="1200">
        <v>0</v>
      </c>
      <c r="C33" s="1201">
        <f>'7&amp;8 Sleep'!AD99</f>
        <v>0</v>
      </c>
      <c r="D33" s="1201">
        <f>'7&amp;8 Sleep'!AD151</f>
        <v>0</v>
      </c>
      <c r="E33" s="1201">
        <f>'7&amp;8 Sleep'!AD203</f>
        <v>0</v>
      </c>
      <c r="F33" s="1201">
        <f>'7&amp;8 Sleep'!AD256</f>
        <v>0</v>
      </c>
      <c r="G33" s="1202">
        <f>'7&amp;8 Sleep'!AD309</f>
        <v>0</v>
      </c>
      <c r="H33" s="1200">
        <v>0</v>
      </c>
      <c r="I33" s="1201">
        <f>'7&amp;8 Day'!AD99</f>
        <v>0</v>
      </c>
      <c r="J33" s="1201">
        <f>'7&amp;8 Day'!AD151</f>
        <v>0</v>
      </c>
      <c r="K33" s="1201">
        <f>'7&amp;8 Day'!AD203</f>
        <v>0</v>
      </c>
      <c r="L33" s="1201">
        <f>'7&amp;8 Day'!AD256</f>
        <v>0</v>
      </c>
      <c r="M33" s="1202">
        <f>'7&amp;8 Day'!AD309</f>
        <v>0</v>
      </c>
      <c r="N33" s="1200">
        <v>0</v>
      </c>
      <c r="O33" s="1201">
        <f>'7&amp;8 SU'!AD99</f>
        <v>0</v>
      </c>
      <c r="P33" s="1201">
        <f>'7&amp;8 SU'!AD151</f>
        <v>0</v>
      </c>
      <c r="Q33" s="1201">
        <f>'7&amp;8 SU'!AD203</f>
        <v>0</v>
      </c>
      <c r="R33" s="1201">
        <f>'7&amp;8 SU'!AD256</f>
        <v>0.26366783550463391</v>
      </c>
      <c r="S33" s="1202">
        <f>'7&amp;8 SU'!AD309</f>
        <v>0</v>
      </c>
    </row>
    <row r="34" spans="1:19" x14ac:dyDescent="0.25">
      <c r="A34" s="1193">
        <v>2031</v>
      </c>
      <c r="B34" s="1203">
        <v>0</v>
      </c>
      <c r="C34" s="1204">
        <f>'7&amp;8 Sleep'!AD100</f>
        <v>0</v>
      </c>
      <c r="D34" s="1204">
        <f>'7&amp;8 Sleep'!AD152</f>
        <v>0</v>
      </c>
      <c r="E34" s="1204">
        <f>'7&amp;8 Sleep'!AD204</f>
        <v>0</v>
      </c>
      <c r="F34" s="1204">
        <f>'7&amp;8 Sleep'!AD257</f>
        <v>0</v>
      </c>
      <c r="G34" s="1205">
        <f>'7&amp;8 Sleep'!AD310</f>
        <v>0</v>
      </c>
      <c r="H34" s="1203">
        <v>0</v>
      </c>
      <c r="I34" s="1204">
        <f>'7&amp;8 Day'!AD100</f>
        <v>0</v>
      </c>
      <c r="J34" s="1204">
        <f>'7&amp;8 Day'!AD152</f>
        <v>0</v>
      </c>
      <c r="K34" s="1204">
        <f>'7&amp;8 Day'!AD204</f>
        <v>0.15604005889995742</v>
      </c>
      <c r="L34" s="1204">
        <f>'7&amp;8 Day'!AD257</f>
        <v>0</v>
      </c>
      <c r="M34" s="1205">
        <f>'7&amp;8 Day'!AD310</f>
        <v>0</v>
      </c>
      <c r="N34" s="1203">
        <v>0</v>
      </c>
      <c r="O34" s="1204">
        <f>'7&amp;8 SU'!AD100</f>
        <v>0</v>
      </c>
      <c r="P34" s="1204">
        <f>'7&amp;8 SU'!AD152</f>
        <v>0</v>
      </c>
      <c r="Q34" s="1204">
        <f>'7&amp;8 SU'!AD204</f>
        <v>0</v>
      </c>
      <c r="R34" s="1204">
        <f>'7&amp;8 SU'!AD257</f>
        <v>0.27557852091520874</v>
      </c>
      <c r="S34" s="1205">
        <f>'7&amp;8 SU'!AD310</f>
        <v>0</v>
      </c>
    </row>
    <row r="35" spans="1:19" x14ac:dyDescent="0.25">
      <c r="A35" s="1193">
        <v>2032</v>
      </c>
      <c r="B35" s="1196">
        <v>0</v>
      </c>
      <c r="C35" s="1197">
        <f>'7&amp;8 Sleep'!AD101</f>
        <v>0</v>
      </c>
      <c r="D35" s="1197">
        <f>'7&amp;8 Sleep'!AD153</f>
        <v>0</v>
      </c>
      <c r="E35" s="1197">
        <f>'7&amp;8 Sleep'!AD205</f>
        <v>0</v>
      </c>
      <c r="F35" s="1197">
        <f>'7&amp;8 Sleep'!AD258</f>
        <v>0</v>
      </c>
      <c r="G35" s="1198">
        <f>'7&amp;8 Sleep'!AD311</f>
        <v>0</v>
      </c>
      <c r="H35" s="1196">
        <v>0</v>
      </c>
      <c r="I35" s="1197">
        <f>'7&amp;8 Day'!AD101</f>
        <v>0</v>
      </c>
      <c r="J35" s="1197">
        <f>'7&amp;8 Day'!AD153</f>
        <v>0</v>
      </c>
      <c r="K35" s="1197">
        <f>'7&amp;8 Day'!AD205</f>
        <v>0.16089540362619761</v>
      </c>
      <c r="L35" s="1197">
        <f>'7&amp;8 Day'!AD258</f>
        <v>0</v>
      </c>
      <c r="M35" s="1198">
        <f>'7&amp;8 Day'!AD311</f>
        <v>0</v>
      </c>
      <c r="N35" s="1196">
        <v>0</v>
      </c>
      <c r="O35" s="1197">
        <f>'7&amp;8 SU'!AD101</f>
        <v>0</v>
      </c>
      <c r="P35" s="1197">
        <f>'7&amp;8 SU'!AD153</f>
        <v>0</v>
      </c>
      <c r="Q35" s="1197">
        <f>'7&amp;8 SU'!AD205</f>
        <v>0</v>
      </c>
      <c r="R35" s="1197">
        <f>'7&amp;8 SU'!AD258</f>
        <v>0.29090180957705714</v>
      </c>
      <c r="S35" s="1198">
        <f>'7&amp;8 SU'!AD311</f>
        <v>0</v>
      </c>
    </row>
    <row r="36" spans="1:19" x14ac:dyDescent="0.25">
      <c r="A36" s="1193">
        <v>2033</v>
      </c>
      <c r="B36" s="1196">
        <v>0</v>
      </c>
      <c r="C36" s="1197">
        <f>'7&amp;8 Sleep'!AD102</f>
        <v>0</v>
      </c>
      <c r="D36" s="1197">
        <f>'7&amp;8 Sleep'!AD154</f>
        <v>0</v>
      </c>
      <c r="E36" s="1197">
        <f>'7&amp;8 Sleep'!AD206</f>
        <v>0</v>
      </c>
      <c r="F36" s="1197">
        <f>'7&amp;8 Sleep'!AD259</f>
        <v>0</v>
      </c>
      <c r="G36" s="1198">
        <f>'7&amp;8 Sleep'!AD312</f>
        <v>0</v>
      </c>
      <c r="H36" s="1196">
        <v>0</v>
      </c>
      <c r="I36" s="1197">
        <f>'7&amp;8 Day'!AD102</f>
        <v>0</v>
      </c>
      <c r="J36" s="1197">
        <f>'7&amp;8 Day'!AD154</f>
        <v>0</v>
      </c>
      <c r="K36" s="1197">
        <f>'7&amp;8 Day'!AD206</f>
        <v>0.17541694600751051</v>
      </c>
      <c r="L36" s="1197">
        <f>'7&amp;8 Day'!AD259</f>
        <v>0</v>
      </c>
      <c r="M36" s="1198">
        <f>'7&amp;8 Day'!AD312</f>
        <v>0</v>
      </c>
      <c r="N36" s="1196">
        <v>0</v>
      </c>
      <c r="O36" s="1197">
        <f>'7&amp;8 SU'!AD102</f>
        <v>0</v>
      </c>
      <c r="P36" s="1197">
        <f>'7&amp;8 SU'!AD154</f>
        <v>0</v>
      </c>
      <c r="Q36" s="1197">
        <f>'7&amp;8 SU'!AD206</f>
        <v>0</v>
      </c>
      <c r="R36" s="1197">
        <f>'7&amp;8 SU'!AD259</f>
        <v>0.31195294000172885</v>
      </c>
      <c r="S36" s="1198">
        <f>'7&amp;8 SU'!AD312</f>
        <v>0</v>
      </c>
    </row>
    <row r="37" spans="1:19" x14ac:dyDescent="0.25">
      <c r="A37" s="1193">
        <v>2034</v>
      </c>
      <c r="B37" s="1196">
        <v>0</v>
      </c>
      <c r="C37" s="1197">
        <f>'7&amp;8 Sleep'!AD103</f>
        <v>0</v>
      </c>
      <c r="D37" s="1197">
        <f>'7&amp;8 Sleep'!AD155</f>
        <v>0</v>
      </c>
      <c r="E37" s="1197">
        <f>'7&amp;8 Sleep'!AD207</f>
        <v>0</v>
      </c>
      <c r="F37" s="1197">
        <f>'7&amp;8 Sleep'!AD260</f>
        <v>0</v>
      </c>
      <c r="G37" s="1198">
        <f>'7&amp;8 Sleep'!AD313</f>
        <v>0</v>
      </c>
      <c r="H37" s="1196">
        <v>0</v>
      </c>
      <c r="I37" s="1197">
        <f>'7&amp;8 Day'!AD103</f>
        <v>0</v>
      </c>
      <c r="J37" s="1197">
        <f>'7&amp;8 Day'!AD155</f>
        <v>0</v>
      </c>
      <c r="K37" s="1197">
        <f>'7&amp;8 Day'!AD207</f>
        <v>0.1986004009925928</v>
      </c>
      <c r="L37" s="1197">
        <f>'7&amp;8 Day'!AD260</f>
        <v>0</v>
      </c>
      <c r="M37" s="1198">
        <f>'7&amp;8 Day'!AD313</f>
        <v>0</v>
      </c>
      <c r="N37" s="1196">
        <v>0</v>
      </c>
      <c r="O37" s="1197">
        <f>'7&amp;8 SU'!AD103</f>
        <v>0</v>
      </c>
      <c r="P37" s="1197">
        <f>'7&amp;8 SU'!AD155</f>
        <v>0</v>
      </c>
      <c r="Q37" s="1197">
        <f>'7&amp;8 SU'!AD207</f>
        <v>0</v>
      </c>
      <c r="R37" s="1197">
        <f>'7&amp;8 SU'!AD260</f>
        <v>0.33633722537147248</v>
      </c>
      <c r="S37" s="1198">
        <f>'7&amp;8 SU'!AD313</f>
        <v>0</v>
      </c>
    </row>
    <row r="38" spans="1:19" x14ac:dyDescent="0.25">
      <c r="A38" s="1199">
        <v>2035</v>
      </c>
      <c r="B38" s="1200">
        <v>0</v>
      </c>
      <c r="C38" s="1201">
        <f>'7&amp;8 Sleep'!AD104</f>
        <v>0</v>
      </c>
      <c r="D38" s="1201">
        <f>'7&amp;8 Sleep'!AD156</f>
        <v>0</v>
      </c>
      <c r="E38" s="1201">
        <f>'7&amp;8 Sleep'!AD208</f>
        <v>0</v>
      </c>
      <c r="F38" s="1201">
        <f>'7&amp;8 Sleep'!AD261</f>
        <v>0</v>
      </c>
      <c r="G38" s="1202">
        <f>'7&amp;8 Sleep'!AD314</f>
        <v>0</v>
      </c>
      <c r="H38" s="1200">
        <v>0</v>
      </c>
      <c r="I38" s="1201">
        <f>'7&amp;8 Day'!AD104</f>
        <v>0</v>
      </c>
      <c r="J38" s="1201">
        <f>'7&amp;8 Day'!AD156</f>
        <v>0</v>
      </c>
      <c r="K38" s="1201">
        <f>'7&amp;8 Day'!AD208</f>
        <v>0.22446403409608989</v>
      </c>
      <c r="L38" s="1201">
        <f>'7&amp;8 Day'!AD261</f>
        <v>0</v>
      </c>
      <c r="M38" s="1202">
        <f>'7&amp;8 Day'!AD314</f>
        <v>0</v>
      </c>
      <c r="N38" s="1200">
        <v>0</v>
      </c>
      <c r="O38" s="1201">
        <f>'7&amp;8 SU'!AD104</f>
        <v>0</v>
      </c>
      <c r="P38" s="1201">
        <f>'7&amp;8 SU'!AD156</f>
        <v>0</v>
      </c>
      <c r="Q38" s="1201">
        <f>'7&amp;8 SU'!AD208</f>
        <v>0</v>
      </c>
      <c r="R38" s="1201">
        <f>'7&amp;8 SU'!AD261</f>
        <v>0.36488838783235672</v>
      </c>
      <c r="S38" s="1202">
        <f>'7&amp;8 SU'!AD314</f>
        <v>0</v>
      </c>
    </row>
    <row r="39" spans="1:19" x14ac:dyDescent="0.25">
      <c r="A39" s="1193">
        <v>2036</v>
      </c>
      <c r="B39" s="1203">
        <v>0</v>
      </c>
      <c r="C39" s="1204">
        <f>'7&amp;8 Sleep'!AD105</f>
        <v>0</v>
      </c>
      <c r="D39" s="1204">
        <f>'7&amp;8 Sleep'!AD157</f>
        <v>0</v>
      </c>
      <c r="E39" s="1204">
        <f>'7&amp;8 Sleep'!AD209</f>
        <v>0</v>
      </c>
      <c r="F39" s="1204">
        <f>'7&amp;8 Sleep'!AD262</f>
        <v>0.30159994361228709</v>
      </c>
      <c r="G39" s="1205">
        <f>'7&amp;8 Sleep'!AD315</f>
        <v>0</v>
      </c>
      <c r="H39" s="1203">
        <v>0</v>
      </c>
      <c r="I39" s="1204">
        <f>'7&amp;8 Day'!AD105</f>
        <v>0</v>
      </c>
      <c r="J39" s="1204">
        <f>'7&amp;8 Day'!AD157</f>
        <v>0</v>
      </c>
      <c r="K39" s="1204">
        <f>'7&amp;8 Day'!AD209</f>
        <v>0.23298738584015682</v>
      </c>
      <c r="L39" s="1204">
        <f>'7&amp;8 Day'!AD262</f>
        <v>0</v>
      </c>
      <c r="M39" s="1205">
        <f>'7&amp;8 Day'!AD315</f>
        <v>0</v>
      </c>
      <c r="N39" s="1203">
        <v>0</v>
      </c>
      <c r="O39" s="1204">
        <f>'7&amp;8 SU'!AD105</f>
        <v>0</v>
      </c>
      <c r="P39" s="1204">
        <f>'7&amp;8 SU'!AD157</f>
        <v>0</v>
      </c>
      <c r="Q39" s="1204">
        <f>'7&amp;8 SU'!AD209</f>
        <v>0</v>
      </c>
      <c r="R39" s="1204">
        <f>'7&amp;8 SU'!AD262</f>
        <v>0.37729941572363912</v>
      </c>
      <c r="S39" s="1205">
        <f>'7&amp;8 SU'!AD315</f>
        <v>0</v>
      </c>
    </row>
    <row r="40" spans="1:19" x14ac:dyDescent="0.25">
      <c r="A40" s="1193">
        <v>2037</v>
      </c>
      <c r="B40" s="1196">
        <v>0</v>
      </c>
      <c r="C40" s="1197">
        <f>'7&amp;8 Sleep'!AD106</f>
        <v>0</v>
      </c>
      <c r="D40" s="1197">
        <f>'7&amp;8 Sleep'!AD158</f>
        <v>0</v>
      </c>
      <c r="E40" s="1197">
        <f>'7&amp;8 Sleep'!AD210</f>
        <v>0</v>
      </c>
      <c r="F40" s="1197">
        <f>'7&amp;8 Sleep'!AD263</f>
        <v>0.3013491444101899</v>
      </c>
      <c r="G40" s="1198">
        <f>'7&amp;8 Sleep'!AD316</f>
        <v>0</v>
      </c>
      <c r="H40" s="1196">
        <v>0</v>
      </c>
      <c r="I40" s="1197">
        <f>'7&amp;8 Day'!AD106</f>
        <v>0</v>
      </c>
      <c r="J40" s="1197">
        <f>'7&amp;8 Day'!AD158</f>
        <v>0</v>
      </c>
      <c r="K40" s="1197">
        <f>'7&amp;8 Day'!AD210</f>
        <v>0.23892355326603548</v>
      </c>
      <c r="L40" s="1197">
        <f>'7&amp;8 Day'!AD263</f>
        <v>0</v>
      </c>
      <c r="M40" s="1198">
        <f>'7&amp;8 Day'!AD316</f>
        <v>0</v>
      </c>
      <c r="N40" s="1196">
        <v>0</v>
      </c>
      <c r="O40" s="1197">
        <f>'7&amp;8 SU'!AD106</f>
        <v>0</v>
      </c>
      <c r="P40" s="1197">
        <f>'7&amp;8 SU'!AD158</f>
        <v>0</v>
      </c>
      <c r="Q40" s="1197">
        <f>'7&amp;8 SU'!AD210</f>
        <v>0</v>
      </c>
      <c r="R40" s="1197">
        <f>'7&amp;8 SU'!AD263</f>
        <v>0.38068866428429066</v>
      </c>
      <c r="S40" s="1198">
        <f>'7&amp;8 SU'!AD316</f>
        <v>0</v>
      </c>
    </row>
    <row r="41" spans="1:19" x14ac:dyDescent="0.25">
      <c r="A41" s="1193">
        <v>2038</v>
      </c>
      <c r="B41" s="1196">
        <v>0</v>
      </c>
      <c r="C41" s="1197">
        <f>'7&amp;8 Sleep'!AD107</f>
        <v>0</v>
      </c>
      <c r="D41" s="1197">
        <f>'7&amp;8 Sleep'!AD159</f>
        <v>0</v>
      </c>
      <c r="E41" s="1197">
        <f>'7&amp;8 Sleep'!AD211</f>
        <v>0</v>
      </c>
      <c r="F41" s="1197">
        <f>'7&amp;8 Sleep'!AD264</f>
        <v>0.30199729157252786</v>
      </c>
      <c r="G41" s="1198">
        <f>'7&amp;8 Sleep'!AD317</f>
        <v>0</v>
      </c>
      <c r="H41" s="1196">
        <v>0</v>
      </c>
      <c r="I41" s="1197">
        <f>'7&amp;8 Day'!AD107</f>
        <v>0</v>
      </c>
      <c r="J41" s="1197">
        <f>'7&amp;8 Day'!AD159</f>
        <v>0</v>
      </c>
      <c r="K41" s="1197">
        <f>'7&amp;8 Day'!AD211</f>
        <v>0.25032842106324527</v>
      </c>
      <c r="L41" s="1197">
        <f>'7&amp;8 Day'!AD264</f>
        <v>0</v>
      </c>
      <c r="M41" s="1198">
        <f>'7&amp;8 Day'!AD317</f>
        <v>0</v>
      </c>
      <c r="N41" s="1196">
        <v>0</v>
      </c>
      <c r="O41" s="1197">
        <f>'7&amp;8 SU'!AD107</f>
        <v>0</v>
      </c>
      <c r="P41" s="1197">
        <f>'7&amp;8 SU'!AD159</f>
        <v>0</v>
      </c>
      <c r="Q41" s="1197">
        <f>'7&amp;8 SU'!AD211</f>
        <v>0</v>
      </c>
      <c r="R41" s="1197">
        <f>'7&amp;8 SU'!AD264</f>
        <v>0.39482781169872433</v>
      </c>
      <c r="S41" s="1198">
        <f>'7&amp;8 SU'!AD317</f>
        <v>0</v>
      </c>
    </row>
    <row r="42" spans="1:19" x14ac:dyDescent="0.25">
      <c r="A42" s="1193">
        <v>2039</v>
      </c>
      <c r="B42" s="1196">
        <v>0</v>
      </c>
      <c r="C42" s="1197">
        <f>'7&amp;8 Sleep'!AD108</f>
        <v>0</v>
      </c>
      <c r="D42" s="1197">
        <f>'7&amp;8 Sleep'!AD160</f>
        <v>0</v>
      </c>
      <c r="E42" s="1197">
        <f>'7&amp;8 Sleep'!AD212</f>
        <v>0</v>
      </c>
      <c r="F42" s="1197">
        <f>'7&amp;8 Sleep'!AD265</f>
        <v>0.30542599066279119</v>
      </c>
      <c r="G42" s="1198">
        <f>'7&amp;8 Sleep'!AD318</f>
        <v>0</v>
      </c>
      <c r="H42" s="1196">
        <v>0</v>
      </c>
      <c r="I42" s="1197">
        <f>'7&amp;8 Day'!AD108</f>
        <v>0</v>
      </c>
      <c r="J42" s="1197">
        <f>'7&amp;8 Day'!AD160</f>
        <v>0</v>
      </c>
      <c r="K42" s="1197">
        <f>'7&amp;8 Day'!AD212</f>
        <v>0.26171395274799586</v>
      </c>
      <c r="L42" s="1197">
        <f>'7&amp;8 Day'!AD265</f>
        <v>0</v>
      </c>
      <c r="M42" s="1198">
        <f>'7&amp;8 Day'!AD318</f>
        <v>0</v>
      </c>
      <c r="N42" s="1196">
        <v>0</v>
      </c>
      <c r="O42" s="1197">
        <f>'7&amp;8 SU'!AD108</f>
        <v>0</v>
      </c>
      <c r="P42" s="1197">
        <f>'7&amp;8 SU'!AD160</f>
        <v>0</v>
      </c>
      <c r="Q42" s="1197">
        <f>'7&amp;8 SU'!AD212</f>
        <v>0</v>
      </c>
      <c r="R42" s="1197">
        <f>'7&amp;8 SU'!AD265</f>
        <v>0.41073681674977131</v>
      </c>
      <c r="S42" s="1198">
        <f>'7&amp;8 SU'!AD318</f>
        <v>0</v>
      </c>
    </row>
    <row r="43" spans="1:19" x14ac:dyDescent="0.25">
      <c r="A43" s="1199">
        <v>2040</v>
      </c>
      <c r="B43" s="1200">
        <v>0</v>
      </c>
      <c r="C43" s="1201">
        <f>'7&amp;8 Sleep'!AD109</f>
        <v>0</v>
      </c>
      <c r="D43" s="1201">
        <f>'7&amp;8 Sleep'!AD161</f>
        <v>0</v>
      </c>
      <c r="E43" s="1201">
        <f>'7&amp;8 Sleep'!AD213</f>
        <v>0</v>
      </c>
      <c r="F43" s="1201">
        <f>'7&amp;8 Sleep'!AD266</f>
        <v>0.31467472965029275</v>
      </c>
      <c r="G43" s="1202">
        <f>'7&amp;8 Sleep'!AD319</f>
        <v>0</v>
      </c>
      <c r="H43" s="1222">
        <v>0</v>
      </c>
      <c r="I43" s="1223">
        <f>'7&amp;8 Day'!AD109</f>
        <v>0</v>
      </c>
      <c r="J43" s="1223">
        <f>'7&amp;8 Day'!AD161</f>
        <v>0</v>
      </c>
      <c r="K43" s="1223">
        <f>'7&amp;8 Day'!AD213</f>
        <v>0.27592543827479776</v>
      </c>
      <c r="L43" s="1223">
        <f>'7&amp;8 Day'!AD266</f>
        <v>0</v>
      </c>
      <c r="M43" s="1224">
        <f>'7&amp;8 Day'!AD319</f>
        <v>0</v>
      </c>
      <c r="N43" s="1196">
        <v>0</v>
      </c>
      <c r="O43" s="1223">
        <f>'7&amp;8 SU'!AD109</f>
        <v>0</v>
      </c>
      <c r="P43" s="1223">
        <f>'7&amp;8 SU'!AD161</f>
        <v>0</v>
      </c>
      <c r="Q43" s="1223">
        <f>'7&amp;8 SU'!AD213</f>
        <v>0</v>
      </c>
      <c r="R43" s="1223">
        <f>'7&amp;8 SU'!AD266</f>
        <v>0.43275215557762303</v>
      </c>
      <c r="S43" s="1224">
        <f>'7&amp;8 SU'!AD319</f>
        <v>0</v>
      </c>
    </row>
    <row r="44" spans="1:19" x14ac:dyDescent="0.25">
      <c r="A44" s="1193">
        <v>2041</v>
      </c>
      <c r="B44" s="1203">
        <v>0</v>
      </c>
      <c r="C44" s="1204">
        <f>'7&amp;8 Sleep'!AD110</f>
        <v>0</v>
      </c>
      <c r="D44" s="1204">
        <f>'7&amp;8 Sleep'!AD162</f>
        <v>0</v>
      </c>
      <c r="E44" s="1204">
        <f>'7&amp;8 Sleep'!AD214</f>
        <v>0</v>
      </c>
      <c r="F44" s="1204">
        <f>'7&amp;8 Sleep'!AD267</f>
        <v>0.34223783982447353</v>
      </c>
      <c r="G44" s="1205">
        <f>'7&amp;8 Sleep'!AD320</f>
        <v>0</v>
      </c>
      <c r="H44" s="1203">
        <v>0</v>
      </c>
      <c r="I44" s="1204">
        <f>'7&amp;8 Day'!AD110</f>
        <v>0</v>
      </c>
      <c r="J44" s="1204">
        <f>'7&amp;8 Day'!AD162</f>
        <v>0</v>
      </c>
      <c r="K44" s="1204">
        <f>'7&amp;8 Day'!AD214</f>
        <v>0.29155634102426364</v>
      </c>
      <c r="L44" s="1204">
        <f>'7&amp;8 Day'!AD267</f>
        <v>0</v>
      </c>
      <c r="M44" s="1205">
        <f>'7&amp;8 Day'!AD320</f>
        <v>0</v>
      </c>
      <c r="N44" s="1203">
        <v>0</v>
      </c>
      <c r="O44" s="1204">
        <f>'7&amp;8 SU'!AD110</f>
        <v>0</v>
      </c>
      <c r="P44" s="1204">
        <f>'7&amp;8 SU'!AD162</f>
        <v>0</v>
      </c>
      <c r="Q44" s="1204">
        <f>'7&amp;8 SU'!AD214</f>
        <v>0</v>
      </c>
      <c r="R44" s="1204">
        <f>'7&amp;8 SU'!AD267</f>
        <v>0.46653117049361847</v>
      </c>
      <c r="S44" s="1205">
        <f>'7&amp;8 SU'!AD320</f>
        <v>0</v>
      </c>
    </row>
    <row r="45" spans="1:19" x14ac:dyDescent="0.25">
      <c r="A45" s="1193">
        <v>2042</v>
      </c>
      <c r="B45" s="1196">
        <v>0</v>
      </c>
      <c r="C45" s="1197">
        <f>'7&amp;8 Sleep'!AD111</f>
        <v>0</v>
      </c>
      <c r="D45" s="1197">
        <f>'7&amp;8 Sleep'!AD163</f>
        <v>0</v>
      </c>
      <c r="E45" s="1197">
        <f>'7&amp;8 Sleep'!AD215</f>
        <v>0</v>
      </c>
      <c r="F45" s="1197">
        <f>'7&amp;8 Sleep'!AD268</f>
        <v>0.41008143833913918</v>
      </c>
      <c r="G45" s="1198">
        <f>'7&amp;8 Sleep'!AD321</f>
        <v>0</v>
      </c>
      <c r="H45" s="1196">
        <v>0</v>
      </c>
      <c r="I45" s="1197">
        <f>'7&amp;8 Day'!AD111</f>
        <v>0</v>
      </c>
      <c r="J45" s="1197">
        <f>'7&amp;8 Day'!AD163</f>
        <v>0</v>
      </c>
      <c r="K45" s="1197">
        <f>'7&amp;8 Day'!AD215</f>
        <v>0.31114616461683942</v>
      </c>
      <c r="L45" s="1197">
        <f>'7&amp;8 Day'!AD268</f>
        <v>0</v>
      </c>
      <c r="M45" s="1198">
        <f>'7&amp;8 Day'!AD321</f>
        <v>0</v>
      </c>
      <c r="N45" s="1196">
        <v>0</v>
      </c>
      <c r="O45" s="1197">
        <f>'7&amp;8 SU'!AD111</f>
        <v>0</v>
      </c>
      <c r="P45" s="1197">
        <f>'7&amp;8 SU'!AD163</f>
        <v>0</v>
      </c>
      <c r="Q45" s="1197">
        <f>'7&amp;8 SU'!AD215</f>
        <v>0</v>
      </c>
      <c r="R45" s="1197">
        <f>'7&amp;8 SU'!AD268</f>
        <v>0.51649137335789685</v>
      </c>
      <c r="S45" s="1198">
        <f>'7&amp;8 SU'!AD321</f>
        <v>0</v>
      </c>
    </row>
    <row r="46" spans="1:19" x14ac:dyDescent="0.25">
      <c r="A46" s="1193">
        <v>2043</v>
      </c>
      <c r="B46" s="1196">
        <v>0</v>
      </c>
      <c r="C46" s="1197">
        <f>'7&amp;8 Sleep'!AD112</f>
        <v>0</v>
      </c>
      <c r="D46" s="1197">
        <f>'7&amp;8 Sleep'!AD164</f>
        <v>0</v>
      </c>
      <c r="E46" s="1197">
        <f>'7&amp;8 Sleep'!AD216</f>
        <v>0</v>
      </c>
      <c r="F46" s="1197">
        <f>'7&amp;8 Sleep'!AD269</f>
        <v>0.4745271420760544</v>
      </c>
      <c r="G46" s="1198">
        <f>'7&amp;8 Sleep'!AD322</f>
        <v>0</v>
      </c>
      <c r="H46" s="1196">
        <v>0</v>
      </c>
      <c r="I46" s="1197">
        <f>'7&amp;8 Day'!AD112</f>
        <v>0</v>
      </c>
      <c r="J46" s="1197">
        <f>'7&amp;8 Day'!AD164</f>
        <v>0</v>
      </c>
      <c r="K46" s="1197">
        <f>'7&amp;8 Day'!AD216</f>
        <v>0.33501457737909168</v>
      </c>
      <c r="L46" s="1197">
        <f>'7&amp;8 Day'!AD269</f>
        <v>0</v>
      </c>
      <c r="M46" s="1198">
        <f>'7&amp;8 Day'!AD322</f>
        <v>0</v>
      </c>
      <c r="N46" s="1196">
        <v>0</v>
      </c>
      <c r="O46" s="1197">
        <f>'7&amp;8 SU'!AD112</f>
        <v>0</v>
      </c>
      <c r="P46" s="1197">
        <f>'7&amp;8 SU'!AD164</f>
        <v>0</v>
      </c>
      <c r="Q46" s="1197">
        <f>'7&amp;8 SU'!AD216</f>
        <v>0</v>
      </c>
      <c r="R46" s="1197">
        <f>'7&amp;8 SU'!AD269</f>
        <v>0.57617142857999426</v>
      </c>
      <c r="S46" s="1198">
        <f>'7&amp;8 SU'!AD322</f>
        <v>0</v>
      </c>
    </row>
    <row r="47" spans="1:19" x14ac:dyDescent="0.25">
      <c r="A47" s="1193">
        <v>2044</v>
      </c>
      <c r="B47" s="1196">
        <v>0</v>
      </c>
      <c r="C47" s="1197">
        <f>'7&amp;8 Sleep'!AD113</f>
        <v>0</v>
      </c>
      <c r="D47" s="1197">
        <f>'7&amp;8 Sleep'!AD165</f>
        <v>0</v>
      </c>
      <c r="E47" s="1197">
        <f>'7&amp;8 Sleep'!AD217</f>
        <v>0</v>
      </c>
      <c r="F47" s="1197">
        <f>'7&amp;8 Sleep'!AD270</f>
        <v>0.51022913870963138</v>
      </c>
      <c r="G47" s="1198">
        <f>'7&amp;8 Sleep'!AD323</f>
        <v>0</v>
      </c>
      <c r="H47" s="1196">
        <v>0</v>
      </c>
      <c r="I47" s="1197">
        <f>'7&amp;8 Day'!AD113</f>
        <v>0</v>
      </c>
      <c r="J47" s="1197">
        <f>'7&amp;8 Day'!AD165</f>
        <v>0</v>
      </c>
      <c r="K47" s="1197">
        <f>'7&amp;8 Day'!AD217</f>
        <v>0.35421926381853652</v>
      </c>
      <c r="L47" s="1197">
        <f>'7&amp;8 Day'!AD270</f>
        <v>0</v>
      </c>
      <c r="M47" s="1198">
        <f>'7&amp;8 Day'!AD323</f>
        <v>0</v>
      </c>
      <c r="N47" s="1196">
        <v>0</v>
      </c>
      <c r="O47" s="1197">
        <f>'7&amp;8 SU'!AD113</f>
        <v>0</v>
      </c>
      <c r="P47" s="1197">
        <f>'7&amp;8 SU'!AD165</f>
        <v>0</v>
      </c>
      <c r="Q47" s="1197">
        <f>'7&amp;8 SU'!AD217</f>
        <v>0</v>
      </c>
      <c r="R47" s="1197">
        <f>'7&amp;8 SU'!AD270</f>
        <v>0.6331993932737503</v>
      </c>
      <c r="S47" s="1198">
        <f>'7&amp;8 SU'!AD323</f>
        <v>0</v>
      </c>
    </row>
    <row r="48" spans="1:19" x14ac:dyDescent="0.25">
      <c r="A48" s="1199">
        <v>2045</v>
      </c>
      <c r="B48" s="1200">
        <v>0</v>
      </c>
      <c r="C48" s="1201">
        <f>'7&amp;8 Sleep'!AD114</f>
        <v>0</v>
      </c>
      <c r="D48" s="1201">
        <f>'7&amp;8 Sleep'!AD166</f>
        <v>0</v>
      </c>
      <c r="E48" s="1201">
        <f>'7&amp;8 Sleep'!AD218</f>
        <v>0</v>
      </c>
      <c r="F48" s="1201">
        <f>'7&amp;8 Sleep'!AD271</f>
        <v>0.53257156556546059</v>
      </c>
      <c r="G48" s="1202">
        <f>'7&amp;8 Sleep'!AD324</f>
        <v>0</v>
      </c>
      <c r="H48" s="1200">
        <v>0</v>
      </c>
      <c r="I48" s="1201">
        <f>'7&amp;8 Day'!AD114</f>
        <v>0</v>
      </c>
      <c r="J48" s="1201">
        <f>'7&amp;8 Day'!AD166</f>
        <v>0</v>
      </c>
      <c r="K48" s="1201">
        <f>'7&amp;8 Day'!AD218</f>
        <v>0.36888874495479329</v>
      </c>
      <c r="L48" s="1201">
        <f>'7&amp;8 Day'!AD271</f>
        <v>0</v>
      </c>
      <c r="M48" s="1202">
        <f>'7&amp;8 Day'!AD324</f>
        <v>0</v>
      </c>
      <c r="N48" s="1200">
        <v>0</v>
      </c>
      <c r="O48" s="1201">
        <f>'7&amp;8 SU'!AD114</f>
        <v>0</v>
      </c>
      <c r="P48" s="1201">
        <f>'7&amp;8 SU'!AD166</f>
        <v>0</v>
      </c>
      <c r="Q48" s="1201">
        <f>'7&amp;8 SU'!AD218</f>
        <v>0</v>
      </c>
      <c r="R48" s="1201">
        <f>'7&amp;8 SU'!AD271</f>
        <v>0.68004079814405249</v>
      </c>
      <c r="S48" s="1202">
        <f>'7&amp;8 SU'!AD324</f>
        <v>0</v>
      </c>
    </row>
    <row r="49" spans="1:19" x14ac:dyDescent="0.25">
      <c r="A49" s="1193">
        <v>2046</v>
      </c>
      <c r="B49" s="1203">
        <v>0</v>
      </c>
      <c r="C49" s="1204">
        <f>'7&amp;8 Sleep'!AD115</f>
        <v>0</v>
      </c>
      <c r="D49" s="1204">
        <f>'7&amp;8 Sleep'!AD167</f>
        <v>0</v>
      </c>
      <c r="E49" s="1204">
        <f>'7&amp;8 Sleep'!AD219</f>
        <v>0</v>
      </c>
      <c r="F49" s="1204">
        <f>'7&amp;8 Sleep'!AD272</f>
        <v>0.54298409370863887</v>
      </c>
      <c r="G49" s="1205">
        <f>'7&amp;8 Sleep'!AD325</f>
        <v>0</v>
      </c>
      <c r="H49" s="1203">
        <v>0</v>
      </c>
      <c r="I49" s="1204">
        <f>'7&amp;8 Day'!AD115</f>
        <v>0</v>
      </c>
      <c r="J49" s="1204">
        <f>'7&amp;8 Day'!AD167</f>
        <v>0</v>
      </c>
      <c r="K49" s="1204">
        <f>'7&amp;8 Day'!AD219</f>
        <v>0.37882025793303586</v>
      </c>
      <c r="L49" s="1204">
        <f>'7&amp;8 Day'!AD272</f>
        <v>0</v>
      </c>
      <c r="M49" s="1205">
        <f>'7&amp;8 Day'!AD325</f>
        <v>0</v>
      </c>
      <c r="N49" s="1203">
        <v>0</v>
      </c>
      <c r="O49" s="1204">
        <f>'7&amp;8 SU'!AD115</f>
        <v>0</v>
      </c>
      <c r="P49" s="1204">
        <f>'7&amp;8 SU'!AD167</f>
        <v>0</v>
      </c>
      <c r="Q49" s="1204">
        <f>'7&amp;8 SU'!AD219</f>
        <v>0</v>
      </c>
      <c r="R49" s="1204">
        <f>'7&amp;8 SU'!AD272</f>
        <v>0.70526844300651181</v>
      </c>
      <c r="S49" s="1205">
        <f>'7&amp;8 SU'!AD325</f>
        <v>0</v>
      </c>
    </row>
    <row r="50" spans="1:19" x14ac:dyDescent="0.25">
      <c r="A50" s="1193">
        <v>2047</v>
      </c>
      <c r="B50" s="1196">
        <v>0</v>
      </c>
      <c r="C50" s="1197">
        <f>'7&amp;8 Sleep'!AD116</f>
        <v>0</v>
      </c>
      <c r="D50" s="1197">
        <f>'7&amp;8 Sleep'!AD168</f>
        <v>0</v>
      </c>
      <c r="E50" s="1197">
        <f>'7&amp;8 Sleep'!AD220</f>
        <v>0</v>
      </c>
      <c r="F50" s="1197">
        <f>'7&amp;8 Sleep'!AD273</f>
        <v>0.54689566065756945</v>
      </c>
      <c r="G50" s="1198">
        <f>'7&amp;8 Sleep'!AD326</f>
        <v>0</v>
      </c>
      <c r="H50" s="1196">
        <v>0</v>
      </c>
      <c r="I50" s="1197">
        <f>'7&amp;8 Day'!AD116</f>
        <v>0</v>
      </c>
      <c r="J50" s="1197">
        <f>'7&amp;8 Day'!AD168</f>
        <v>0</v>
      </c>
      <c r="K50" s="1197">
        <f>'7&amp;8 Day'!AD220</f>
        <v>0.38376996967291482</v>
      </c>
      <c r="L50" s="1197">
        <f>'7&amp;8 Day'!AD273</f>
        <v>0</v>
      </c>
      <c r="M50" s="1198">
        <f>'7&amp;8 Day'!AD326</f>
        <v>0</v>
      </c>
      <c r="N50" s="1196">
        <v>0</v>
      </c>
      <c r="O50" s="1197">
        <f>'7&amp;8 SU'!AD116</f>
        <v>0</v>
      </c>
      <c r="P50" s="1197">
        <f>'7&amp;8 SU'!AD168</f>
        <v>0</v>
      </c>
      <c r="Q50" s="1197">
        <f>'7&amp;8 SU'!AD220</f>
        <v>0</v>
      </c>
      <c r="R50" s="1197">
        <f>'7&amp;8 SU'!AD273</f>
        <v>0.70906392835058296</v>
      </c>
      <c r="S50" s="1198">
        <f>'7&amp;8 SU'!AD326</f>
        <v>0</v>
      </c>
    </row>
    <row r="51" spans="1:19" x14ac:dyDescent="0.25">
      <c r="A51" s="1193">
        <v>2048</v>
      </c>
      <c r="B51" s="1196">
        <v>0</v>
      </c>
      <c r="C51" s="1197">
        <f>'7&amp;8 Sleep'!AD117</f>
        <v>0</v>
      </c>
      <c r="D51" s="1197">
        <f>'7&amp;8 Sleep'!AD169</f>
        <v>0</v>
      </c>
      <c r="E51" s="1197">
        <f>'7&amp;8 Sleep'!AD221</f>
        <v>0</v>
      </c>
      <c r="F51" s="1197">
        <f>'7&amp;8 Sleep'!AD274</f>
        <v>0.55006525355037383</v>
      </c>
      <c r="G51" s="1198">
        <f>'7&amp;8 Sleep'!AD327</f>
        <v>0</v>
      </c>
      <c r="H51" s="1196">
        <v>0</v>
      </c>
      <c r="I51" s="1197">
        <f>'7&amp;8 Day'!AD117</f>
        <v>0</v>
      </c>
      <c r="J51" s="1197">
        <f>'7&amp;8 Day'!AD169</f>
        <v>0</v>
      </c>
      <c r="K51" s="1197">
        <f>'7&amp;8 Day'!AD221</f>
        <v>0.38746056640711624</v>
      </c>
      <c r="L51" s="1197">
        <f>'7&amp;8 Day'!AD274</f>
        <v>0</v>
      </c>
      <c r="M51" s="1198">
        <f>'7&amp;8 Day'!AD327</f>
        <v>0</v>
      </c>
      <c r="N51" s="1196">
        <v>0</v>
      </c>
      <c r="O51" s="1197">
        <f>'7&amp;8 SU'!AD117</f>
        <v>0</v>
      </c>
      <c r="P51" s="1197">
        <f>'7&amp;8 SU'!AD169</f>
        <v>0</v>
      </c>
      <c r="Q51" s="1197">
        <f>'7&amp;8 SU'!AD221</f>
        <v>0</v>
      </c>
      <c r="R51" s="1197">
        <f>'7&amp;8 SU'!AD274</f>
        <v>0.71550184980682285</v>
      </c>
      <c r="S51" s="1198">
        <f>'7&amp;8 SU'!AD327</f>
        <v>0</v>
      </c>
    </row>
    <row r="52" spans="1:19" x14ac:dyDescent="0.25">
      <c r="A52" s="1193">
        <v>2049</v>
      </c>
      <c r="B52" s="1196">
        <v>0</v>
      </c>
      <c r="C52" s="1197">
        <f>'7&amp;8 Sleep'!AD118</f>
        <v>0</v>
      </c>
      <c r="D52" s="1197">
        <f>'7&amp;8 Sleep'!AD170</f>
        <v>0</v>
      </c>
      <c r="E52" s="1197">
        <f>'7&amp;8 Sleep'!AD222</f>
        <v>0</v>
      </c>
      <c r="F52" s="1197">
        <f>'7&amp;8 Sleep'!AD275</f>
        <v>0.55183407559708475</v>
      </c>
      <c r="G52" s="1198">
        <f>'7&amp;8 Sleep'!AD328</f>
        <v>0</v>
      </c>
      <c r="H52" s="1196">
        <v>0</v>
      </c>
      <c r="I52" s="1197">
        <f>'7&amp;8 Day'!AD118</f>
        <v>0</v>
      </c>
      <c r="J52" s="1197">
        <f>'7&amp;8 Day'!AD170</f>
        <v>0</v>
      </c>
      <c r="K52" s="1197">
        <f>'7&amp;8 Day'!AD222</f>
        <v>0.38977182614606065</v>
      </c>
      <c r="L52" s="1197">
        <f>'7&amp;8 Day'!AD275</f>
        <v>0</v>
      </c>
      <c r="M52" s="1198">
        <f>'7&amp;8 Day'!AD328</f>
        <v>0</v>
      </c>
      <c r="N52" s="1196">
        <v>0</v>
      </c>
      <c r="O52" s="1197">
        <f>'7&amp;8 SU'!AD118</f>
        <v>0</v>
      </c>
      <c r="P52" s="1197">
        <f>'7&amp;8 SU'!AD170</f>
        <v>0</v>
      </c>
      <c r="Q52" s="1197">
        <f>'7&amp;8 SU'!AD222</f>
        <v>0</v>
      </c>
      <c r="R52" s="1197">
        <f>'7&amp;8 SU'!AD275</f>
        <v>0.71515594571542584</v>
      </c>
      <c r="S52" s="1198">
        <f>'7&amp;8 SU'!AD328</f>
        <v>0</v>
      </c>
    </row>
    <row r="53" spans="1:19" ht="15.75" thickBot="1" x14ac:dyDescent="0.3">
      <c r="A53" s="1206">
        <v>2050</v>
      </c>
      <c r="B53" s="1207">
        <v>0</v>
      </c>
      <c r="C53" s="1208">
        <f>'7&amp;8 Sleep'!AD119</f>
        <v>0</v>
      </c>
      <c r="D53" s="1208">
        <f>'7&amp;8 Sleep'!AD171</f>
        <v>0</v>
      </c>
      <c r="E53" s="1208">
        <f>'7&amp;8 Sleep'!AD223</f>
        <v>0</v>
      </c>
      <c r="F53" s="1208">
        <f>'7&amp;8 Sleep'!AD276</f>
        <v>0.55336911716142523</v>
      </c>
      <c r="G53" s="1209">
        <f>'7&amp;8 Sleep'!AD329</f>
        <v>0</v>
      </c>
      <c r="H53" s="1207">
        <v>0</v>
      </c>
      <c r="I53" s="1208">
        <f>'7&amp;8 Day'!AD119</f>
        <v>0</v>
      </c>
      <c r="J53" s="1208">
        <f>'7&amp;8 Day'!AD171</f>
        <v>0</v>
      </c>
      <c r="K53" s="1208">
        <f>'7&amp;8 Day'!AD223</f>
        <v>0.39140634024501031</v>
      </c>
      <c r="L53" s="1208">
        <f>'7&amp;8 Day'!AD276</f>
        <v>0</v>
      </c>
      <c r="M53" s="1209">
        <f>'7&amp;8 Day'!AD329</f>
        <v>0</v>
      </c>
      <c r="N53" s="1207">
        <v>0</v>
      </c>
      <c r="O53" s="1208">
        <f>'7&amp;8 SU'!AD119</f>
        <v>0</v>
      </c>
      <c r="P53" s="1208">
        <f>'7&amp;8 SU'!AD171</f>
        <v>0</v>
      </c>
      <c r="Q53" s="1208">
        <f>'7&amp;8 SU'!AD223</f>
        <v>0</v>
      </c>
      <c r="R53" s="1208">
        <f>'7&amp;8 SU'!AD276</f>
        <v>0.71719454415485817</v>
      </c>
      <c r="S53" s="1209">
        <f>'7&amp;8 SU'!AD329</f>
        <v>0</v>
      </c>
    </row>
  </sheetData>
  <mergeCells count="6">
    <mergeCell ref="B5:G5"/>
    <mergeCell ref="H5:M5"/>
    <mergeCell ref="N5:S5"/>
    <mergeCell ref="B4:G4"/>
    <mergeCell ref="H4:M4"/>
    <mergeCell ref="N4:S4"/>
  </mergeCells>
  <conditionalFormatting sqref="B6:S53">
    <cfRule type="expression" dxfId="16" priority="1">
      <formula>B$7="not used"</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T1" zoomScale="55" zoomScaleNormal="55" workbookViewId="0">
      <selection activeCell="AO9" sqref="AO9"/>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178" customFormat="1" ht="15.75" x14ac:dyDescent="0.25">
      <c r="A1" s="1210" t="s">
        <v>326</v>
      </c>
    </row>
    <row r="2" spans="1:48" s="1178" customFormat="1" ht="15" x14ac:dyDescent="0.25">
      <c r="A2" s="1178" t="s">
        <v>317</v>
      </c>
    </row>
    <row r="3" spans="1:48" s="1178" customFormat="1" ht="15.75" thickBot="1" x14ac:dyDescent="0.3"/>
    <row r="4" spans="1:48" s="1178" customFormat="1" ht="15" x14ac:dyDescent="0.25">
      <c r="A4" s="1179"/>
      <c r="B4" s="1616" t="s">
        <v>250</v>
      </c>
      <c r="C4" s="1617"/>
      <c r="D4" s="1617"/>
      <c r="E4" s="1617"/>
      <c r="F4" s="1617"/>
      <c r="G4" s="1618"/>
      <c r="H4" s="1616" t="s">
        <v>251</v>
      </c>
      <c r="I4" s="1617"/>
      <c r="J4" s="1617"/>
      <c r="K4" s="1617"/>
      <c r="L4" s="1617"/>
      <c r="M4" s="1618"/>
      <c r="N4" s="1616" t="s">
        <v>155</v>
      </c>
      <c r="O4" s="1617"/>
      <c r="P4" s="1617"/>
      <c r="Q4" s="1617"/>
      <c r="R4" s="1617"/>
      <c r="S4" s="1618"/>
      <c r="U4" s="1179"/>
      <c r="V4" s="1616" t="s">
        <v>250</v>
      </c>
      <c r="W4" s="1617"/>
      <c r="X4" s="1617"/>
      <c r="Y4" s="1617"/>
      <c r="Z4" s="1617"/>
      <c r="AA4" s="1618"/>
      <c r="AB4" s="1616" t="s">
        <v>251</v>
      </c>
      <c r="AC4" s="1617"/>
      <c r="AD4" s="1617"/>
      <c r="AE4" s="1617"/>
      <c r="AF4" s="1617"/>
      <c r="AG4" s="1618"/>
      <c r="AH4" s="1616" t="s">
        <v>155</v>
      </c>
      <c r="AI4" s="1617"/>
      <c r="AJ4" s="1617"/>
      <c r="AK4" s="1617"/>
      <c r="AL4" s="1617"/>
      <c r="AM4" s="1618"/>
    </row>
    <row r="5" spans="1:48" s="1178" customFormat="1" ht="15" x14ac:dyDescent="0.25">
      <c r="A5" s="1180"/>
      <c r="B5" s="1619" t="s">
        <v>129</v>
      </c>
      <c r="C5" s="1620"/>
      <c r="D5" s="1620"/>
      <c r="E5" s="1620"/>
      <c r="F5" s="1620"/>
      <c r="G5" s="1621"/>
      <c r="H5" s="1619" t="s">
        <v>129</v>
      </c>
      <c r="I5" s="1620"/>
      <c r="J5" s="1620"/>
      <c r="K5" s="1620"/>
      <c r="L5" s="1620"/>
      <c r="M5" s="1621"/>
      <c r="N5" s="1619" t="s">
        <v>129</v>
      </c>
      <c r="O5" s="1620"/>
      <c r="P5" s="1620"/>
      <c r="Q5" s="1620"/>
      <c r="R5" s="1620"/>
      <c r="S5" s="1621"/>
      <c r="U5" s="1180"/>
      <c r="V5" s="1619" t="s">
        <v>129</v>
      </c>
      <c r="W5" s="1620"/>
      <c r="X5" s="1620"/>
      <c r="Y5" s="1620"/>
      <c r="Z5" s="1620"/>
      <c r="AA5" s="1621"/>
      <c r="AB5" s="1619" t="s">
        <v>129</v>
      </c>
      <c r="AC5" s="1620"/>
      <c r="AD5" s="1620"/>
      <c r="AE5" s="1620"/>
      <c r="AF5" s="1620"/>
      <c r="AG5" s="1621"/>
      <c r="AH5" s="1619" t="s">
        <v>129</v>
      </c>
      <c r="AI5" s="1620"/>
      <c r="AJ5" s="1620"/>
      <c r="AK5" s="1620"/>
      <c r="AL5" s="1620"/>
      <c r="AM5" s="1621"/>
    </row>
    <row r="6" spans="1:48" s="1178" customFormat="1" ht="15" x14ac:dyDescent="0.25">
      <c r="A6" s="1180"/>
      <c r="B6" s="1181" t="s">
        <v>69</v>
      </c>
      <c r="C6" s="1182" t="s">
        <v>65</v>
      </c>
      <c r="D6" s="1182" t="s">
        <v>66</v>
      </c>
      <c r="E6" s="1182" t="s">
        <v>67</v>
      </c>
      <c r="F6" s="1182" t="s">
        <v>206</v>
      </c>
      <c r="G6" s="1183" t="s">
        <v>207</v>
      </c>
      <c r="H6" s="1181" t="s">
        <v>69</v>
      </c>
      <c r="I6" s="1182" t="s">
        <v>65</v>
      </c>
      <c r="J6" s="1182" t="s">
        <v>66</v>
      </c>
      <c r="K6" s="1182" t="s">
        <v>67</v>
      </c>
      <c r="L6" s="1182" t="s">
        <v>206</v>
      </c>
      <c r="M6" s="1183" t="s">
        <v>207</v>
      </c>
      <c r="N6" s="1181" t="s">
        <v>69</v>
      </c>
      <c r="O6" s="1182" t="s">
        <v>65</v>
      </c>
      <c r="P6" s="1182" t="s">
        <v>66</v>
      </c>
      <c r="Q6" s="1182" t="s">
        <v>67</v>
      </c>
      <c r="R6" s="1182" t="s">
        <v>206</v>
      </c>
      <c r="S6" s="1183" t="s">
        <v>207</v>
      </c>
      <c r="U6" s="1180"/>
      <c r="V6" s="1181" t="s">
        <v>69</v>
      </c>
      <c r="W6" s="1182" t="s">
        <v>65</v>
      </c>
      <c r="X6" s="1182" t="s">
        <v>66</v>
      </c>
      <c r="Y6" s="1182" t="s">
        <v>67</v>
      </c>
      <c r="Z6" s="1182" t="s">
        <v>206</v>
      </c>
      <c r="AA6" s="1183" t="s">
        <v>207</v>
      </c>
      <c r="AB6" s="1181" t="s">
        <v>69</v>
      </c>
      <c r="AC6" s="1182" t="s">
        <v>65</v>
      </c>
      <c r="AD6" s="1182" t="s">
        <v>66</v>
      </c>
      <c r="AE6" s="1182" t="s">
        <v>67</v>
      </c>
      <c r="AF6" s="1182" t="s">
        <v>206</v>
      </c>
      <c r="AG6" s="1183" t="s">
        <v>207</v>
      </c>
      <c r="AH6" s="1181" t="s">
        <v>69</v>
      </c>
      <c r="AI6" s="1182" t="s">
        <v>65</v>
      </c>
      <c r="AJ6" s="1182" t="s">
        <v>66</v>
      </c>
      <c r="AK6" s="1182" t="s">
        <v>67</v>
      </c>
      <c r="AL6" s="1182" t="s">
        <v>206</v>
      </c>
      <c r="AM6" s="1183" t="s">
        <v>207</v>
      </c>
    </row>
    <row r="7" spans="1:48" s="1178" customFormat="1" ht="45" customHeight="1" x14ac:dyDescent="0.25">
      <c r="A7" s="1184"/>
      <c r="B7" s="1185" t="str">
        <f t="shared" ref="B7:G7" si="0">INDEX(TECH_OPT_DESC_Cls1,MATCH(B6,TECH_OPT_ROWS_Cls1,0))</f>
        <v>Conventional Diesel ICE</v>
      </c>
      <c r="C7" s="1186" t="str">
        <f t="shared" si="0"/>
        <v>Adv Conv</v>
      </c>
      <c r="D7" s="1186" t="str">
        <f t="shared" si="0"/>
        <v>ISG</v>
      </c>
      <c r="E7" s="1186" t="str">
        <f t="shared" si="0"/>
        <v>HEV</v>
      </c>
      <c r="F7" s="1186" t="str">
        <f t="shared" si="0"/>
        <v>PHEV</v>
      </c>
      <c r="G7" s="1187" t="str">
        <f t="shared" si="0"/>
        <v>FCHEV</v>
      </c>
      <c r="H7" s="1185" t="str">
        <f t="shared" ref="H7:M7" si="1">INDEX(TECH_OPT_DESC_Cls2,MATCH(H6,TECH_OPT_ROWS_Cls2,0))</f>
        <v>Conventional Diesel ICE</v>
      </c>
      <c r="I7" s="1186" t="str">
        <f t="shared" si="1"/>
        <v>Adv Conv</v>
      </c>
      <c r="J7" s="1186" t="str">
        <f t="shared" si="1"/>
        <v>ISG</v>
      </c>
      <c r="K7" s="1186" t="str">
        <f t="shared" si="1"/>
        <v>PHEV</v>
      </c>
      <c r="L7" s="1186" t="str">
        <f t="shared" si="1"/>
        <v>BEV</v>
      </c>
      <c r="M7" s="1187" t="str">
        <f t="shared" si="1"/>
        <v>FCHEV</v>
      </c>
      <c r="N7" s="1185" t="str">
        <f t="shared" ref="N7:S7" si="2">INDEX(TECH_OPT_DESC_Cls3,MATCH(N6,TECH_OPT_ROWS_Cls3,0))</f>
        <v>Conventional Diesel ICE</v>
      </c>
      <c r="O7" s="1186" t="str">
        <f t="shared" si="2"/>
        <v>Adv Conv</v>
      </c>
      <c r="P7" s="1186" t="str">
        <f t="shared" si="2"/>
        <v>ISG</v>
      </c>
      <c r="Q7" s="1186" t="str">
        <f t="shared" si="2"/>
        <v>HEV</v>
      </c>
      <c r="R7" s="1186" t="str">
        <f t="shared" si="2"/>
        <v>PHEV</v>
      </c>
      <c r="S7" s="1187" t="str">
        <f t="shared" si="2"/>
        <v>BEV</v>
      </c>
      <c r="U7" s="1184"/>
      <c r="V7" s="1185" t="str">
        <f t="shared" ref="V7:AA7" si="3">INDEX(TECH_OPT_DESC_Cls1,MATCH(V6,TECH_OPT_ROWS_Cls1,0))</f>
        <v>Conventional Diesel ICE</v>
      </c>
      <c r="W7" s="1186" t="str">
        <f t="shared" si="3"/>
        <v>Adv Conv</v>
      </c>
      <c r="X7" s="1186" t="str">
        <f t="shared" si="3"/>
        <v>ISG</v>
      </c>
      <c r="Y7" s="1186" t="str">
        <f t="shared" si="3"/>
        <v>HEV</v>
      </c>
      <c r="Z7" s="1186" t="str">
        <f t="shared" si="3"/>
        <v>PHEV</v>
      </c>
      <c r="AA7" s="1187" t="str">
        <f t="shared" si="3"/>
        <v>FCHEV</v>
      </c>
      <c r="AB7" s="1185" t="str">
        <f t="shared" ref="AB7:AG7" si="4">INDEX(TECH_OPT_DESC_Cls2,MATCH(AB6,TECH_OPT_ROWS_Cls2,0))</f>
        <v>Conventional Diesel ICE</v>
      </c>
      <c r="AC7" s="1186" t="str">
        <f t="shared" si="4"/>
        <v>Adv Conv</v>
      </c>
      <c r="AD7" s="1186" t="str">
        <f t="shared" si="4"/>
        <v>ISG</v>
      </c>
      <c r="AE7" s="1186" t="str">
        <f t="shared" si="4"/>
        <v>PHEV</v>
      </c>
      <c r="AF7" s="1186" t="str">
        <f t="shared" si="4"/>
        <v>BEV</v>
      </c>
      <c r="AG7" s="1187" t="str">
        <f t="shared" si="4"/>
        <v>FCHEV</v>
      </c>
      <c r="AH7" s="1185" t="str">
        <f t="shared" ref="AH7:AM7" si="5">INDEX(TECH_OPT_DESC_Cls3,MATCH(AH6,TECH_OPT_ROWS_Cls3,0))</f>
        <v>Conventional Diesel ICE</v>
      </c>
      <c r="AI7" s="1186" t="str">
        <f t="shared" si="5"/>
        <v>Adv Conv</v>
      </c>
      <c r="AJ7" s="1186" t="str">
        <f t="shared" si="5"/>
        <v>ISG</v>
      </c>
      <c r="AK7" s="1186" t="str">
        <f t="shared" si="5"/>
        <v>HEV</v>
      </c>
      <c r="AL7" s="1186" t="str">
        <f t="shared" si="5"/>
        <v>PHEV</v>
      </c>
      <c r="AM7" s="1187" t="str">
        <f t="shared" si="5"/>
        <v>BEV</v>
      </c>
      <c r="AO7" s="1625" t="s">
        <v>380</v>
      </c>
      <c r="AP7" s="1626"/>
      <c r="AQ7" s="1627"/>
      <c r="AR7" s="1337"/>
      <c r="AS7" s="1625" t="s">
        <v>381</v>
      </c>
      <c r="AT7" s="1626"/>
      <c r="AU7" s="1626"/>
      <c r="AV7" s="1627"/>
    </row>
    <row r="8" spans="1:48" s="1178" customFormat="1" ht="15.75" thickBot="1" x14ac:dyDescent="0.3">
      <c r="A8" s="1188" t="s">
        <v>3</v>
      </c>
      <c r="B8" s="1189" t="str">
        <f t="shared" ref="B8:G8" si="6">INDEX(TECH_OPT_FUEL1_Cls1,MATCH(B6,TECH_OPT_ROWS_Cls1,0))</f>
        <v>Diesel</v>
      </c>
      <c r="C8" s="1190" t="str">
        <f t="shared" si="6"/>
        <v>Diesel</v>
      </c>
      <c r="D8" s="1190" t="str">
        <f t="shared" si="6"/>
        <v>Diesel</v>
      </c>
      <c r="E8" s="1190" t="str">
        <f t="shared" si="6"/>
        <v>Diesel</v>
      </c>
      <c r="F8" s="1190" t="str">
        <f t="shared" si="6"/>
        <v>Diesel</v>
      </c>
      <c r="G8" s="1191" t="str">
        <f t="shared" si="6"/>
        <v>Hydrogen</v>
      </c>
      <c r="H8" s="1192" t="str">
        <f t="shared" ref="H8:M8" si="7">INDEX(TECH_OPT_FUEL1_Cls2,MATCH(H6,TECH_OPT_ROWS_Cls2,0))</f>
        <v>Diesel</v>
      </c>
      <c r="I8" s="1190" t="str">
        <f t="shared" si="7"/>
        <v>Diesel</v>
      </c>
      <c r="J8" s="1190" t="str">
        <f t="shared" si="7"/>
        <v>Diesel</v>
      </c>
      <c r="K8" s="1190" t="str">
        <f t="shared" si="7"/>
        <v>Diesel</v>
      </c>
      <c r="L8" s="1190" t="str">
        <f t="shared" si="7"/>
        <v>Electricity</v>
      </c>
      <c r="M8" s="1191" t="str">
        <f t="shared" si="7"/>
        <v>Hydrogen</v>
      </c>
      <c r="N8" s="1189" t="str">
        <f t="shared" ref="N8:S8" si="8">INDEX(TECH_OPT_FUEL1_Cls3,MATCH(N6,TECH_OPT_ROWS_Cls3,0))</f>
        <v>Diesel</v>
      </c>
      <c r="O8" s="1190" t="str">
        <f t="shared" si="8"/>
        <v>Diesel</v>
      </c>
      <c r="P8" s="1190" t="str">
        <f t="shared" si="8"/>
        <v>Diesel</v>
      </c>
      <c r="Q8" s="1190" t="str">
        <f t="shared" si="8"/>
        <v>Diesel</v>
      </c>
      <c r="R8" s="1190" t="str">
        <f t="shared" si="8"/>
        <v>Diesel</v>
      </c>
      <c r="S8" s="1191" t="str">
        <f t="shared" si="8"/>
        <v>Electricity</v>
      </c>
      <c r="U8" s="1188" t="s">
        <v>3</v>
      </c>
      <c r="V8" s="1189" t="str">
        <f t="shared" ref="V8:AA8" si="9">INDEX(TECH_OPT_FUEL1_Cls1,MATCH(V6,TECH_OPT_ROWS_Cls1,0))</f>
        <v>Diesel</v>
      </c>
      <c r="W8" s="1190" t="str">
        <f t="shared" si="9"/>
        <v>Diesel</v>
      </c>
      <c r="X8" s="1190" t="str">
        <f t="shared" si="9"/>
        <v>Diesel</v>
      </c>
      <c r="Y8" s="1190" t="str">
        <f t="shared" si="9"/>
        <v>Diesel</v>
      </c>
      <c r="Z8" s="1190" t="str">
        <f t="shared" si="9"/>
        <v>Diesel</v>
      </c>
      <c r="AA8" s="1191" t="str">
        <f t="shared" si="9"/>
        <v>Hydrogen</v>
      </c>
      <c r="AB8" s="1192" t="str">
        <f t="shared" ref="AB8:AG8" si="10">INDEX(TECH_OPT_FUEL1_Cls2,MATCH(AB6,TECH_OPT_ROWS_Cls2,0))</f>
        <v>Diesel</v>
      </c>
      <c r="AC8" s="1190" t="str">
        <f t="shared" si="10"/>
        <v>Diesel</v>
      </c>
      <c r="AD8" s="1190" t="str">
        <f t="shared" si="10"/>
        <v>Diesel</v>
      </c>
      <c r="AE8" s="1190" t="str">
        <f t="shared" si="10"/>
        <v>Diesel</v>
      </c>
      <c r="AF8" s="1190" t="str">
        <f t="shared" si="10"/>
        <v>Electricity</v>
      </c>
      <c r="AG8" s="1191" t="str">
        <f t="shared" si="10"/>
        <v>Hydrogen</v>
      </c>
      <c r="AH8" s="1189" t="str">
        <f t="shared" ref="AH8:AM8" si="11">INDEX(TECH_OPT_FUEL1_Cls3,MATCH(AH6,TECH_OPT_ROWS_Cls3,0))</f>
        <v>Diesel</v>
      </c>
      <c r="AI8" s="1190" t="str">
        <f t="shared" si="11"/>
        <v>Diesel</v>
      </c>
      <c r="AJ8" s="1190" t="str">
        <f t="shared" si="11"/>
        <v>Diesel</v>
      </c>
      <c r="AK8" s="1190" t="str">
        <f t="shared" si="11"/>
        <v>Diesel</v>
      </c>
      <c r="AL8" s="1190" t="str">
        <f t="shared" si="11"/>
        <v>Diesel</v>
      </c>
      <c r="AM8" s="1191" t="str">
        <f t="shared" si="11"/>
        <v>Electricity</v>
      </c>
      <c r="AO8" s="1321" t="s">
        <v>377</v>
      </c>
      <c r="AP8" s="1322" t="s">
        <v>378</v>
      </c>
      <c r="AQ8" s="1323" t="s">
        <v>379</v>
      </c>
      <c r="AR8" s="1338"/>
      <c r="AS8" s="1321" t="s">
        <v>377</v>
      </c>
      <c r="AT8" s="1322" t="s">
        <v>378</v>
      </c>
      <c r="AU8" s="1322" t="s">
        <v>379</v>
      </c>
      <c r="AV8" s="1328" t="s">
        <v>376</v>
      </c>
    </row>
    <row r="9" spans="1:48" s="1178" customFormat="1" ht="15.75" thickTop="1" x14ac:dyDescent="0.25">
      <c r="A9" s="1193">
        <v>2007</v>
      </c>
      <c r="B9" s="1247">
        <f>IF('Mkt Pen Veh-Mi'!B9=0,1,1/((1-Fuel2ShrbyTech!B10)/'Inputs 7&amp;8 Sleep'!$N22+Fuel2ShrbyTech!B10/'Inputs 7&amp;8 Sleep'!$T22))</f>
        <v>5.9278738513698928</v>
      </c>
      <c r="C9" s="1244">
        <f>IF('Mkt Pen Veh-Mi'!C9=0,1,1/((1-Fuel2ShrbyTech!C10)/'Inputs 7&amp;8 Sleep'!$O22+Fuel2ShrbyTech!C10/'Inputs 7&amp;8 Sleep'!$U22))</f>
        <v>1</v>
      </c>
      <c r="D9" s="1244">
        <f>IF('Mkt Pen Veh-Mi'!D9=0,1,1/((1-Fuel2ShrbyTech!D10)/'Inputs 7&amp;8 Sleep'!$P22+Fuel2ShrbyTech!D10/'Inputs 7&amp;8 Sleep'!$V22))</f>
        <v>1</v>
      </c>
      <c r="E9" s="1244">
        <f>IF('Mkt Pen Veh-Mi'!E9=0,1,1/((1-Fuel2ShrbyTech!E10)/'Inputs 7&amp;8 Sleep'!$Q22+Fuel2ShrbyTech!E10/'Inputs 7&amp;8 Sleep'!$W22))</f>
        <v>1</v>
      </c>
      <c r="F9" s="1244">
        <f>IF('Mkt Pen Veh-Mi'!F9=0,1,1/((1-Fuel2ShrbyTech!F10)/'Inputs 7&amp;8 Sleep'!$R22+Fuel2ShrbyTech!F10/'Inputs 7&amp;8 Sleep'!$X22))</f>
        <v>1</v>
      </c>
      <c r="G9" s="1245">
        <f>IF('Mkt Pen Veh-Mi'!G9=0,1,1/((1-Fuel2ShrbyTech!G10)/'Inputs 7&amp;8 Sleep'!$S22+Fuel2ShrbyTech!G10/'Inputs 7&amp;8 Sleep'!$Y22))</f>
        <v>1</v>
      </c>
      <c r="H9" s="1247">
        <f>IF('Mkt Pen Veh-Mi'!H9=0,1,1/((1-Fuel2ShrbyTech!H10)/'Inputs 7&amp;8 Day'!$N22+Fuel2ShrbyTech!H10/'Inputs 7&amp;8 Day'!$T22))</f>
        <v>5.48300341765977</v>
      </c>
      <c r="I9" s="1244">
        <f>IF('Mkt Pen Veh-Mi'!I9=0,1,1/((1-Fuel2ShrbyTech!I10)/'Inputs 7&amp;8 Day'!$O22+Fuel2ShrbyTech!I10/'Inputs 7&amp;8 Day'!$U22))</f>
        <v>1</v>
      </c>
      <c r="J9" s="1244">
        <f>IF('Mkt Pen Veh-Mi'!J9=0,1,1/((1-Fuel2ShrbyTech!J10)/'Inputs 7&amp;8 Day'!$P22+Fuel2ShrbyTech!J10/'Inputs 7&amp;8 Day'!$V22))</f>
        <v>1</v>
      </c>
      <c r="K9" s="1244">
        <f>IF('Mkt Pen Veh-Mi'!K9=0,1,1/((1-Fuel2ShrbyTech!K10)/'Inputs 7&amp;8 Day'!$Q22+Fuel2ShrbyTech!K10/'Inputs 7&amp;8 Day'!$W22))</f>
        <v>1</v>
      </c>
      <c r="L9" s="1244">
        <f>IF('Mkt Pen Veh-Mi'!L9=0,1,1/((1-Fuel2ShrbyTech!L10)/'Inputs 7&amp;8 Day'!$R22+Fuel2ShrbyTech!L10/'Inputs 7&amp;8 Day'!$X22))</f>
        <v>1</v>
      </c>
      <c r="M9" s="1245">
        <f>IF('Mkt Pen Veh-Mi'!M9=0,1,1/((1-Fuel2ShrbyTech!M10)/'Inputs 7&amp;8 Day'!$S22+Fuel2ShrbyTech!M10/'Inputs 7&amp;8 Day'!$Y22))</f>
        <v>1</v>
      </c>
      <c r="N9" s="1247">
        <f>IF('Mkt Pen Veh-Mi'!N9=0,1,1/((1-Fuel2ShrbyTech!N10)/'Inputs 7&amp;8 SU'!$N22+Fuel2ShrbyTech!N10/'Inputs 7&amp;8 SU'!$T22))</f>
        <v>5.8642619111794092</v>
      </c>
      <c r="O9" s="1244">
        <f>IF('Mkt Pen Veh-Mi'!O9=0,1,1/((1-Fuel2ShrbyTech!O10)/'Inputs 7&amp;8 SU'!$O22+Fuel2ShrbyTech!O10/'Inputs 7&amp;8 SU'!$U22))</f>
        <v>1</v>
      </c>
      <c r="P9" s="1244">
        <f>IF('Mkt Pen Veh-Mi'!P9=0,1,1/((1-Fuel2ShrbyTech!P10)/'Inputs 7&amp;8 SU'!$P22+Fuel2ShrbyTech!P10/'Inputs 7&amp;8 SU'!$V22))</f>
        <v>1</v>
      </c>
      <c r="Q9" s="1244">
        <f>IF('Mkt Pen Veh-Mi'!Q9=0,1,1/((1-Fuel2ShrbyTech!Q10)/'Inputs 7&amp;8 SU'!$Q22+Fuel2ShrbyTech!Q10/'Inputs 7&amp;8 SU'!$W22))</f>
        <v>1</v>
      </c>
      <c r="R9" s="1244">
        <f>IF('Mkt Pen Veh-Mi'!R9=0,1,1/((1-Fuel2ShrbyTech!R10)/'Inputs 7&amp;8 SU'!$R22+Fuel2ShrbyTech!R10/'Inputs 7&amp;8 SU'!$X22))</f>
        <v>1</v>
      </c>
      <c r="S9" s="1246">
        <f>IF('Mkt Pen Veh-Mi'!S9=0,1,1/((1-Fuel2ShrbyTech!S10)/'Inputs 7&amp;8 SU'!$S22+Fuel2ShrbyTech!S10/'Inputs 7&amp;8 SU'!$Y22))</f>
        <v>1</v>
      </c>
      <c r="U9" s="1193">
        <f>A9</f>
        <v>2007</v>
      </c>
      <c r="V9" s="1247">
        <f>IF(B9=1,0,B9)</f>
        <v>5.9278738513698928</v>
      </c>
      <c r="W9" s="1244">
        <f t="shared" ref="W9:AM9" si="12">IF(C9=1,0,C9)</f>
        <v>0</v>
      </c>
      <c r="X9" s="1244">
        <f t="shared" si="12"/>
        <v>0</v>
      </c>
      <c r="Y9" s="1244">
        <f t="shared" si="12"/>
        <v>0</v>
      </c>
      <c r="Z9" s="1244">
        <f t="shared" si="12"/>
        <v>0</v>
      </c>
      <c r="AA9" s="1245">
        <f t="shared" si="12"/>
        <v>0</v>
      </c>
      <c r="AB9" s="1247">
        <f t="shared" si="12"/>
        <v>5.48300341765977</v>
      </c>
      <c r="AC9" s="1244">
        <f t="shared" si="12"/>
        <v>0</v>
      </c>
      <c r="AD9" s="1244">
        <f t="shared" si="12"/>
        <v>0</v>
      </c>
      <c r="AE9" s="1244">
        <f t="shared" si="12"/>
        <v>0</v>
      </c>
      <c r="AF9" s="1244">
        <f t="shared" si="12"/>
        <v>0</v>
      </c>
      <c r="AG9" s="1245">
        <f t="shared" si="12"/>
        <v>0</v>
      </c>
      <c r="AH9" s="1247">
        <f t="shared" si="12"/>
        <v>5.8642619111794092</v>
      </c>
      <c r="AI9" s="1244">
        <f t="shared" si="12"/>
        <v>0</v>
      </c>
      <c r="AJ9" s="1244">
        <f t="shared" si="12"/>
        <v>0</v>
      </c>
      <c r="AK9" s="1244">
        <f t="shared" si="12"/>
        <v>0</v>
      </c>
      <c r="AL9" s="1244">
        <f t="shared" si="12"/>
        <v>0</v>
      </c>
      <c r="AM9" s="1246">
        <f t="shared" si="12"/>
        <v>0</v>
      </c>
      <c r="AN9" s="1178">
        <v>2007</v>
      </c>
      <c r="AO9" s="1324">
        <f t="array" ref="AO9">1/SUMPRODUCT(IFERROR(1/V9:AA9,0),'Mkt Pen Veh-Mi'!B9:G9)</f>
        <v>5.9278738513698928</v>
      </c>
      <c r="AP9" s="1325">
        <f t="array" ref="AP9">1/SUMPRODUCT(IFERROR(1/AB9:AG9,0),'Mkt Pen Veh-Mi'!H9:M9)</f>
        <v>5.48300341765977</v>
      </c>
      <c r="AQ9" s="1329">
        <f t="array" ref="AQ9">1/SUMPRODUCT(IFERROR(1/AH9:AM9,0),'Mkt Pen Veh-Mi'!N9:S9)</f>
        <v>5.8642619111794092</v>
      </c>
      <c r="AR9" s="1322">
        <v>2007</v>
      </c>
      <c r="AS9" s="1324">
        <f>AO9/V9</f>
        <v>1</v>
      </c>
      <c r="AT9" s="1325">
        <f>AP9/AB9</f>
        <v>1</v>
      </c>
      <c r="AU9" s="1325">
        <f>AQ9/AH9</f>
        <v>1</v>
      </c>
      <c r="AV9" s="1329">
        <v>1</v>
      </c>
    </row>
    <row r="10" spans="1:48" s="1178" customFormat="1" ht="15" x14ac:dyDescent="0.25">
      <c r="A10" s="1193">
        <v>2008</v>
      </c>
      <c r="B10" s="1247">
        <f>IF('Mkt Pen Veh-Mi'!B10=0,1,1/((1-Fuel2ShrbyTech!B11)/'Inputs 7&amp;8 Sleep'!$N23+Fuel2ShrbyTech!B11/'Inputs 7&amp;8 Sleep'!$T23))</f>
        <v>5.9278738513698928</v>
      </c>
      <c r="C10" s="1248">
        <f>IF('Mkt Pen Veh-Mi'!C10=0,1,1/((1-Fuel2ShrbyTech!C11)/'Inputs 7&amp;8 Sleep'!$O23+Fuel2ShrbyTech!C11/'Inputs 7&amp;8 Sleep'!$U23))</f>
        <v>1</v>
      </c>
      <c r="D10" s="1248">
        <f>IF('Mkt Pen Veh-Mi'!D10=0,1,1/((1-Fuel2ShrbyTech!D11)/'Inputs 7&amp;8 Sleep'!$P23+Fuel2ShrbyTech!D11/'Inputs 7&amp;8 Sleep'!$V23))</f>
        <v>1</v>
      </c>
      <c r="E10" s="1248">
        <f>IF('Mkt Pen Veh-Mi'!E10=0,1,1/((1-Fuel2ShrbyTech!E11)/'Inputs 7&amp;8 Sleep'!$Q23+Fuel2ShrbyTech!E11/'Inputs 7&amp;8 Sleep'!$W23))</f>
        <v>1</v>
      </c>
      <c r="F10" s="1248">
        <f>IF('Mkt Pen Veh-Mi'!F10=0,1,1/((1-Fuel2ShrbyTech!F11)/'Inputs 7&amp;8 Sleep'!$R23+Fuel2ShrbyTech!F11/'Inputs 7&amp;8 Sleep'!$X23))</f>
        <v>1</v>
      </c>
      <c r="G10" s="1249">
        <f>IF('Mkt Pen Veh-Mi'!G10=0,1,1/((1-Fuel2ShrbyTech!G11)/'Inputs 7&amp;8 Sleep'!$S23+Fuel2ShrbyTech!G11/'Inputs 7&amp;8 Sleep'!$Y23))</f>
        <v>1</v>
      </c>
      <c r="H10" s="1247">
        <f>IF('Mkt Pen Veh-Mi'!H10=0,1,1/((1-Fuel2ShrbyTech!H11)/'Inputs 7&amp;8 Day'!$N23+Fuel2ShrbyTech!H11/'Inputs 7&amp;8 Day'!$T23))</f>
        <v>5.48300341765977</v>
      </c>
      <c r="I10" s="1248">
        <f>IF('Mkt Pen Veh-Mi'!I10=0,1,1/((1-Fuel2ShrbyTech!I11)/'Inputs 7&amp;8 Day'!$O23+Fuel2ShrbyTech!I11/'Inputs 7&amp;8 Day'!$U23))</f>
        <v>1</v>
      </c>
      <c r="J10" s="1248">
        <f>IF('Mkt Pen Veh-Mi'!J10=0,1,1/((1-Fuel2ShrbyTech!J11)/'Inputs 7&amp;8 Day'!$P23+Fuel2ShrbyTech!J11/'Inputs 7&amp;8 Day'!$V23))</f>
        <v>1</v>
      </c>
      <c r="K10" s="1248">
        <f>IF('Mkt Pen Veh-Mi'!K10=0,1,1/((1-Fuel2ShrbyTech!K11)/'Inputs 7&amp;8 Day'!$Q23+Fuel2ShrbyTech!K11/'Inputs 7&amp;8 Day'!$W23))</f>
        <v>1</v>
      </c>
      <c r="L10" s="1248">
        <f>IF('Mkt Pen Veh-Mi'!L10=0,1,1/((1-Fuel2ShrbyTech!L11)/'Inputs 7&amp;8 Day'!$R23+Fuel2ShrbyTech!L11/'Inputs 7&amp;8 Day'!$X23))</f>
        <v>1</v>
      </c>
      <c r="M10" s="1249">
        <f>IF('Mkt Pen Veh-Mi'!M10=0,1,1/((1-Fuel2ShrbyTech!M11)/'Inputs 7&amp;8 Day'!$S23+Fuel2ShrbyTech!M11/'Inputs 7&amp;8 Day'!$Y23))</f>
        <v>1</v>
      </c>
      <c r="N10" s="1247">
        <f>IF('Mkt Pen Veh-Mi'!N10=0,1,1/((1-Fuel2ShrbyTech!N11)/'Inputs 7&amp;8 SU'!$N23+Fuel2ShrbyTech!N11/'Inputs 7&amp;8 SU'!$T23))</f>
        <v>5.8642619111794092</v>
      </c>
      <c r="O10" s="1248">
        <f>IF('Mkt Pen Veh-Mi'!O10=0,1,1/((1-Fuel2ShrbyTech!O11)/'Inputs 7&amp;8 SU'!$O23+Fuel2ShrbyTech!O11/'Inputs 7&amp;8 SU'!$U23))</f>
        <v>1</v>
      </c>
      <c r="P10" s="1248">
        <f>IF('Mkt Pen Veh-Mi'!P10=0,1,1/((1-Fuel2ShrbyTech!P11)/'Inputs 7&amp;8 SU'!$P23+Fuel2ShrbyTech!P11/'Inputs 7&amp;8 SU'!$V23))</f>
        <v>1</v>
      </c>
      <c r="Q10" s="1248">
        <f>IF('Mkt Pen Veh-Mi'!Q10=0,1,1/((1-Fuel2ShrbyTech!Q11)/'Inputs 7&amp;8 SU'!$Q23+Fuel2ShrbyTech!Q11/'Inputs 7&amp;8 SU'!$W23))</f>
        <v>1</v>
      </c>
      <c r="R10" s="1248">
        <f>IF('Mkt Pen Veh-Mi'!R10=0,1,1/((1-Fuel2ShrbyTech!R11)/'Inputs 7&amp;8 SU'!$R23+Fuel2ShrbyTech!R11/'Inputs 7&amp;8 SU'!$X23))</f>
        <v>1</v>
      </c>
      <c r="S10" s="1249">
        <f>IF('Mkt Pen Veh-Mi'!S10=0,1,1/((1-Fuel2ShrbyTech!S11)/'Inputs 7&amp;8 SU'!$S23+Fuel2ShrbyTech!S11/'Inputs 7&amp;8 SU'!$Y23))</f>
        <v>1</v>
      </c>
      <c r="U10" s="1193">
        <f t="shared" ref="U10:U52" si="13">A10</f>
        <v>2008</v>
      </c>
      <c r="V10" s="1247">
        <f t="shared" ref="V10:V52" si="14">IF(B10=1,0,B10)</f>
        <v>5.9278738513698928</v>
      </c>
      <c r="W10" s="1248">
        <f t="shared" ref="W10:W52" si="15">IF(C10=1,0,C10)</f>
        <v>0</v>
      </c>
      <c r="X10" s="1248">
        <f t="shared" ref="X10:X52" si="16">IF(D10=1,0,D10)</f>
        <v>0</v>
      </c>
      <c r="Y10" s="1248">
        <f t="shared" ref="Y10:Y52" si="17">IF(E10=1,0,E10)</f>
        <v>0</v>
      </c>
      <c r="Z10" s="1248">
        <f t="shared" ref="Z10:Z52" si="18">IF(F10=1,0,F10)</f>
        <v>0</v>
      </c>
      <c r="AA10" s="1249">
        <f t="shared" ref="AA10:AA52" si="19">IF(G10=1,0,G10)</f>
        <v>0</v>
      </c>
      <c r="AB10" s="1247">
        <f t="shared" ref="AB10:AB52" si="20">IF(H10=1,0,H10)</f>
        <v>5.48300341765977</v>
      </c>
      <c r="AC10" s="1248">
        <f t="shared" ref="AC10:AC52" si="21">IF(I10=1,0,I10)</f>
        <v>0</v>
      </c>
      <c r="AD10" s="1248">
        <f t="shared" ref="AD10:AD52" si="22">IF(J10=1,0,J10)</f>
        <v>0</v>
      </c>
      <c r="AE10" s="1248">
        <f t="shared" ref="AE10:AE52" si="23">IF(K10=1,0,K10)</f>
        <v>0</v>
      </c>
      <c r="AF10" s="1248">
        <f t="shared" ref="AF10:AF52" si="24">IF(L10=1,0,L10)</f>
        <v>0</v>
      </c>
      <c r="AG10" s="1249">
        <f t="shared" ref="AG10:AG52" si="25">IF(M10=1,0,M10)</f>
        <v>0</v>
      </c>
      <c r="AH10" s="1247">
        <f t="shared" ref="AH10:AH52" si="26">IF(N10=1,0,N10)</f>
        <v>5.8642619111794092</v>
      </c>
      <c r="AI10" s="1248">
        <f t="shared" ref="AI10:AI52" si="27">IF(O10=1,0,O10)</f>
        <v>0</v>
      </c>
      <c r="AJ10" s="1248">
        <f t="shared" ref="AJ10:AJ52" si="28">IF(P10=1,0,P10)</f>
        <v>0</v>
      </c>
      <c r="AK10" s="1248">
        <f t="shared" ref="AK10:AK52" si="29">IF(Q10=1,0,Q10)</f>
        <v>0</v>
      </c>
      <c r="AL10" s="1248">
        <f t="shared" ref="AL10:AL52" si="30">IF(R10=1,0,R10)</f>
        <v>0</v>
      </c>
      <c r="AM10" s="1249">
        <f t="shared" ref="AM10:AM52" si="31">IF(S10=1,0,S10)</f>
        <v>0</v>
      </c>
      <c r="AN10" s="1178">
        <v>2008</v>
      </c>
      <c r="AO10" s="1324">
        <f t="array" ref="AO10">1/SUMPRODUCT(IFERROR(1/V10:AA10,0),'Mkt Pen Veh-Mi'!B10:G10)</f>
        <v>5.9278738513698928</v>
      </c>
      <c r="AP10" s="1325">
        <f t="array" ref="AP10">1/SUMPRODUCT(IFERROR(1/AB10:AG10,0),'Mkt Pen Veh-Mi'!H10:M10)</f>
        <v>5.48300341765977</v>
      </c>
      <c r="AQ10" s="1329">
        <f t="array" ref="AQ10">1/SUMPRODUCT(IFERROR(1/AH10:AM10,0),'Mkt Pen Veh-Mi'!N10:S10)</f>
        <v>5.8642619111794092</v>
      </c>
      <c r="AR10" s="1322">
        <v>2008</v>
      </c>
      <c r="AS10" s="1324">
        <f t="shared" ref="AS10:AS52" si="32">AO10/V10</f>
        <v>1</v>
      </c>
      <c r="AT10" s="1325">
        <f t="shared" ref="AT10:AT52" si="33">AP10/AB10</f>
        <v>1</v>
      </c>
      <c r="AU10" s="1325">
        <f t="shared" ref="AU10:AU52" si="34">AQ10/AH10</f>
        <v>1</v>
      </c>
      <c r="AV10" s="1329">
        <v>1</v>
      </c>
    </row>
    <row r="11" spans="1:48" s="1178" customFormat="1" ht="15" x14ac:dyDescent="0.25">
      <c r="A11" s="1193">
        <v>2009</v>
      </c>
      <c r="B11" s="1247">
        <f>IF('Mkt Pen Veh-Mi'!B11=0,1,1/((1-Fuel2ShrbyTech!B12)/'Inputs 7&amp;8 Sleep'!$N24+Fuel2ShrbyTech!B12/'Inputs 7&amp;8 Sleep'!$T24))</f>
        <v>5.9278738513698928</v>
      </c>
      <c r="C11" s="1248">
        <f>IF('Mkt Pen Veh-Mi'!C11=0,1,1/((1-Fuel2ShrbyTech!C12)/'Inputs 7&amp;8 Sleep'!$O24+Fuel2ShrbyTech!C12/'Inputs 7&amp;8 Sleep'!$U24))</f>
        <v>1</v>
      </c>
      <c r="D11" s="1248">
        <f>IF('Mkt Pen Veh-Mi'!D11=0,1,1/((1-Fuel2ShrbyTech!D12)/'Inputs 7&amp;8 Sleep'!$P24+Fuel2ShrbyTech!D12/'Inputs 7&amp;8 Sleep'!$V24))</f>
        <v>1</v>
      </c>
      <c r="E11" s="1248">
        <f>IF('Mkt Pen Veh-Mi'!E11=0,1,1/((1-Fuel2ShrbyTech!E12)/'Inputs 7&amp;8 Sleep'!$Q24+Fuel2ShrbyTech!E12/'Inputs 7&amp;8 Sleep'!$W24))</f>
        <v>1</v>
      </c>
      <c r="F11" s="1248">
        <f>IF('Mkt Pen Veh-Mi'!F11=0,1,1/((1-Fuel2ShrbyTech!F12)/'Inputs 7&amp;8 Sleep'!$R24+Fuel2ShrbyTech!F12/'Inputs 7&amp;8 Sleep'!$X24))</f>
        <v>1</v>
      </c>
      <c r="G11" s="1249">
        <f>IF('Mkt Pen Veh-Mi'!G11=0,1,1/((1-Fuel2ShrbyTech!G12)/'Inputs 7&amp;8 Sleep'!$S24+Fuel2ShrbyTech!G12/'Inputs 7&amp;8 Sleep'!$Y24))</f>
        <v>1</v>
      </c>
      <c r="H11" s="1247">
        <f>IF('Mkt Pen Veh-Mi'!H11=0,1,1/((1-Fuel2ShrbyTech!H12)/'Inputs 7&amp;8 Day'!$N24+Fuel2ShrbyTech!H12/'Inputs 7&amp;8 Day'!$T24))</f>
        <v>5.48300341765977</v>
      </c>
      <c r="I11" s="1248">
        <f>IF('Mkt Pen Veh-Mi'!I11=0,1,1/((1-Fuel2ShrbyTech!I12)/'Inputs 7&amp;8 Day'!$O24+Fuel2ShrbyTech!I12/'Inputs 7&amp;8 Day'!$U24))</f>
        <v>1</v>
      </c>
      <c r="J11" s="1248">
        <f>IF('Mkt Pen Veh-Mi'!J11=0,1,1/((1-Fuel2ShrbyTech!J12)/'Inputs 7&amp;8 Day'!$P24+Fuel2ShrbyTech!J12/'Inputs 7&amp;8 Day'!$V24))</f>
        <v>1</v>
      </c>
      <c r="K11" s="1248">
        <f>IF('Mkt Pen Veh-Mi'!K11=0,1,1/((1-Fuel2ShrbyTech!K12)/'Inputs 7&amp;8 Day'!$Q24+Fuel2ShrbyTech!K12/'Inputs 7&amp;8 Day'!$W24))</f>
        <v>1</v>
      </c>
      <c r="L11" s="1248">
        <f>IF('Mkt Pen Veh-Mi'!L11=0,1,1/((1-Fuel2ShrbyTech!L12)/'Inputs 7&amp;8 Day'!$R24+Fuel2ShrbyTech!L12/'Inputs 7&amp;8 Day'!$X24))</f>
        <v>1</v>
      </c>
      <c r="M11" s="1249">
        <f>IF('Mkt Pen Veh-Mi'!M11=0,1,1/((1-Fuel2ShrbyTech!M12)/'Inputs 7&amp;8 Day'!$S24+Fuel2ShrbyTech!M12/'Inputs 7&amp;8 Day'!$Y24))</f>
        <v>1</v>
      </c>
      <c r="N11" s="1247">
        <f>IF('Mkt Pen Veh-Mi'!N11=0,1,1/((1-Fuel2ShrbyTech!N12)/'Inputs 7&amp;8 SU'!$N24+Fuel2ShrbyTech!N12/'Inputs 7&amp;8 SU'!$T24))</f>
        <v>5.8642619111794092</v>
      </c>
      <c r="O11" s="1248">
        <f>IF('Mkt Pen Veh-Mi'!O11=0,1,1/((1-Fuel2ShrbyTech!O12)/'Inputs 7&amp;8 SU'!$O24+Fuel2ShrbyTech!O12/'Inputs 7&amp;8 SU'!$U24))</f>
        <v>1</v>
      </c>
      <c r="P11" s="1248">
        <f>IF('Mkt Pen Veh-Mi'!P11=0,1,1/((1-Fuel2ShrbyTech!P12)/'Inputs 7&amp;8 SU'!$P24+Fuel2ShrbyTech!P12/'Inputs 7&amp;8 SU'!$V24))</f>
        <v>1</v>
      </c>
      <c r="Q11" s="1248">
        <f>IF('Mkt Pen Veh-Mi'!Q11=0,1,1/((1-Fuel2ShrbyTech!Q12)/'Inputs 7&amp;8 SU'!$Q24+Fuel2ShrbyTech!Q12/'Inputs 7&amp;8 SU'!$W24))</f>
        <v>1</v>
      </c>
      <c r="R11" s="1248">
        <f>IF('Mkt Pen Veh-Mi'!R11=0,1,1/((1-Fuel2ShrbyTech!R12)/'Inputs 7&amp;8 SU'!$R24+Fuel2ShrbyTech!R12/'Inputs 7&amp;8 SU'!$X24))</f>
        <v>1</v>
      </c>
      <c r="S11" s="1249">
        <f>IF('Mkt Pen Veh-Mi'!S11=0,1,1/((1-Fuel2ShrbyTech!S12)/'Inputs 7&amp;8 SU'!$S24+Fuel2ShrbyTech!S12/'Inputs 7&amp;8 SU'!$Y24))</f>
        <v>1</v>
      </c>
      <c r="U11" s="1193">
        <f t="shared" si="13"/>
        <v>2009</v>
      </c>
      <c r="V11" s="1247">
        <f t="shared" si="14"/>
        <v>5.9278738513698928</v>
      </c>
      <c r="W11" s="1248">
        <f t="shared" si="15"/>
        <v>0</v>
      </c>
      <c r="X11" s="1248">
        <f t="shared" si="16"/>
        <v>0</v>
      </c>
      <c r="Y11" s="1248">
        <f t="shared" si="17"/>
        <v>0</v>
      </c>
      <c r="Z11" s="1248">
        <f t="shared" si="18"/>
        <v>0</v>
      </c>
      <c r="AA11" s="1249">
        <f t="shared" si="19"/>
        <v>0</v>
      </c>
      <c r="AB11" s="1247">
        <f t="shared" si="20"/>
        <v>5.48300341765977</v>
      </c>
      <c r="AC11" s="1248">
        <f t="shared" si="21"/>
        <v>0</v>
      </c>
      <c r="AD11" s="1248">
        <f t="shared" si="22"/>
        <v>0</v>
      </c>
      <c r="AE11" s="1248">
        <f t="shared" si="23"/>
        <v>0</v>
      </c>
      <c r="AF11" s="1248">
        <f t="shared" si="24"/>
        <v>0</v>
      </c>
      <c r="AG11" s="1249">
        <f t="shared" si="25"/>
        <v>0</v>
      </c>
      <c r="AH11" s="1247">
        <f t="shared" si="26"/>
        <v>5.8642619111794092</v>
      </c>
      <c r="AI11" s="1248">
        <f t="shared" si="27"/>
        <v>0</v>
      </c>
      <c r="AJ11" s="1248">
        <f t="shared" si="28"/>
        <v>0</v>
      </c>
      <c r="AK11" s="1248">
        <f t="shared" si="29"/>
        <v>0</v>
      </c>
      <c r="AL11" s="1248">
        <f t="shared" si="30"/>
        <v>0</v>
      </c>
      <c r="AM11" s="1249">
        <f t="shared" si="31"/>
        <v>0</v>
      </c>
      <c r="AN11" s="1178">
        <v>2009</v>
      </c>
      <c r="AO11" s="1324">
        <f t="array" ref="AO11">1/SUMPRODUCT(IFERROR(1/V11:AA11,0),'Mkt Pen Veh-Mi'!B11:G11)</f>
        <v>5.9278738513698928</v>
      </c>
      <c r="AP11" s="1325">
        <f t="array" ref="AP11">1/SUMPRODUCT(IFERROR(1/AB11:AG11,0),'Mkt Pen Veh-Mi'!H11:M11)</f>
        <v>5.48300341765977</v>
      </c>
      <c r="AQ11" s="1329">
        <f t="array" ref="AQ11">1/SUMPRODUCT(IFERROR(1/AH11:AM11,0),'Mkt Pen Veh-Mi'!N11:S11)</f>
        <v>5.8642619111794092</v>
      </c>
      <c r="AR11" s="1322">
        <v>2009</v>
      </c>
      <c r="AS11" s="1324">
        <f t="shared" si="32"/>
        <v>1</v>
      </c>
      <c r="AT11" s="1325">
        <f t="shared" si="33"/>
        <v>1</v>
      </c>
      <c r="AU11" s="1325">
        <f t="shared" si="34"/>
        <v>1</v>
      </c>
      <c r="AV11" s="1329">
        <v>1</v>
      </c>
    </row>
    <row r="12" spans="1:48" s="1178" customFormat="1" ht="15" x14ac:dyDescent="0.25">
      <c r="A12" s="1199">
        <v>2010</v>
      </c>
      <c r="B12" s="1250">
        <f>IF('Mkt Pen Veh-Mi'!B12=0,1,1/((1-Fuel2ShrbyTech!B13)/'Inputs 7&amp;8 Sleep'!$N25+Fuel2ShrbyTech!B13/'Inputs 7&amp;8 Sleep'!$T25))</f>
        <v>5.9275040782864687</v>
      </c>
      <c r="C12" s="1251">
        <f>IF('Mkt Pen Veh-Mi'!C12=0,1,1/((1-Fuel2ShrbyTech!C13)/'Inputs 7&amp;8 Sleep'!$O25+Fuel2ShrbyTech!C13/'Inputs 7&amp;8 Sleep'!$U25))</f>
        <v>1</v>
      </c>
      <c r="D12" s="1251">
        <f>IF('Mkt Pen Veh-Mi'!D12=0,1,1/((1-Fuel2ShrbyTech!D13)/'Inputs 7&amp;8 Sleep'!$P25+Fuel2ShrbyTech!D13/'Inputs 7&amp;8 Sleep'!$V25))</f>
        <v>1</v>
      </c>
      <c r="E12" s="1251">
        <f>IF('Mkt Pen Veh-Mi'!E12=0,1,1/((1-Fuel2ShrbyTech!E13)/'Inputs 7&amp;8 Sleep'!$Q25+Fuel2ShrbyTech!E13/'Inputs 7&amp;8 Sleep'!$W25))</f>
        <v>1</v>
      </c>
      <c r="F12" s="1251">
        <f>IF('Mkt Pen Veh-Mi'!F12=0,1,1/((1-Fuel2ShrbyTech!F13)/'Inputs 7&amp;8 Sleep'!$R25+Fuel2ShrbyTech!F13/'Inputs 7&amp;8 Sleep'!$X25))</f>
        <v>1</v>
      </c>
      <c r="G12" s="1252">
        <f>IF('Mkt Pen Veh-Mi'!G12=0,1,1/((1-Fuel2ShrbyTech!G13)/'Inputs 7&amp;8 Sleep'!$S25+Fuel2ShrbyTech!G13/'Inputs 7&amp;8 Sleep'!$Y25))</f>
        <v>1</v>
      </c>
      <c r="H12" s="1250">
        <f>IF('Mkt Pen Veh-Mi'!H12=0,1,1/((1-Fuel2ShrbyTech!H13)/'Inputs 7&amp;8 Day'!$N25+Fuel2ShrbyTech!H13/'Inputs 7&amp;8 Day'!$T25))</f>
        <v>5.5209184022550879</v>
      </c>
      <c r="I12" s="1251">
        <f>IF('Mkt Pen Veh-Mi'!I12=0,1,1/((1-Fuel2ShrbyTech!I13)/'Inputs 7&amp;8 Day'!$O25+Fuel2ShrbyTech!I13/'Inputs 7&amp;8 Day'!$U25))</f>
        <v>1</v>
      </c>
      <c r="J12" s="1251">
        <f>IF('Mkt Pen Veh-Mi'!J12=0,1,1/((1-Fuel2ShrbyTech!J13)/'Inputs 7&amp;8 Day'!$P25+Fuel2ShrbyTech!J13/'Inputs 7&amp;8 Day'!$V25))</f>
        <v>1</v>
      </c>
      <c r="K12" s="1251">
        <f>IF('Mkt Pen Veh-Mi'!K12=0,1,1/((1-Fuel2ShrbyTech!K13)/'Inputs 7&amp;8 Day'!$Q25+Fuel2ShrbyTech!K13/'Inputs 7&amp;8 Day'!$W25))</f>
        <v>1</v>
      </c>
      <c r="L12" s="1251">
        <f>IF('Mkt Pen Veh-Mi'!L12=0,1,1/((1-Fuel2ShrbyTech!L13)/'Inputs 7&amp;8 Day'!$R25+Fuel2ShrbyTech!L13/'Inputs 7&amp;8 Day'!$X25))</f>
        <v>1</v>
      </c>
      <c r="M12" s="1252">
        <f>IF('Mkt Pen Veh-Mi'!M12=0,1,1/((1-Fuel2ShrbyTech!M13)/'Inputs 7&amp;8 Day'!$S25+Fuel2ShrbyTech!M13/'Inputs 7&amp;8 Day'!$Y25))</f>
        <v>1</v>
      </c>
      <c r="N12" s="1250">
        <f>IF('Mkt Pen Veh-Mi'!N12=0,1,1/((1-Fuel2ShrbyTech!N13)/'Inputs 7&amp;8 SU'!$N25+Fuel2ShrbyTech!N13/'Inputs 7&amp;8 SU'!$T25))</f>
        <v>6.0528670437085221</v>
      </c>
      <c r="O12" s="1251">
        <f>IF('Mkt Pen Veh-Mi'!O12=0,1,1/((1-Fuel2ShrbyTech!O13)/'Inputs 7&amp;8 SU'!$O25+Fuel2ShrbyTech!O13/'Inputs 7&amp;8 SU'!$U25))</f>
        <v>1</v>
      </c>
      <c r="P12" s="1251">
        <f>IF('Mkt Pen Veh-Mi'!P12=0,1,1/((1-Fuel2ShrbyTech!P13)/'Inputs 7&amp;8 SU'!$P25+Fuel2ShrbyTech!P13/'Inputs 7&amp;8 SU'!$V25))</f>
        <v>1</v>
      </c>
      <c r="Q12" s="1251">
        <f>IF('Mkt Pen Veh-Mi'!Q12=0,1,1/((1-Fuel2ShrbyTech!Q13)/'Inputs 7&amp;8 SU'!$Q25+Fuel2ShrbyTech!Q13/'Inputs 7&amp;8 SU'!$W25))</f>
        <v>1</v>
      </c>
      <c r="R12" s="1251">
        <f>IF('Mkt Pen Veh-Mi'!R12=0,1,1/((1-Fuel2ShrbyTech!R13)/'Inputs 7&amp;8 SU'!$R25+Fuel2ShrbyTech!R13/'Inputs 7&amp;8 SU'!$X25))</f>
        <v>1</v>
      </c>
      <c r="S12" s="1252">
        <f>IF('Mkt Pen Veh-Mi'!S12=0,1,1/((1-Fuel2ShrbyTech!S13)/'Inputs 7&amp;8 SU'!$S25+Fuel2ShrbyTech!S13/'Inputs 7&amp;8 SU'!$Y25))</f>
        <v>1</v>
      </c>
      <c r="U12" s="1199">
        <f t="shared" si="13"/>
        <v>2010</v>
      </c>
      <c r="V12" s="1250">
        <f t="shared" si="14"/>
        <v>5.9275040782864687</v>
      </c>
      <c r="W12" s="1251">
        <f t="shared" si="15"/>
        <v>0</v>
      </c>
      <c r="X12" s="1251">
        <f t="shared" si="16"/>
        <v>0</v>
      </c>
      <c r="Y12" s="1251">
        <f t="shared" si="17"/>
        <v>0</v>
      </c>
      <c r="Z12" s="1251">
        <f t="shared" si="18"/>
        <v>0</v>
      </c>
      <c r="AA12" s="1252">
        <f t="shared" si="19"/>
        <v>0</v>
      </c>
      <c r="AB12" s="1250">
        <f t="shared" si="20"/>
        <v>5.5209184022550879</v>
      </c>
      <c r="AC12" s="1251">
        <f t="shared" si="21"/>
        <v>0</v>
      </c>
      <c r="AD12" s="1251">
        <f t="shared" si="22"/>
        <v>0</v>
      </c>
      <c r="AE12" s="1251">
        <f t="shared" si="23"/>
        <v>0</v>
      </c>
      <c r="AF12" s="1251">
        <f t="shared" si="24"/>
        <v>0</v>
      </c>
      <c r="AG12" s="1252">
        <f t="shared" si="25"/>
        <v>0</v>
      </c>
      <c r="AH12" s="1250">
        <f t="shared" si="26"/>
        <v>6.0528670437085221</v>
      </c>
      <c r="AI12" s="1251">
        <f t="shared" si="27"/>
        <v>0</v>
      </c>
      <c r="AJ12" s="1251">
        <f t="shared" si="28"/>
        <v>0</v>
      </c>
      <c r="AK12" s="1251">
        <f t="shared" si="29"/>
        <v>0</v>
      </c>
      <c r="AL12" s="1251">
        <f t="shared" si="30"/>
        <v>0</v>
      </c>
      <c r="AM12" s="1252">
        <f t="shared" si="31"/>
        <v>0</v>
      </c>
      <c r="AN12" s="1178">
        <v>2010</v>
      </c>
      <c r="AO12" s="1324">
        <f t="array" ref="AO12">1/SUMPRODUCT(IFERROR(1/V12:AA12,0),'Mkt Pen Veh-Mi'!B12:G12)</f>
        <v>5.9275040782864687</v>
      </c>
      <c r="AP12" s="1325">
        <f t="array" ref="AP12">1/SUMPRODUCT(IFERROR(1/AB12:AG12,0),'Mkt Pen Veh-Mi'!H12:M12)</f>
        <v>5.5209184022550879</v>
      </c>
      <c r="AQ12" s="1329">
        <f t="array" ref="AQ12">1/SUMPRODUCT(IFERROR(1/AH12:AM12,0),'Mkt Pen Veh-Mi'!N12:S12)</f>
        <v>6.0528670437085221</v>
      </c>
      <c r="AR12" s="1322">
        <v>2010</v>
      </c>
      <c r="AS12" s="1324">
        <f t="shared" si="32"/>
        <v>1</v>
      </c>
      <c r="AT12" s="1325">
        <f t="shared" si="33"/>
        <v>1</v>
      </c>
      <c r="AU12" s="1325">
        <f t="shared" si="34"/>
        <v>1</v>
      </c>
      <c r="AV12" s="1329">
        <v>1</v>
      </c>
    </row>
    <row r="13" spans="1:48" s="1178" customFormat="1" ht="15" x14ac:dyDescent="0.25">
      <c r="A13" s="1193">
        <v>2011</v>
      </c>
      <c r="B13" s="1253">
        <f>IF('Mkt Pen Veh-Mi'!B13=0,1,1/((1-Fuel2ShrbyTech!B14)/'Inputs 7&amp;8 Sleep'!$N26+Fuel2ShrbyTech!B14/'Inputs 7&amp;8 Sleep'!$T26))</f>
        <v>6.0448469218850382</v>
      </c>
      <c r="C13" s="1254">
        <f>IF('Mkt Pen Veh-Mi'!C13=0,1,1/((1-Fuel2ShrbyTech!C14)/'Inputs 7&amp;8 Sleep'!$O26+Fuel2ShrbyTech!C14/'Inputs 7&amp;8 Sleep'!$U26))</f>
        <v>1</v>
      </c>
      <c r="D13" s="1254">
        <f>IF('Mkt Pen Veh-Mi'!D13=0,1,1/((1-Fuel2ShrbyTech!D14)/'Inputs 7&amp;8 Sleep'!$P26+Fuel2ShrbyTech!D14/'Inputs 7&amp;8 Sleep'!$V26))</f>
        <v>1</v>
      </c>
      <c r="E13" s="1254">
        <f>IF('Mkt Pen Veh-Mi'!E13=0,1,1/((1-Fuel2ShrbyTech!E14)/'Inputs 7&amp;8 Sleep'!$Q26+Fuel2ShrbyTech!E14/'Inputs 7&amp;8 Sleep'!$W26))</f>
        <v>1</v>
      </c>
      <c r="F13" s="1254">
        <f>IF('Mkt Pen Veh-Mi'!F13=0,1,1/((1-Fuel2ShrbyTech!F14)/'Inputs 7&amp;8 Sleep'!$R26+Fuel2ShrbyTech!F14/'Inputs 7&amp;8 Sleep'!$X26))</f>
        <v>1</v>
      </c>
      <c r="G13" s="1255">
        <f>IF('Mkt Pen Veh-Mi'!G13=0,1,1/((1-Fuel2ShrbyTech!G14)/'Inputs 7&amp;8 Sleep'!$S26+Fuel2ShrbyTech!G14/'Inputs 7&amp;8 Sleep'!$Y26))</f>
        <v>1</v>
      </c>
      <c r="H13" s="1253">
        <f>IF('Mkt Pen Veh-Mi'!H13=0,1,1/((1-Fuel2ShrbyTech!H14)/'Inputs 7&amp;8 Day'!$N26+Fuel2ShrbyTech!H14/'Inputs 7&amp;8 Day'!$T26))</f>
        <v>5.6389131953913116</v>
      </c>
      <c r="I13" s="1254">
        <f>IF('Mkt Pen Veh-Mi'!I13=0,1,1/((1-Fuel2ShrbyTech!I14)/'Inputs 7&amp;8 Day'!$O26+Fuel2ShrbyTech!I14/'Inputs 7&amp;8 Day'!$U26))</f>
        <v>1</v>
      </c>
      <c r="J13" s="1254">
        <f>IF('Mkt Pen Veh-Mi'!J13=0,1,1/((1-Fuel2ShrbyTech!J14)/'Inputs 7&amp;8 Day'!$P26+Fuel2ShrbyTech!J14/'Inputs 7&amp;8 Day'!$V26))</f>
        <v>1</v>
      </c>
      <c r="K13" s="1254">
        <f>IF('Mkt Pen Veh-Mi'!K13=0,1,1/((1-Fuel2ShrbyTech!K14)/'Inputs 7&amp;8 Day'!$Q26+Fuel2ShrbyTech!K14/'Inputs 7&amp;8 Day'!$W26))</f>
        <v>1</v>
      </c>
      <c r="L13" s="1254">
        <f>IF('Mkt Pen Veh-Mi'!L13=0,1,1/((1-Fuel2ShrbyTech!L14)/'Inputs 7&amp;8 Day'!$R26+Fuel2ShrbyTech!L14/'Inputs 7&amp;8 Day'!$X26))</f>
        <v>1</v>
      </c>
      <c r="M13" s="1255">
        <f>IF('Mkt Pen Veh-Mi'!M13=0,1,1/((1-Fuel2ShrbyTech!M14)/'Inputs 7&amp;8 Day'!$S26+Fuel2ShrbyTech!M14/'Inputs 7&amp;8 Day'!$Y26))</f>
        <v>1</v>
      </c>
      <c r="N13" s="1253">
        <f>IF('Mkt Pen Veh-Mi'!N13=0,1,1/((1-Fuel2ShrbyTech!N14)/'Inputs 7&amp;8 SU'!$N26+Fuel2ShrbyTech!N14/'Inputs 7&amp;8 SU'!$T26))</f>
        <v>6.1303718963155642</v>
      </c>
      <c r="O13" s="1254">
        <f>IF('Mkt Pen Veh-Mi'!O13=0,1,1/((1-Fuel2ShrbyTech!O14)/'Inputs 7&amp;8 SU'!$O26+Fuel2ShrbyTech!O14/'Inputs 7&amp;8 SU'!$U26))</f>
        <v>1</v>
      </c>
      <c r="P13" s="1254">
        <f>IF('Mkt Pen Veh-Mi'!P13=0,1,1/((1-Fuel2ShrbyTech!P14)/'Inputs 7&amp;8 SU'!$P26+Fuel2ShrbyTech!P14/'Inputs 7&amp;8 SU'!$V26))</f>
        <v>1</v>
      </c>
      <c r="Q13" s="1254">
        <f>IF('Mkt Pen Veh-Mi'!Q13=0,1,1/((1-Fuel2ShrbyTech!Q14)/'Inputs 7&amp;8 SU'!$Q26+Fuel2ShrbyTech!Q14/'Inputs 7&amp;8 SU'!$W26))</f>
        <v>1</v>
      </c>
      <c r="R13" s="1254">
        <f>IF('Mkt Pen Veh-Mi'!R13=0,1,1/((1-Fuel2ShrbyTech!R14)/'Inputs 7&amp;8 SU'!$R26+Fuel2ShrbyTech!R14/'Inputs 7&amp;8 SU'!$X26))</f>
        <v>1</v>
      </c>
      <c r="S13" s="1255">
        <f>IF('Mkt Pen Veh-Mi'!S13=0,1,1/((1-Fuel2ShrbyTech!S14)/'Inputs 7&amp;8 SU'!$S26+Fuel2ShrbyTech!S14/'Inputs 7&amp;8 SU'!$Y26))</f>
        <v>1</v>
      </c>
      <c r="U13" s="1193">
        <f t="shared" si="13"/>
        <v>2011</v>
      </c>
      <c r="V13" s="1253">
        <f t="shared" si="14"/>
        <v>6.0448469218850382</v>
      </c>
      <c r="W13" s="1254">
        <f t="shared" si="15"/>
        <v>0</v>
      </c>
      <c r="X13" s="1254">
        <f t="shared" si="16"/>
        <v>0</v>
      </c>
      <c r="Y13" s="1254">
        <f t="shared" si="17"/>
        <v>0</v>
      </c>
      <c r="Z13" s="1254">
        <f t="shared" si="18"/>
        <v>0</v>
      </c>
      <c r="AA13" s="1255">
        <f t="shared" si="19"/>
        <v>0</v>
      </c>
      <c r="AB13" s="1253">
        <f t="shared" si="20"/>
        <v>5.6389131953913116</v>
      </c>
      <c r="AC13" s="1254">
        <f t="shared" si="21"/>
        <v>0</v>
      </c>
      <c r="AD13" s="1254">
        <f t="shared" si="22"/>
        <v>0</v>
      </c>
      <c r="AE13" s="1254">
        <f t="shared" si="23"/>
        <v>0</v>
      </c>
      <c r="AF13" s="1254">
        <f t="shared" si="24"/>
        <v>0</v>
      </c>
      <c r="AG13" s="1255">
        <f t="shared" si="25"/>
        <v>0</v>
      </c>
      <c r="AH13" s="1253">
        <f t="shared" si="26"/>
        <v>6.1303718963155642</v>
      </c>
      <c r="AI13" s="1254">
        <f t="shared" si="27"/>
        <v>0</v>
      </c>
      <c r="AJ13" s="1254">
        <f t="shared" si="28"/>
        <v>0</v>
      </c>
      <c r="AK13" s="1254">
        <f t="shared" si="29"/>
        <v>0</v>
      </c>
      <c r="AL13" s="1254">
        <f t="shared" si="30"/>
        <v>0</v>
      </c>
      <c r="AM13" s="1255">
        <f t="shared" si="31"/>
        <v>0</v>
      </c>
      <c r="AN13" s="1178">
        <v>2011</v>
      </c>
      <c r="AO13" s="1324">
        <f t="array" ref="AO13">1/SUMPRODUCT(IFERROR(1/V13:AA13,0),'Mkt Pen Veh-Mi'!B13:G13)</f>
        <v>6.0448469218850382</v>
      </c>
      <c r="AP13" s="1325">
        <f t="array" ref="AP13">1/SUMPRODUCT(IFERROR(1/AB13:AG13,0),'Mkt Pen Veh-Mi'!H13:M13)</f>
        <v>5.6389131953913116</v>
      </c>
      <c r="AQ13" s="1329">
        <f t="array" ref="AQ13">1/SUMPRODUCT(IFERROR(1/AH13:AM13,0),'Mkt Pen Veh-Mi'!N13:S13)</f>
        <v>6.1303718963155642</v>
      </c>
      <c r="AR13" s="1322">
        <v>2011</v>
      </c>
      <c r="AS13" s="1324">
        <f t="shared" si="32"/>
        <v>1</v>
      </c>
      <c r="AT13" s="1325">
        <f t="shared" si="33"/>
        <v>1</v>
      </c>
      <c r="AU13" s="1325">
        <f t="shared" si="34"/>
        <v>1</v>
      </c>
      <c r="AV13" s="1329">
        <v>1</v>
      </c>
    </row>
    <row r="14" spans="1:48" s="1178" customFormat="1" ht="15" x14ac:dyDescent="0.25">
      <c r="A14" s="1193">
        <v>2012</v>
      </c>
      <c r="B14" s="1247">
        <f>IF('Mkt Pen Veh-Mi'!B14=0,1,1/((1-Fuel2ShrbyTech!B15)/'Inputs 7&amp;8 Sleep'!$N27+Fuel2ShrbyTech!B15/'Inputs 7&amp;8 Sleep'!$T27))</f>
        <v>6.0931241391408557</v>
      </c>
      <c r="C14" s="1248">
        <f>IF('Mkt Pen Veh-Mi'!C14=0,1,1/((1-Fuel2ShrbyTech!C15)/'Inputs 7&amp;8 Sleep'!$O27+Fuel2ShrbyTech!C15/'Inputs 7&amp;8 Sleep'!$U27))</f>
        <v>1</v>
      </c>
      <c r="D14" s="1248">
        <f>IF('Mkt Pen Veh-Mi'!D14=0,1,1/((1-Fuel2ShrbyTech!D15)/'Inputs 7&amp;8 Sleep'!$P27+Fuel2ShrbyTech!D15/'Inputs 7&amp;8 Sleep'!$V27))</f>
        <v>1</v>
      </c>
      <c r="E14" s="1248">
        <f>IF('Mkt Pen Veh-Mi'!E14=0,1,1/((1-Fuel2ShrbyTech!E15)/'Inputs 7&amp;8 Sleep'!$Q27+Fuel2ShrbyTech!E15/'Inputs 7&amp;8 Sleep'!$W27))</f>
        <v>1</v>
      </c>
      <c r="F14" s="1248">
        <f>IF('Mkt Pen Veh-Mi'!F14=0,1,1/((1-Fuel2ShrbyTech!F15)/'Inputs 7&amp;8 Sleep'!$R27+Fuel2ShrbyTech!F15/'Inputs 7&amp;8 Sleep'!$X27))</f>
        <v>1</v>
      </c>
      <c r="G14" s="1249">
        <f>IF('Mkt Pen Veh-Mi'!G14=0,1,1/((1-Fuel2ShrbyTech!G15)/'Inputs 7&amp;8 Sleep'!$S27+Fuel2ShrbyTech!G15/'Inputs 7&amp;8 Sleep'!$Y27))</f>
        <v>1</v>
      </c>
      <c r="H14" s="1247">
        <f>IF('Mkt Pen Veh-Mi'!H14=0,1,1/((1-Fuel2ShrbyTech!H15)/'Inputs 7&amp;8 Day'!$N27+Fuel2ShrbyTech!H15/'Inputs 7&amp;8 Day'!$T27))</f>
        <v>5.6839701888518315</v>
      </c>
      <c r="I14" s="1248">
        <f>IF('Mkt Pen Veh-Mi'!I14=0,1,1/((1-Fuel2ShrbyTech!I15)/'Inputs 7&amp;8 Day'!$O27+Fuel2ShrbyTech!I15/'Inputs 7&amp;8 Day'!$U27))</f>
        <v>1</v>
      </c>
      <c r="J14" s="1248">
        <f>IF('Mkt Pen Veh-Mi'!J14=0,1,1/((1-Fuel2ShrbyTech!J15)/'Inputs 7&amp;8 Day'!$P27+Fuel2ShrbyTech!J15/'Inputs 7&amp;8 Day'!$V27))</f>
        <v>1</v>
      </c>
      <c r="K14" s="1248">
        <f>IF('Mkt Pen Veh-Mi'!K14=0,1,1/((1-Fuel2ShrbyTech!K15)/'Inputs 7&amp;8 Day'!$Q27+Fuel2ShrbyTech!K15/'Inputs 7&amp;8 Day'!$W27))</f>
        <v>1</v>
      </c>
      <c r="L14" s="1248">
        <f>IF('Mkt Pen Veh-Mi'!L14=0,1,1/((1-Fuel2ShrbyTech!L15)/'Inputs 7&amp;8 Day'!$R27+Fuel2ShrbyTech!L15/'Inputs 7&amp;8 Day'!$X27))</f>
        <v>1</v>
      </c>
      <c r="M14" s="1249">
        <f>IF('Mkt Pen Veh-Mi'!M14=0,1,1/((1-Fuel2ShrbyTech!M15)/'Inputs 7&amp;8 Day'!$S27+Fuel2ShrbyTech!M15/'Inputs 7&amp;8 Day'!$Y27))</f>
        <v>1</v>
      </c>
      <c r="N14" s="1247">
        <f>IF('Mkt Pen Veh-Mi'!N14=0,1,1/((1-Fuel2ShrbyTech!N15)/'Inputs 7&amp;8 SU'!$N27+Fuel2ShrbyTech!N15/'Inputs 7&amp;8 SU'!$T27))</f>
        <v>6.1630746462831913</v>
      </c>
      <c r="O14" s="1248">
        <f>IF('Mkt Pen Veh-Mi'!O14=0,1,1/((1-Fuel2ShrbyTech!O15)/'Inputs 7&amp;8 SU'!$O27+Fuel2ShrbyTech!O15/'Inputs 7&amp;8 SU'!$U27))</f>
        <v>1</v>
      </c>
      <c r="P14" s="1248">
        <f>IF('Mkt Pen Veh-Mi'!P14=0,1,1/((1-Fuel2ShrbyTech!P15)/'Inputs 7&amp;8 SU'!$P27+Fuel2ShrbyTech!P15/'Inputs 7&amp;8 SU'!$V27))</f>
        <v>1</v>
      </c>
      <c r="Q14" s="1248">
        <f>IF('Mkt Pen Veh-Mi'!Q14=0,1,1/((1-Fuel2ShrbyTech!Q15)/'Inputs 7&amp;8 SU'!$Q27+Fuel2ShrbyTech!Q15/'Inputs 7&amp;8 SU'!$W27))</f>
        <v>1</v>
      </c>
      <c r="R14" s="1248">
        <f>IF('Mkt Pen Veh-Mi'!R14=0,1,1/((1-Fuel2ShrbyTech!R15)/'Inputs 7&amp;8 SU'!$R27+Fuel2ShrbyTech!R15/'Inputs 7&amp;8 SU'!$X27))</f>
        <v>1</v>
      </c>
      <c r="S14" s="1249">
        <f>IF('Mkt Pen Veh-Mi'!S14=0,1,1/((1-Fuel2ShrbyTech!S15)/'Inputs 7&amp;8 SU'!$S27+Fuel2ShrbyTech!S15/'Inputs 7&amp;8 SU'!$Y27))</f>
        <v>1</v>
      </c>
      <c r="U14" s="1193">
        <f t="shared" si="13"/>
        <v>2012</v>
      </c>
      <c r="V14" s="1247">
        <f t="shared" si="14"/>
        <v>6.0931241391408557</v>
      </c>
      <c r="W14" s="1248">
        <f t="shared" si="15"/>
        <v>0</v>
      </c>
      <c r="X14" s="1248">
        <f t="shared" si="16"/>
        <v>0</v>
      </c>
      <c r="Y14" s="1248">
        <f t="shared" si="17"/>
        <v>0</v>
      </c>
      <c r="Z14" s="1248">
        <f t="shared" si="18"/>
        <v>0</v>
      </c>
      <c r="AA14" s="1249">
        <f t="shared" si="19"/>
        <v>0</v>
      </c>
      <c r="AB14" s="1247">
        <f t="shared" si="20"/>
        <v>5.6839701888518315</v>
      </c>
      <c r="AC14" s="1248">
        <f t="shared" si="21"/>
        <v>0</v>
      </c>
      <c r="AD14" s="1248">
        <f t="shared" si="22"/>
        <v>0</v>
      </c>
      <c r="AE14" s="1248">
        <f t="shared" si="23"/>
        <v>0</v>
      </c>
      <c r="AF14" s="1248">
        <f t="shared" si="24"/>
        <v>0</v>
      </c>
      <c r="AG14" s="1249">
        <f t="shared" si="25"/>
        <v>0</v>
      </c>
      <c r="AH14" s="1247">
        <f t="shared" si="26"/>
        <v>6.1630746462831913</v>
      </c>
      <c r="AI14" s="1248">
        <f t="shared" si="27"/>
        <v>0</v>
      </c>
      <c r="AJ14" s="1248">
        <f t="shared" si="28"/>
        <v>0</v>
      </c>
      <c r="AK14" s="1248">
        <f t="shared" si="29"/>
        <v>0</v>
      </c>
      <c r="AL14" s="1248">
        <f t="shared" si="30"/>
        <v>0</v>
      </c>
      <c r="AM14" s="1249">
        <f t="shared" si="31"/>
        <v>0</v>
      </c>
      <c r="AN14" s="1178">
        <v>2012</v>
      </c>
      <c r="AO14" s="1324">
        <f t="array" ref="AO14">1/SUMPRODUCT(IFERROR(1/V14:AA14,0),'Mkt Pen Veh-Mi'!B14:G14)</f>
        <v>6.0931241391408557</v>
      </c>
      <c r="AP14" s="1325">
        <f t="array" ref="AP14">1/SUMPRODUCT(IFERROR(1/AB14:AG14,0),'Mkt Pen Veh-Mi'!H14:M14)</f>
        <v>5.6839701888518315</v>
      </c>
      <c r="AQ14" s="1329">
        <f t="array" ref="AQ14">1/SUMPRODUCT(IFERROR(1/AH14:AM14,0),'Mkt Pen Veh-Mi'!N14:S14)</f>
        <v>6.1630746462831913</v>
      </c>
      <c r="AR14" s="1322">
        <v>2012</v>
      </c>
      <c r="AS14" s="1324">
        <f t="shared" si="32"/>
        <v>1</v>
      </c>
      <c r="AT14" s="1325">
        <f t="shared" si="33"/>
        <v>1</v>
      </c>
      <c r="AU14" s="1325">
        <f t="shared" si="34"/>
        <v>1</v>
      </c>
      <c r="AV14" s="1329">
        <v>1</v>
      </c>
    </row>
    <row r="15" spans="1:48" s="1178" customFormat="1" ht="15" x14ac:dyDescent="0.25">
      <c r="A15" s="1193">
        <v>2013</v>
      </c>
      <c r="B15" s="1247">
        <f>IF('Mkt Pen Veh-Mi'!B15=0,1,1/((1-Fuel2ShrbyTech!B16)/'Inputs 7&amp;8 Sleep'!$N28+Fuel2ShrbyTech!B16/'Inputs 7&amp;8 Sleep'!$T28))</f>
        <v>6.2088375370079243</v>
      </c>
      <c r="C15" s="1248">
        <f>IF('Mkt Pen Veh-Mi'!C15=0,1,1/((1-Fuel2ShrbyTech!C16)/'Inputs 7&amp;8 Sleep'!$O28+Fuel2ShrbyTech!C16/'Inputs 7&amp;8 Sleep'!$U28))</f>
        <v>1</v>
      </c>
      <c r="D15" s="1248">
        <f>IF('Mkt Pen Veh-Mi'!D15=0,1,1/((1-Fuel2ShrbyTech!D16)/'Inputs 7&amp;8 Sleep'!$P28+Fuel2ShrbyTech!D16/'Inputs 7&amp;8 Sleep'!$V28))</f>
        <v>1</v>
      </c>
      <c r="E15" s="1248">
        <f>IF('Mkt Pen Veh-Mi'!E15=0,1,1/((1-Fuel2ShrbyTech!E16)/'Inputs 7&amp;8 Sleep'!$Q28+Fuel2ShrbyTech!E16/'Inputs 7&amp;8 Sleep'!$W28))</f>
        <v>1</v>
      </c>
      <c r="F15" s="1248">
        <f>IF('Mkt Pen Veh-Mi'!F15=0,1,1/((1-Fuel2ShrbyTech!F16)/'Inputs 7&amp;8 Sleep'!$R28+Fuel2ShrbyTech!F16/'Inputs 7&amp;8 Sleep'!$X28))</f>
        <v>1</v>
      </c>
      <c r="G15" s="1249">
        <f>IF('Mkt Pen Veh-Mi'!G15=0,1,1/((1-Fuel2ShrbyTech!G16)/'Inputs 7&amp;8 Sleep'!$S28+Fuel2ShrbyTech!G16/'Inputs 7&amp;8 Sleep'!$Y28))</f>
        <v>1</v>
      </c>
      <c r="H15" s="1247">
        <f>IF('Mkt Pen Veh-Mi'!H15=0,1,1/((1-Fuel2ShrbyTech!H16)/'Inputs 7&amp;8 Day'!$N28+Fuel2ShrbyTech!H16/'Inputs 7&amp;8 Day'!$T28))</f>
        <v>5.7743160896809451</v>
      </c>
      <c r="I15" s="1248">
        <f>IF('Mkt Pen Veh-Mi'!I15=0,1,1/((1-Fuel2ShrbyTech!I16)/'Inputs 7&amp;8 Day'!$O28+Fuel2ShrbyTech!I16/'Inputs 7&amp;8 Day'!$U28))</f>
        <v>1</v>
      </c>
      <c r="J15" s="1248">
        <f>IF('Mkt Pen Veh-Mi'!J15=0,1,1/((1-Fuel2ShrbyTech!J16)/'Inputs 7&amp;8 Day'!$P28+Fuel2ShrbyTech!J16/'Inputs 7&amp;8 Day'!$V28))</f>
        <v>1</v>
      </c>
      <c r="K15" s="1248">
        <f>IF('Mkt Pen Veh-Mi'!K15=0,1,1/((1-Fuel2ShrbyTech!K16)/'Inputs 7&amp;8 Day'!$Q28+Fuel2ShrbyTech!K16/'Inputs 7&amp;8 Day'!$W28))</f>
        <v>1</v>
      </c>
      <c r="L15" s="1248">
        <f>IF('Mkt Pen Veh-Mi'!L15=0,1,1/((1-Fuel2ShrbyTech!L16)/'Inputs 7&amp;8 Day'!$R28+Fuel2ShrbyTech!L16/'Inputs 7&amp;8 Day'!$X28))</f>
        <v>1</v>
      </c>
      <c r="M15" s="1249">
        <f>IF('Mkt Pen Veh-Mi'!M15=0,1,1/((1-Fuel2ShrbyTech!M16)/'Inputs 7&amp;8 Day'!$S28+Fuel2ShrbyTech!M16/'Inputs 7&amp;8 Day'!$Y28))</f>
        <v>1</v>
      </c>
      <c r="N15" s="1247">
        <f>IF('Mkt Pen Veh-Mi'!N15=0,1,1/((1-Fuel2ShrbyTech!N16)/'Inputs 7&amp;8 SU'!$N28+Fuel2ShrbyTech!N16/'Inputs 7&amp;8 SU'!$T28))</f>
        <v>6.2217527283520475</v>
      </c>
      <c r="O15" s="1248">
        <f>IF('Mkt Pen Veh-Mi'!O15=0,1,1/((1-Fuel2ShrbyTech!O16)/'Inputs 7&amp;8 SU'!$O28+Fuel2ShrbyTech!O16/'Inputs 7&amp;8 SU'!$U28))</f>
        <v>1</v>
      </c>
      <c r="P15" s="1248">
        <f>IF('Mkt Pen Veh-Mi'!P15=0,1,1/((1-Fuel2ShrbyTech!P16)/'Inputs 7&amp;8 SU'!$P28+Fuel2ShrbyTech!P16/'Inputs 7&amp;8 SU'!$V28))</f>
        <v>1</v>
      </c>
      <c r="Q15" s="1248">
        <f>IF('Mkt Pen Veh-Mi'!Q15=0,1,1/((1-Fuel2ShrbyTech!Q16)/'Inputs 7&amp;8 SU'!$Q28+Fuel2ShrbyTech!Q16/'Inputs 7&amp;8 SU'!$W28))</f>
        <v>1</v>
      </c>
      <c r="R15" s="1248">
        <f>IF('Mkt Pen Veh-Mi'!R15=0,1,1/((1-Fuel2ShrbyTech!R16)/'Inputs 7&amp;8 SU'!$R28+Fuel2ShrbyTech!R16/'Inputs 7&amp;8 SU'!$X28))</f>
        <v>1</v>
      </c>
      <c r="S15" s="1249">
        <f>IF('Mkt Pen Veh-Mi'!S15=0,1,1/((1-Fuel2ShrbyTech!S16)/'Inputs 7&amp;8 SU'!$S28+Fuel2ShrbyTech!S16/'Inputs 7&amp;8 SU'!$Y28))</f>
        <v>1</v>
      </c>
      <c r="U15" s="1193">
        <f t="shared" si="13"/>
        <v>2013</v>
      </c>
      <c r="V15" s="1247">
        <f t="shared" si="14"/>
        <v>6.2088375370079243</v>
      </c>
      <c r="W15" s="1248">
        <f t="shared" si="15"/>
        <v>0</v>
      </c>
      <c r="X15" s="1248">
        <f t="shared" si="16"/>
        <v>0</v>
      </c>
      <c r="Y15" s="1248">
        <f t="shared" si="17"/>
        <v>0</v>
      </c>
      <c r="Z15" s="1248">
        <f t="shared" si="18"/>
        <v>0</v>
      </c>
      <c r="AA15" s="1249">
        <f t="shared" si="19"/>
        <v>0</v>
      </c>
      <c r="AB15" s="1247">
        <f t="shared" si="20"/>
        <v>5.7743160896809451</v>
      </c>
      <c r="AC15" s="1248">
        <f t="shared" si="21"/>
        <v>0</v>
      </c>
      <c r="AD15" s="1248">
        <f t="shared" si="22"/>
        <v>0</v>
      </c>
      <c r="AE15" s="1248">
        <f t="shared" si="23"/>
        <v>0</v>
      </c>
      <c r="AF15" s="1248">
        <f t="shared" si="24"/>
        <v>0</v>
      </c>
      <c r="AG15" s="1249">
        <f t="shared" si="25"/>
        <v>0</v>
      </c>
      <c r="AH15" s="1247">
        <f t="shared" si="26"/>
        <v>6.2217527283520475</v>
      </c>
      <c r="AI15" s="1248">
        <f t="shared" si="27"/>
        <v>0</v>
      </c>
      <c r="AJ15" s="1248">
        <f t="shared" si="28"/>
        <v>0</v>
      </c>
      <c r="AK15" s="1248">
        <f t="shared" si="29"/>
        <v>0</v>
      </c>
      <c r="AL15" s="1248">
        <f t="shared" si="30"/>
        <v>0</v>
      </c>
      <c r="AM15" s="1249">
        <f t="shared" si="31"/>
        <v>0</v>
      </c>
      <c r="AN15" s="1178">
        <v>2013</v>
      </c>
      <c r="AO15" s="1324">
        <f t="array" ref="AO15">1/SUMPRODUCT(IFERROR(1/V15:AA15,0),'Mkt Pen Veh-Mi'!B15:G15)</f>
        <v>6.2088375370079243</v>
      </c>
      <c r="AP15" s="1325">
        <f t="array" ref="AP15">1/SUMPRODUCT(IFERROR(1/AB15:AG15,0),'Mkt Pen Veh-Mi'!H15:M15)</f>
        <v>5.7743160896809451</v>
      </c>
      <c r="AQ15" s="1329">
        <f t="array" ref="AQ15">1/SUMPRODUCT(IFERROR(1/AH15:AM15,0),'Mkt Pen Veh-Mi'!N15:S15)</f>
        <v>6.2217527283520475</v>
      </c>
      <c r="AR15" s="1322">
        <v>2013</v>
      </c>
      <c r="AS15" s="1324">
        <f t="shared" si="32"/>
        <v>1</v>
      </c>
      <c r="AT15" s="1325">
        <f t="shared" si="33"/>
        <v>1</v>
      </c>
      <c r="AU15" s="1325">
        <f t="shared" si="34"/>
        <v>1</v>
      </c>
      <c r="AV15" s="1329">
        <v>1</v>
      </c>
    </row>
    <row r="16" spans="1:48" s="1178" customFormat="1" ht="15" x14ac:dyDescent="0.25">
      <c r="A16" s="1193">
        <v>2014</v>
      </c>
      <c r="B16" s="1247">
        <f>IF('Mkt Pen Veh-Mi'!B16=0,1,1/((1-Fuel2ShrbyTech!B17)/'Inputs 7&amp;8 Sleep'!$N29+Fuel2ShrbyTech!B17/'Inputs 7&amp;8 Sleep'!$T29))</f>
        <v>6.3529154274884636</v>
      </c>
      <c r="C16" s="1248">
        <f>IF('Mkt Pen Veh-Mi'!C16=0,1,1/((1-Fuel2ShrbyTech!C17)/'Inputs 7&amp;8 Sleep'!$O29+Fuel2ShrbyTech!C17/'Inputs 7&amp;8 Sleep'!$U29))</f>
        <v>1</v>
      </c>
      <c r="D16" s="1248">
        <f>IF('Mkt Pen Veh-Mi'!D16=0,1,1/((1-Fuel2ShrbyTech!D17)/'Inputs 7&amp;8 Sleep'!$P29+Fuel2ShrbyTech!D17/'Inputs 7&amp;8 Sleep'!$V29))</f>
        <v>1</v>
      </c>
      <c r="E16" s="1248">
        <f>IF('Mkt Pen Veh-Mi'!E16=0,1,1/((1-Fuel2ShrbyTech!E17)/'Inputs 7&amp;8 Sleep'!$Q29+Fuel2ShrbyTech!E17/'Inputs 7&amp;8 Sleep'!$W29))</f>
        <v>1</v>
      </c>
      <c r="F16" s="1248">
        <f>IF('Mkt Pen Veh-Mi'!F16=0,1,1/((1-Fuel2ShrbyTech!F17)/'Inputs 7&amp;8 Sleep'!$R29+Fuel2ShrbyTech!F17/'Inputs 7&amp;8 Sleep'!$X29))</f>
        <v>1</v>
      </c>
      <c r="G16" s="1249">
        <f>IF('Mkt Pen Veh-Mi'!G16=0,1,1/((1-Fuel2ShrbyTech!G17)/'Inputs 7&amp;8 Sleep'!$S29+Fuel2ShrbyTech!G17/'Inputs 7&amp;8 Sleep'!$Y29))</f>
        <v>1</v>
      </c>
      <c r="H16" s="1247">
        <f>IF('Mkt Pen Veh-Mi'!H16=0,1,1/((1-Fuel2ShrbyTech!H17)/'Inputs 7&amp;8 Day'!$N29+Fuel2ShrbyTech!H17/'Inputs 7&amp;8 Day'!$T29))</f>
        <v>5.8589396926631565</v>
      </c>
      <c r="I16" s="1248">
        <f>IF('Mkt Pen Veh-Mi'!I16=0,1,1/((1-Fuel2ShrbyTech!I17)/'Inputs 7&amp;8 Day'!$O29+Fuel2ShrbyTech!I17/'Inputs 7&amp;8 Day'!$U29))</f>
        <v>1</v>
      </c>
      <c r="J16" s="1248">
        <f>IF('Mkt Pen Veh-Mi'!J16=0,1,1/((1-Fuel2ShrbyTech!J17)/'Inputs 7&amp;8 Day'!$P29+Fuel2ShrbyTech!J17/'Inputs 7&amp;8 Day'!$V29))</f>
        <v>1</v>
      </c>
      <c r="K16" s="1248">
        <f>IF('Mkt Pen Veh-Mi'!K16=0,1,1/((1-Fuel2ShrbyTech!K17)/'Inputs 7&amp;8 Day'!$Q29+Fuel2ShrbyTech!K17/'Inputs 7&amp;8 Day'!$W29))</f>
        <v>1</v>
      </c>
      <c r="L16" s="1248">
        <f>IF('Mkt Pen Veh-Mi'!L16=0,1,1/((1-Fuel2ShrbyTech!L17)/'Inputs 7&amp;8 Day'!$R29+Fuel2ShrbyTech!L17/'Inputs 7&amp;8 Day'!$X29))</f>
        <v>1</v>
      </c>
      <c r="M16" s="1249">
        <f>IF('Mkt Pen Veh-Mi'!M16=0,1,1/((1-Fuel2ShrbyTech!M17)/'Inputs 7&amp;8 Day'!$S29+Fuel2ShrbyTech!M17/'Inputs 7&amp;8 Day'!$Y29))</f>
        <v>1</v>
      </c>
      <c r="N16" s="1247">
        <f>IF('Mkt Pen Veh-Mi'!N16=0,1,1/((1-Fuel2ShrbyTech!N17)/'Inputs 7&amp;8 SU'!$N29+Fuel2ShrbyTech!N17/'Inputs 7&amp;8 SU'!$T29))</f>
        <v>6.271565642860951</v>
      </c>
      <c r="O16" s="1248">
        <f>IF('Mkt Pen Veh-Mi'!O16=0,1,1/((1-Fuel2ShrbyTech!O17)/'Inputs 7&amp;8 SU'!$O29+Fuel2ShrbyTech!O17/'Inputs 7&amp;8 SU'!$U29))</f>
        <v>1</v>
      </c>
      <c r="P16" s="1248">
        <f>IF('Mkt Pen Veh-Mi'!P16=0,1,1/((1-Fuel2ShrbyTech!P17)/'Inputs 7&amp;8 SU'!$P29+Fuel2ShrbyTech!P17/'Inputs 7&amp;8 SU'!$V29))</f>
        <v>1</v>
      </c>
      <c r="Q16" s="1248">
        <f>IF('Mkt Pen Veh-Mi'!Q16=0,1,1/((1-Fuel2ShrbyTech!Q17)/'Inputs 7&amp;8 SU'!$Q29+Fuel2ShrbyTech!Q17/'Inputs 7&amp;8 SU'!$W29))</f>
        <v>1</v>
      </c>
      <c r="R16" s="1248">
        <f>IF('Mkt Pen Veh-Mi'!R16=0,1,1/((1-Fuel2ShrbyTech!R17)/'Inputs 7&amp;8 SU'!$R29+Fuel2ShrbyTech!R17/'Inputs 7&amp;8 SU'!$X29))</f>
        <v>1</v>
      </c>
      <c r="S16" s="1249">
        <f>IF('Mkt Pen Veh-Mi'!S16=0,1,1/((1-Fuel2ShrbyTech!S17)/'Inputs 7&amp;8 SU'!$S29+Fuel2ShrbyTech!S17/'Inputs 7&amp;8 SU'!$Y29))</f>
        <v>1</v>
      </c>
      <c r="U16" s="1193">
        <f t="shared" si="13"/>
        <v>2014</v>
      </c>
      <c r="V16" s="1247">
        <f t="shared" si="14"/>
        <v>6.3529154274884636</v>
      </c>
      <c r="W16" s="1248">
        <f t="shared" si="15"/>
        <v>0</v>
      </c>
      <c r="X16" s="1248">
        <f t="shared" si="16"/>
        <v>0</v>
      </c>
      <c r="Y16" s="1248">
        <f t="shared" si="17"/>
        <v>0</v>
      </c>
      <c r="Z16" s="1248">
        <f t="shared" si="18"/>
        <v>0</v>
      </c>
      <c r="AA16" s="1249">
        <f t="shared" si="19"/>
        <v>0</v>
      </c>
      <c r="AB16" s="1247">
        <f t="shared" si="20"/>
        <v>5.8589396926631565</v>
      </c>
      <c r="AC16" s="1248">
        <f t="shared" si="21"/>
        <v>0</v>
      </c>
      <c r="AD16" s="1248">
        <f t="shared" si="22"/>
        <v>0</v>
      </c>
      <c r="AE16" s="1248">
        <f t="shared" si="23"/>
        <v>0</v>
      </c>
      <c r="AF16" s="1248">
        <f t="shared" si="24"/>
        <v>0</v>
      </c>
      <c r="AG16" s="1249">
        <f t="shared" si="25"/>
        <v>0</v>
      </c>
      <c r="AH16" s="1247">
        <f t="shared" si="26"/>
        <v>6.271565642860951</v>
      </c>
      <c r="AI16" s="1248">
        <f t="shared" si="27"/>
        <v>0</v>
      </c>
      <c r="AJ16" s="1248">
        <f t="shared" si="28"/>
        <v>0</v>
      </c>
      <c r="AK16" s="1248">
        <f t="shared" si="29"/>
        <v>0</v>
      </c>
      <c r="AL16" s="1248">
        <f t="shared" si="30"/>
        <v>0</v>
      </c>
      <c r="AM16" s="1249">
        <f t="shared" si="31"/>
        <v>0</v>
      </c>
      <c r="AN16" s="1178">
        <v>2014</v>
      </c>
      <c r="AO16" s="1324">
        <f t="array" ref="AO16">1/SUMPRODUCT(IFERROR(1/V16:AA16,0),'Mkt Pen Veh-Mi'!B16:G16)</f>
        <v>6.3529154274884636</v>
      </c>
      <c r="AP16" s="1325">
        <f t="array" ref="AP16">1/SUMPRODUCT(IFERROR(1/AB16:AG16,0),'Mkt Pen Veh-Mi'!H16:M16)</f>
        <v>5.8589396926631565</v>
      </c>
      <c r="AQ16" s="1329">
        <f t="array" ref="AQ16">1/SUMPRODUCT(IFERROR(1/AH16:AM16,0),'Mkt Pen Veh-Mi'!N16:S16)</f>
        <v>6.271565642860951</v>
      </c>
      <c r="AR16" s="1322">
        <v>2014</v>
      </c>
      <c r="AS16" s="1324">
        <f t="shared" si="32"/>
        <v>1</v>
      </c>
      <c r="AT16" s="1325">
        <f t="shared" si="33"/>
        <v>1</v>
      </c>
      <c r="AU16" s="1325">
        <f t="shared" si="34"/>
        <v>1</v>
      </c>
      <c r="AV16" s="1329">
        <v>1</v>
      </c>
    </row>
    <row r="17" spans="1:48" s="1178" customFormat="1" ht="15" x14ac:dyDescent="0.25">
      <c r="A17" s="1199">
        <v>2015</v>
      </c>
      <c r="B17" s="1250">
        <f>IF('Mkt Pen Veh-Mi'!B17=0,1,1/((1-Fuel2ShrbyTech!B18)/'Inputs 7&amp;8 Sleep'!$N30+Fuel2ShrbyTech!B18/'Inputs 7&amp;8 Sleep'!$T30))</f>
        <v>6.5645186009865792</v>
      </c>
      <c r="C17" s="1251">
        <f>IF('Mkt Pen Veh-Mi'!C17=0,1,1/((1-Fuel2ShrbyTech!C18)/'Inputs 7&amp;8 Sleep'!$O30+Fuel2ShrbyTech!C18/'Inputs 7&amp;8 Sleep'!$U30))</f>
        <v>1</v>
      </c>
      <c r="D17" s="1251">
        <f>IF('Mkt Pen Veh-Mi'!D17=0,1,1/((1-Fuel2ShrbyTech!D18)/'Inputs 7&amp;8 Sleep'!$P30+Fuel2ShrbyTech!D18/'Inputs 7&amp;8 Sleep'!$V30))</f>
        <v>1</v>
      </c>
      <c r="E17" s="1251">
        <f>IF('Mkt Pen Veh-Mi'!E17=0,1,1/((1-Fuel2ShrbyTech!E18)/'Inputs 7&amp;8 Sleep'!$Q30+Fuel2ShrbyTech!E18/'Inputs 7&amp;8 Sleep'!$W30))</f>
        <v>1</v>
      </c>
      <c r="F17" s="1251">
        <f>IF('Mkt Pen Veh-Mi'!F17=0,1,1/((1-Fuel2ShrbyTech!F18)/'Inputs 7&amp;8 Sleep'!$R30+Fuel2ShrbyTech!F18/'Inputs 7&amp;8 Sleep'!$X30))</f>
        <v>1</v>
      </c>
      <c r="G17" s="1252">
        <f>IF('Mkt Pen Veh-Mi'!G17=0,1,1/((1-Fuel2ShrbyTech!G18)/'Inputs 7&amp;8 Sleep'!$S30+Fuel2ShrbyTech!G18/'Inputs 7&amp;8 Sleep'!$Y30))</f>
        <v>1</v>
      </c>
      <c r="H17" s="1250">
        <f>IF('Mkt Pen Veh-Mi'!H17=0,1,1/((1-Fuel2ShrbyTech!H18)/'Inputs 7&amp;8 Day'!$N30+Fuel2ShrbyTech!H18/'Inputs 7&amp;8 Day'!$T30))</f>
        <v>6.0069416599255572</v>
      </c>
      <c r="I17" s="1251">
        <f>IF('Mkt Pen Veh-Mi'!I17=0,1,1/((1-Fuel2ShrbyTech!I18)/'Inputs 7&amp;8 Day'!$O30+Fuel2ShrbyTech!I18/'Inputs 7&amp;8 Day'!$U30))</f>
        <v>1</v>
      </c>
      <c r="J17" s="1251">
        <f>IF('Mkt Pen Veh-Mi'!J17=0,1,1/((1-Fuel2ShrbyTech!J18)/'Inputs 7&amp;8 Day'!$P30+Fuel2ShrbyTech!J18/'Inputs 7&amp;8 Day'!$V30))</f>
        <v>1</v>
      </c>
      <c r="K17" s="1251">
        <f>IF('Mkt Pen Veh-Mi'!K17=0,1,1/((1-Fuel2ShrbyTech!K18)/'Inputs 7&amp;8 Day'!$Q30+Fuel2ShrbyTech!K18/'Inputs 7&amp;8 Day'!$W30))</f>
        <v>1</v>
      </c>
      <c r="L17" s="1251">
        <f>IF('Mkt Pen Veh-Mi'!L17=0,1,1/((1-Fuel2ShrbyTech!L18)/'Inputs 7&amp;8 Day'!$R30+Fuel2ShrbyTech!L18/'Inputs 7&amp;8 Day'!$X30))</f>
        <v>1</v>
      </c>
      <c r="M17" s="1252">
        <f>IF('Mkt Pen Veh-Mi'!M17=0,1,1/((1-Fuel2ShrbyTech!M18)/'Inputs 7&amp;8 Day'!$S30+Fuel2ShrbyTech!M18/'Inputs 7&amp;8 Day'!$Y30))</f>
        <v>1</v>
      </c>
      <c r="N17" s="1250">
        <f>IF('Mkt Pen Veh-Mi'!N17=0,1,1/((1-Fuel2ShrbyTech!N18)/'Inputs 7&amp;8 SU'!$N30+Fuel2ShrbyTech!N18/'Inputs 7&amp;8 SU'!$T30))</f>
        <v>6.3449696493508245</v>
      </c>
      <c r="O17" s="1251">
        <f>IF('Mkt Pen Veh-Mi'!O17=0,1,1/((1-Fuel2ShrbyTech!O18)/'Inputs 7&amp;8 SU'!$O30+Fuel2ShrbyTech!O18/'Inputs 7&amp;8 SU'!$U30))</f>
        <v>1</v>
      </c>
      <c r="P17" s="1251">
        <f>IF('Mkt Pen Veh-Mi'!P17=0,1,1/((1-Fuel2ShrbyTech!P18)/'Inputs 7&amp;8 SU'!$P30+Fuel2ShrbyTech!P18/'Inputs 7&amp;8 SU'!$V30))</f>
        <v>1</v>
      </c>
      <c r="Q17" s="1251">
        <f>IF('Mkt Pen Veh-Mi'!Q17=0,1,1/((1-Fuel2ShrbyTech!Q18)/'Inputs 7&amp;8 SU'!$Q30+Fuel2ShrbyTech!Q18/'Inputs 7&amp;8 SU'!$W30))</f>
        <v>1</v>
      </c>
      <c r="R17" s="1251">
        <f>IF('Mkt Pen Veh-Mi'!R17=0,1,1/((1-Fuel2ShrbyTech!R18)/'Inputs 7&amp;8 SU'!$R30+Fuel2ShrbyTech!R18/'Inputs 7&amp;8 SU'!$X30))</f>
        <v>1</v>
      </c>
      <c r="S17" s="1252">
        <f>IF('Mkt Pen Veh-Mi'!S17=0,1,1/((1-Fuel2ShrbyTech!S18)/'Inputs 7&amp;8 SU'!$S30+Fuel2ShrbyTech!S18/'Inputs 7&amp;8 SU'!$Y30))</f>
        <v>1</v>
      </c>
      <c r="U17" s="1199">
        <f t="shared" si="13"/>
        <v>2015</v>
      </c>
      <c r="V17" s="1250">
        <f t="shared" si="14"/>
        <v>6.5645186009865792</v>
      </c>
      <c r="W17" s="1251">
        <f t="shared" si="15"/>
        <v>0</v>
      </c>
      <c r="X17" s="1251">
        <f t="shared" si="16"/>
        <v>0</v>
      </c>
      <c r="Y17" s="1251">
        <f t="shared" si="17"/>
        <v>0</v>
      </c>
      <c r="Z17" s="1251">
        <f t="shared" si="18"/>
        <v>0</v>
      </c>
      <c r="AA17" s="1252">
        <f t="shared" si="19"/>
        <v>0</v>
      </c>
      <c r="AB17" s="1250">
        <f t="shared" si="20"/>
        <v>6.0069416599255572</v>
      </c>
      <c r="AC17" s="1251">
        <f t="shared" si="21"/>
        <v>0</v>
      </c>
      <c r="AD17" s="1251">
        <f t="shared" si="22"/>
        <v>0</v>
      </c>
      <c r="AE17" s="1251">
        <f t="shared" si="23"/>
        <v>0</v>
      </c>
      <c r="AF17" s="1251">
        <f t="shared" si="24"/>
        <v>0</v>
      </c>
      <c r="AG17" s="1252">
        <f t="shared" si="25"/>
        <v>0</v>
      </c>
      <c r="AH17" s="1250">
        <f t="shared" si="26"/>
        <v>6.3449696493508245</v>
      </c>
      <c r="AI17" s="1251">
        <f t="shared" si="27"/>
        <v>0</v>
      </c>
      <c r="AJ17" s="1251">
        <f t="shared" si="28"/>
        <v>0</v>
      </c>
      <c r="AK17" s="1251">
        <f t="shared" si="29"/>
        <v>0</v>
      </c>
      <c r="AL17" s="1251">
        <f t="shared" si="30"/>
        <v>0</v>
      </c>
      <c r="AM17" s="1252">
        <f t="shared" si="31"/>
        <v>0</v>
      </c>
      <c r="AN17" s="1178">
        <v>2015</v>
      </c>
      <c r="AO17" s="1324">
        <f t="array" ref="AO17">1/SUMPRODUCT(IFERROR(1/V17:AA17,0),'Mkt Pen Veh-Mi'!B17:G17)</f>
        <v>6.5645186009865792</v>
      </c>
      <c r="AP17" s="1325">
        <f t="array" ref="AP17">1/SUMPRODUCT(IFERROR(1/AB17:AG17,0),'Mkt Pen Veh-Mi'!H17:M17)</f>
        <v>6.0069416599255572</v>
      </c>
      <c r="AQ17" s="1329">
        <f t="array" ref="AQ17">1/SUMPRODUCT(IFERROR(1/AH17:AM17,0),'Mkt Pen Veh-Mi'!N17:S17)</f>
        <v>6.3449696493508245</v>
      </c>
      <c r="AR17" s="1322">
        <v>2015</v>
      </c>
      <c r="AS17" s="1324">
        <f t="shared" si="32"/>
        <v>1</v>
      </c>
      <c r="AT17" s="1325">
        <f t="shared" si="33"/>
        <v>1</v>
      </c>
      <c r="AU17" s="1325">
        <f t="shared" si="34"/>
        <v>1</v>
      </c>
      <c r="AV17" s="1329">
        <v>1</v>
      </c>
    </row>
    <row r="18" spans="1:48" s="1178" customFormat="1" ht="15" x14ac:dyDescent="0.25">
      <c r="A18" s="1193">
        <v>2016</v>
      </c>
      <c r="B18" s="1253">
        <f>IF('Mkt Pen Veh-Mi'!B18=0,1,1/((1-Fuel2ShrbyTech!B19)/'Inputs 7&amp;8 Sleep'!$N31+Fuel2ShrbyTech!B19/'Inputs 7&amp;8 Sleep'!$T31))</f>
        <v>6.7583664951373068</v>
      </c>
      <c r="C18" s="1254">
        <f>IF('Mkt Pen Veh-Mi'!C18=0,1,1/((1-Fuel2ShrbyTech!C19)/'Inputs 7&amp;8 Sleep'!$O31+Fuel2ShrbyTech!C19/'Inputs 7&amp;8 Sleep'!$U31))</f>
        <v>1</v>
      </c>
      <c r="D18" s="1254">
        <f>IF('Mkt Pen Veh-Mi'!D18=0,1,1/((1-Fuel2ShrbyTech!D19)/'Inputs 7&amp;8 Sleep'!$P31+Fuel2ShrbyTech!D19/'Inputs 7&amp;8 Sleep'!$V31))</f>
        <v>1</v>
      </c>
      <c r="E18" s="1254">
        <f>IF('Mkt Pen Veh-Mi'!E18=0,1,1/((1-Fuel2ShrbyTech!E19)/'Inputs 7&amp;8 Sleep'!$Q31+Fuel2ShrbyTech!E19/'Inputs 7&amp;8 Sleep'!$W31))</f>
        <v>1</v>
      </c>
      <c r="F18" s="1254">
        <f>IF('Mkt Pen Veh-Mi'!F18=0,1,1/((1-Fuel2ShrbyTech!F19)/'Inputs 7&amp;8 Sleep'!$R31+Fuel2ShrbyTech!F19/'Inputs 7&amp;8 Sleep'!$X31))</f>
        <v>1</v>
      </c>
      <c r="G18" s="1255">
        <f>IF('Mkt Pen Veh-Mi'!G18=0,1,1/((1-Fuel2ShrbyTech!G19)/'Inputs 7&amp;8 Sleep'!$S31+Fuel2ShrbyTech!G19/'Inputs 7&amp;8 Sleep'!$Y31))</f>
        <v>1</v>
      </c>
      <c r="H18" s="1253">
        <f>IF('Mkt Pen Veh-Mi'!H18=0,1,1/((1-Fuel2ShrbyTech!H19)/'Inputs 7&amp;8 Day'!$N31+Fuel2ShrbyTech!H19/'Inputs 7&amp;8 Day'!$T31))</f>
        <v>6.1360651716134793</v>
      </c>
      <c r="I18" s="1254">
        <f>IF('Mkt Pen Veh-Mi'!I18=0,1,1/((1-Fuel2ShrbyTech!I19)/'Inputs 7&amp;8 Day'!$O31+Fuel2ShrbyTech!I19/'Inputs 7&amp;8 Day'!$U31))</f>
        <v>1</v>
      </c>
      <c r="J18" s="1254">
        <f>IF('Mkt Pen Veh-Mi'!J18=0,1,1/((1-Fuel2ShrbyTech!J19)/'Inputs 7&amp;8 Day'!$P31+Fuel2ShrbyTech!J19/'Inputs 7&amp;8 Day'!$V31))</f>
        <v>1</v>
      </c>
      <c r="K18" s="1254">
        <f>IF('Mkt Pen Veh-Mi'!K18=0,1,1/((1-Fuel2ShrbyTech!K19)/'Inputs 7&amp;8 Day'!$Q31+Fuel2ShrbyTech!K19/'Inputs 7&amp;8 Day'!$W31))</f>
        <v>1</v>
      </c>
      <c r="L18" s="1254">
        <f>IF('Mkt Pen Veh-Mi'!L18=0,1,1/((1-Fuel2ShrbyTech!L19)/'Inputs 7&amp;8 Day'!$R31+Fuel2ShrbyTech!L19/'Inputs 7&amp;8 Day'!$X31))</f>
        <v>1</v>
      </c>
      <c r="M18" s="1255">
        <f>IF('Mkt Pen Veh-Mi'!M18=0,1,1/((1-Fuel2ShrbyTech!M19)/'Inputs 7&amp;8 Day'!$S31+Fuel2ShrbyTech!M19/'Inputs 7&amp;8 Day'!$Y31))</f>
        <v>1</v>
      </c>
      <c r="N18" s="1253">
        <f>IF('Mkt Pen Veh-Mi'!N18=0,1,1/((1-Fuel2ShrbyTech!N19)/'Inputs 7&amp;8 SU'!$N31+Fuel2ShrbyTech!N19/'Inputs 7&amp;8 SU'!$T31))</f>
        <v>6.4041892526830697</v>
      </c>
      <c r="O18" s="1254">
        <f>IF('Mkt Pen Veh-Mi'!O18=0,1,1/((1-Fuel2ShrbyTech!O19)/'Inputs 7&amp;8 SU'!$O31+Fuel2ShrbyTech!O19/'Inputs 7&amp;8 SU'!$U31))</f>
        <v>1</v>
      </c>
      <c r="P18" s="1254">
        <f>IF('Mkt Pen Veh-Mi'!P18=0,1,1/((1-Fuel2ShrbyTech!P19)/'Inputs 7&amp;8 SU'!$P31+Fuel2ShrbyTech!P19/'Inputs 7&amp;8 SU'!$V31))</f>
        <v>1</v>
      </c>
      <c r="Q18" s="1254">
        <f>IF('Mkt Pen Veh-Mi'!Q18=0,1,1/((1-Fuel2ShrbyTech!Q19)/'Inputs 7&amp;8 SU'!$Q31+Fuel2ShrbyTech!Q19/'Inputs 7&amp;8 SU'!$W31))</f>
        <v>1</v>
      </c>
      <c r="R18" s="1254">
        <f>IF('Mkt Pen Veh-Mi'!R18=0,1,1/((1-Fuel2ShrbyTech!R19)/'Inputs 7&amp;8 SU'!$R31+Fuel2ShrbyTech!R19/'Inputs 7&amp;8 SU'!$X31))</f>
        <v>1</v>
      </c>
      <c r="S18" s="1255">
        <f>IF('Mkt Pen Veh-Mi'!S18=0,1,1/((1-Fuel2ShrbyTech!S19)/'Inputs 7&amp;8 SU'!$S31+Fuel2ShrbyTech!S19/'Inputs 7&amp;8 SU'!$Y31))</f>
        <v>1</v>
      </c>
      <c r="U18" s="1193">
        <f t="shared" si="13"/>
        <v>2016</v>
      </c>
      <c r="V18" s="1253">
        <f t="shared" si="14"/>
        <v>6.7583664951373068</v>
      </c>
      <c r="W18" s="1254">
        <f t="shared" si="15"/>
        <v>0</v>
      </c>
      <c r="X18" s="1254">
        <f t="shared" si="16"/>
        <v>0</v>
      </c>
      <c r="Y18" s="1254">
        <f t="shared" si="17"/>
        <v>0</v>
      </c>
      <c r="Z18" s="1254">
        <f t="shared" si="18"/>
        <v>0</v>
      </c>
      <c r="AA18" s="1255">
        <f t="shared" si="19"/>
        <v>0</v>
      </c>
      <c r="AB18" s="1253">
        <f t="shared" si="20"/>
        <v>6.1360651716134793</v>
      </c>
      <c r="AC18" s="1254">
        <f t="shared" si="21"/>
        <v>0</v>
      </c>
      <c r="AD18" s="1254">
        <f t="shared" si="22"/>
        <v>0</v>
      </c>
      <c r="AE18" s="1254">
        <f t="shared" si="23"/>
        <v>0</v>
      </c>
      <c r="AF18" s="1254">
        <f t="shared" si="24"/>
        <v>0</v>
      </c>
      <c r="AG18" s="1255">
        <f t="shared" si="25"/>
        <v>0</v>
      </c>
      <c r="AH18" s="1253">
        <f t="shared" si="26"/>
        <v>6.4041892526830697</v>
      </c>
      <c r="AI18" s="1254">
        <f t="shared" si="27"/>
        <v>0</v>
      </c>
      <c r="AJ18" s="1254">
        <f t="shared" si="28"/>
        <v>0</v>
      </c>
      <c r="AK18" s="1254">
        <f t="shared" si="29"/>
        <v>0</v>
      </c>
      <c r="AL18" s="1254">
        <f t="shared" si="30"/>
        <v>0</v>
      </c>
      <c r="AM18" s="1255">
        <f t="shared" si="31"/>
        <v>0</v>
      </c>
      <c r="AN18" s="1178">
        <v>2016</v>
      </c>
      <c r="AO18" s="1324">
        <f t="array" ref="AO18">1/SUMPRODUCT(IFERROR(1/V18:AA18,0),'Mkt Pen Veh-Mi'!B18:G18)</f>
        <v>6.7583664951373068</v>
      </c>
      <c r="AP18" s="1325">
        <f t="array" ref="AP18">1/SUMPRODUCT(IFERROR(1/AB18:AG18,0),'Mkt Pen Veh-Mi'!H18:M18)</f>
        <v>6.1360651716134793</v>
      </c>
      <c r="AQ18" s="1329">
        <f t="array" ref="AQ18">1/SUMPRODUCT(IFERROR(1/AH18:AM18,0),'Mkt Pen Veh-Mi'!N18:S18)</f>
        <v>6.4041892526830697</v>
      </c>
      <c r="AR18" s="1322">
        <v>2016</v>
      </c>
      <c r="AS18" s="1324">
        <f t="shared" si="32"/>
        <v>1</v>
      </c>
      <c r="AT18" s="1325">
        <f t="shared" si="33"/>
        <v>1</v>
      </c>
      <c r="AU18" s="1325">
        <f t="shared" si="34"/>
        <v>1</v>
      </c>
      <c r="AV18" s="1329">
        <v>1</v>
      </c>
    </row>
    <row r="19" spans="1:48" s="1178" customFormat="1" ht="15" x14ac:dyDescent="0.25">
      <c r="A19" s="1193">
        <v>2017</v>
      </c>
      <c r="B19" s="1247">
        <f>IF('Mkt Pen Veh-Mi'!B19=0,1,1/((1-Fuel2ShrbyTech!B20)/'Inputs 7&amp;8 Sleep'!$N32+Fuel2ShrbyTech!B20/'Inputs 7&amp;8 Sleep'!$T32))</f>
        <v>6.9782676092922058</v>
      </c>
      <c r="C19" s="1248">
        <f>IF('Mkt Pen Veh-Mi'!C19=0,1,1/((1-Fuel2ShrbyTech!C20)/'Inputs 7&amp;8 Sleep'!$O32+Fuel2ShrbyTech!C20/'Inputs 7&amp;8 Sleep'!$U32))</f>
        <v>1</v>
      </c>
      <c r="D19" s="1248">
        <f>IF('Mkt Pen Veh-Mi'!D19=0,1,1/((1-Fuel2ShrbyTech!D20)/'Inputs 7&amp;8 Sleep'!$P32+Fuel2ShrbyTech!D20/'Inputs 7&amp;8 Sleep'!$V32))</f>
        <v>1</v>
      </c>
      <c r="E19" s="1248">
        <f>IF('Mkt Pen Veh-Mi'!E19=0,1,1/((1-Fuel2ShrbyTech!E20)/'Inputs 7&amp;8 Sleep'!$Q32+Fuel2ShrbyTech!E20/'Inputs 7&amp;8 Sleep'!$W32))</f>
        <v>1</v>
      </c>
      <c r="F19" s="1248">
        <f>IF('Mkt Pen Veh-Mi'!F19=0,1,1/((1-Fuel2ShrbyTech!F20)/'Inputs 7&amp;8 Sleep'!$R32+Fuel2ShrbyTech!F20/'Inputs 7&amp;8 Sleep'!$X32))</f>
        <v>1</v>
      </c>
      <c r="G19" s="1249">
        <f>IF('Mkt Pen Veh-Mi'!G19=0,1,1/((1-Fuel2ShrbyTech!G20)/'Inputs 7&amp;8 Sleep'!$S32+Fuel2ShrbyTech!G20/'Inputs 7&amp;8 Sleep'!$Y32))</f>
        <v>1</v>
      </c>
      <c r="H19" s="1247">
        <f>IF('Mkt Pen Veh-Mi'!H19=0,1,1/((1-Fuel2ShrbyTech!H20)/'Inputs 7&amp;8 Day'!$N32+Fuel2ShrbyTech!H20/'Inputs 7&amp;8 Day'!$T32))</f>
        <v>6.3119238751035152</v>
      </c>
      <c r="I19" s="1248">
        <f>IF('Mkt Pen Veh-Mi'!I19=0,1,1/((1-Fuel2ShrbyTech!I20)/'Inputs 7&amp;8 Day'!$O32+Fuel2ShrbyTech!I20/'Inputs 7&amp;8 Day'!$U32))</f>
        <v>1</v>
      </c>
      <c r="J19" s="1248">
        <f>IF('Mkt Pen Veh-Mi'!J19=0,1,1/((1-Fuel2ShrbyTech!J20)/'Inputs 7&amp;8 Day'!$P32+Fuel2ShrbyTech!J20/'Inputs 7&amp;8 Day'!$V32))</f>
        <v>1</v>
      </c>
      <c r="K19" s="1248">
        <f>IF('Mkt Pen Veh-Mi'!K19=0,1,1/((1-Fuel2ShrbyTech!K20)/'Inputs 7&amp;8 Day'!$Q32+Fuel2ShrbyTech!K20/'Inputs 7&amp;8 Day'!$W32))</f>
        <v>1</v>
      </c>
      <c r="L19" s="1248">
        <f>IF('Mkt Pen Veh-Mi'!L19=0,1,1/((1-Fuel2ShrbyTech!L20)/'Inputs 7&amp;8 Day'!$R32+Fuel2ShrbyTech!L20/'Inputs 7&amp;8 Day'!$X32))</f>
        <v>1</v>
      </c>
      <c r="M19" s="1249">
        <f>IF('Mkt Pen Veh-Mi'!M19=0,1,1/((1-Fuel2ShrbyTech!M20)/'Inputs 7&amp;8 Day'!$S32+Fuel2ShrbyTech!M20/'Inputs 7&amp;8 Day'!$Y32))</f>
        <v>1</v>
      </c>
      <c r="N19" s="1247">
        <f>IF('Mkt Pen Veh-Mi'!N19=0,1,1/((1-Fuel2ShrbyTech!N20)/'Inputs 7&amp;8 SU'!$N32+Fuel2ShrbyTech!N20/'Inputs 7&amp;8 SU'!$T32))</f>
        <v>6.4980207200052877</v>
      </c>
      <c r="O19" s="1248">
        <f>IF('Mkt Pen Veh-Mi'!O19=0,1,1/((1-Fuel2ShrbyTech!O20)/'Inputs 7&amp;8 SU'!$O32+Fuel2ShrbyTech!O20/'Inputs 7&amp;8 SU'!$U32))</f>
        <v>1</v>
      </c>
      <c r="P19" s="1248">
        <f>IF('Mkt Pen Veh-Mi'!P19=0,1,1/((1-Fuel2ShrbyTech!P20)/'Inputs 7&amp;8 SU'!$P32+Fuel2ShrbyTech!P20/'Inputs 7&amp;8 SU'!$V32))</f>
        <v>1</v>
      </c>
      <c r="Q19" s="1248">
        <f>IF('Mkt Pen Veh-Mi'!Q19=0,1,1/((1-Fuel2ShrbyTech!Q20)/'Inputs 7&amp;8 SU'!$Q32+Fuel2ShrbyTech!Q20/'Inputs 7&amp;8 SU'!$W32))</f>
        <v>1</v>
      </c>
      <c r="R19" s="1248">
        <f>IF('Mkt Pen Veh-Mi'!R19=0,1,1/((1-Fuel2ShrbyTech!R20)/'Inputs 7&amp;8 SU'!$R32+Fuel2ShrbyTech!R20/'Inputs 7&amp;8 SU'!$X32))</f>
        <v>1</v>
      </c>
      <c r="S19" s="1249">
        <f>IF('Mkt Pen Veh-Mi'!S19=0,1,1/((1-Fuel2ShrbyTech!S20)/'Inputs 7&amp;8 SU'!$S32+Fuel2ShrbyTech!S20/'Inputs 7&amp;8 SU'!$Y32))</f>
        <v>1</v>
      </c>
      <c r="U19" s="1193">
        <f t="shared" si="13"/>
        <v>2017</v>
      </c>
      <c r="V19" s="1247">
        <f t="shared" si="14"/>
        <v>6.9782676092922058</v>
      </c>
      <c r="W19" s="1248">
        <f t="shared" si="15"/>
        <v>0</v>
      </c>
      <c r="X19" s="1248">
        <f t="shared" si="16"/>
        <v>0</v>
      </c>
      <c r="Y19" s="1248">
        <f t="shared" si="17"/>
        <v>0</v>
      </c>
      <c r="Z19" s="1248">
        <f t="shared" si="18"/>
        <v>0</v>
      </c>
      <c r="AA19" s="1249">
        <f t="shared" si="19"/>
        <v>0</v>
      </c>
      <c r="AB19" s="1247">
        <f t="shared" si="20"/>
        <v>6.3119238751035152</v>
      </c>
      <c r="AC19" s="1248">
        <f t="shared" si="21"/>
        <v>0</v>
      </c>
      <c r="AD19" s="1248">
        <f t="shared" si="22"/>
        <v>0</v>
      </c>
      <c r="AE19" s="1248">
        <f t="shared" si="23"/>
        <v>0</v>
      </c>
      <c r="AF19" s="1248">
        <f t="shared" si="24"/>
        <v>0</v>
      </c>
      <c r="AG19" s="1249">
        <f t="shared" si="25"/>
        <v>0</v>
      </c>
      <c r="AH19" s="1247">
        <f t="shared" si="26"/>
        <v>6.4980207200052877</v>
      </c>
      <c r="AI19" s="1248">
        <f t="shared" si="27"/>
        <v>0</v>
      </c>
      <c r="AJ19" s="1248">
        <f t="shared" si="28"/>
        <v>0</v>
      </c>
      <c r="AK19" s="1248">
        <f t="shared" si="29"/>
        <v>0</v>
      </c>
      <c r="AL19" s="1248">
        <f t="shared" si="30"/>
        <v>0</v>
      </c>
      <c r="AM19" s="1249">
        <f t="shared" si="31"/>
        <v>0</v>
      </c>
      <c r="AN19" s="1178">
        <v>2017</v>
      </c>
      <c r="AO19" s="1324">
        <f t="array" ref="AO19">1/SUMPRODUCT(IFERROR(1/V19:AA19,0),'Mkt Pen Veh-Mi'!B19:G19)</f>
        <v>6.9782676092922058</v>
      </c>
      <c r="AP19" s="1325">
        <f t="array" ref="AP19">1/SUMPRODUCT(IFERROR(1/AB19:AG19,0),'Mkt Pen Veh-Mi'!H19:M19)</f>
        <v>6.3119238751035152</v>
      </c>
      <c r="AQ19" s="1329">
        <f t="array" ref="AQ19">1/SUMPRODUCT(IFERROR(1/AH19:AM19,0),'Mkt Pen Veh-Mi'!N19:S19)</f>
        <v>6.4980207200052877</v>
      </c>
      <c r="AR19" s="1322">
        <v>2017</v>
      </c>
      <c r="AS19" s="1324">
        <f t="shared" si="32"/>
        <v>1</v>
      </c>
      <c r="AT19" s="1325">
        <f t="shared" si="33"/>
        <v>1</v>
      </c>
      <c r="AU19" s="1325">
        <f t="shared" si="34"/>
        <v>1</v>
      </c>
      <c r="AV19" s="1329">
        <v>1</v>
      </c>
    </row>
    <row r="20" spans="1:48" s="1178" customFormat="1" ht="15" x14ac:dyDescent="0.25">
      <c r="A20" s="1193">
        <v>2018</v>
      </c>
      <c r="B20" s="1247">
        <f>IF('Mkt Pen Veh-Mi'!B20=0,1,1/((1-Fuel2ShrbyTech!B21)/'Inputs 7&amp;8 Sleep'!$N33+Fuel2ShrbyTech!B21/'Inputs 7&amp;8 Sleep'!$T33))</f>
        <v>7.1813150613749688</v>
      </c>
      <c r="C20" s="1248">
        <f>IF('Mkt Pen Veh-Mi'!C20=0,1,1/((1-Fuel2ShrbyTech!C21)/'Inputs 7&amp;8 Sleep'!$O33+Fuel2ShrbyTech!C21/'Inputs 7&amp;8 Sleep'!$U33))</f>
        <v>1</v>
      </c>
      <c r="D20" s="1248">
        <f>IF('Mkt Pen Veh-Mi'!D20=0,1,1/((1-Fuel2ShrbyTech!D21)/'Inputs 7&amp;8 Sleep'!$P33+Fuel2ShrbyTech!D21/'Inputs 7&amp;8 Sleep'!$V33))</f>
        <v>1</v>
      </c>
      <c r="E20" s="1248">
        <f>IF('Mkt Pen Veh-Mi'!E20=0,1,1/((1-Fuel2ShrbyTech!E21)/'Inputs 7&amp;8 Sleep'!$Q33+Fuel2ShrbyTech!E21/'Inputs 7&amp;8 Sleep'!$W33))</f>
        <v>1</v>
      </c>
      <c r="F20" s="1248">
        <f>IF('Mkt Pen Veh-Mi'!F20=0,1,1/((1-Fuel2ShrbyTech!F21)/'Inputs 7&amp;8 Sleep'!$R33+Fuel2ShrbyTech!F21/'Inputs 7&amp;8 Sleep'!$X33))</f>
        <v>1</v>
      </c>
      <c r="G20" s="1249">
        <f>IF('Mkt Pen Veh-Mi'!G20=0,1,1/((1-Fuel2ShrbyTech!G21)/'Inputs 7&amp;8 Sleep'!$S33+Fuel2ShrbyTech!G21/'Inputs 7&amp;8 Sleep'!$Y33))</f>
        <v>1</v>
      </c>
      <c r="H20" s="1247">
        <f>IF('Mkt Pen Veh-Mi'!H20=0,1,1/((1-Fuel2ShrbyTech!H21)/'Inputs 7&amp;8 Day'!$N33+Fuel2ShrbyTech!H21/'Inputs 7&amp;8 Day'!$T33))</f>
        <v>6.490547110519385</v>
      </c>
      <c r="I20" s="1248">
        <f>IF('Mkt Pen Veh-Mi'!I20=0,1,1/((1-Fuel2ShrbyTech!I21)/'Inputs 7&amp;8 Day'!$O33+Fuel2ShrbyTech!I21/'Inputs 7&amp;8 Day'!$U33))</f>
        <v>1</v>
      </c>
      <c r="J20" s="1248">
        <f>IF('Mkt Pen Veh-Mi'!J20=0,1,1/((1-Fuel2ShrbyTech!J21)/'Inputs 7&amp;8 Day'!$P33+Fuel2ShrbyTech!J21/'Inputs 7&amp;8 Day'!$V33))</f>
        <v>1</v>
      </c>
      <c r="K20" s="1248">
        <f>IF('Mkt Pen Veh-Mi'!K20=0,1,1/((1-Fuel2ShrbyTech!K21)/'Inputs 7&amp;8 Day'!$Q33+Fuel2ShrbyTech!K21/'Inputs 7&amp;8 Day'!$W33))</f>
        <v>1</v>
      </c>
      <c r="L20" s="1248">
        <f>IF('Mkt Pen Veh-Mi'!L20=0,1,1/((1-Fuel2ShrbyTech!L21)/'Inputs 7&amp;8 Day'!$R33+Fuel2ShrbyTech!L21/'Inputs 7&amp;8 Day'!$X33))</f>
        <v>1</v>
      </c>
      <c r="M20" s="1249">
        <f>IF('Mkt Pen Veh-Mi'!M20=0,1,1/((1-Fuel2ShrbyTech!M21)/'Inputs 7&amp;8 Day'!$S33+Fuel2ShrbyTech!M21/'Inputs 7&amp;8 Day'!$Y33))</f>
        <v>1</v>
      </c>
      <c r="N20" s="1247">
        <f>IF('Mkt Pen Veh-Mi'!N20=0,1,1/((1-Fuel2ShrbyTech!N21)/'Inputs 7&amp;8 SU'!$N33+Fuel2ShrbyTech!N21/'Inputs 7&amp;8 SU'!$T33))</f>
        <v>6.7882707106377271</v>
      </c>
      <c r="O20" s="1248">
        <f>IF('Mkt Pen Veh-Mi'!O20=0,1,1/((1-Fuel2ShrbyTech!O21)/'Inputs 7&amp;8 SU'!$O33+Fuel2ShrbyTech!O21/'Inputs 7&amp;8 SU'!$U33))</f>
        <v>1</v>
      </c>
      <c r="P20" s="1248">
        <f>IF('Mkt Pen Veh-Mi'!P20=0,1,1/((1-Fuel2ShrbyTech!P21)/'Inputs 7&amp;8 SU'!$P33+Fuel2ShrbyTech!P21/'Inputs 7&amp;8 SU'!$V33))</f>
        <v>1</v>
      </c>
      <c r="Q20" s="1248">
        <f>IF('Mkt Pen Veh-Mi'!Q20=0,1,1/((1-Fuel2ShrbyTech!Q21)/'Inputs 7&amp;8 SU'!$Q33+Fuel2ShrbyTech!Q21/'Inputs 7&amp;8 SU'!$W33))</f>
        <v>1</v>
      </c>
      <c r="R20" s="1248">
        <f>IF('Mkt Pen Veh-Mi'!R20=0,1,1/((1-Fuel2ShrbyTech!R21)/'Inputs 7&amp;8 SU'!$R33+Fuel2ShrbyTech!R21/'Inputs 7&amp;8 SU'!$X33))</f>
        <v>1</v>
      </c>
      <c r="S20" s="1249">
        <f>IF('Mkt Pen Veh-Mi'!S20=0,1,1/((1-Fuel2ShrbyTech!S21)/'Inputs 7&amp;8 SU'!$S33+Fuel2ShrbyTech!S21/'Inputs 7&amp;8 SU'!$Y33))</f>
        <v>1</v>
      </c>
      <c r="U20" s="1193">
        <f t="shared" si="13"/>
        <v>2018</v>
      </c>
      <c r="V20" s="1247">
        <f t="shared" si="14"/>
        <v>7.1813150613749688</v>
      </c>
      <c r="W20" s="1248">
        <f t="shared" si="15"/>
        <v>0</v>
      </c>
      <c r="X20" s="1248">
        <f t="shared" si="16"/>
        <v>0</v>
      </c>
      <c r="Y20" s="1248">
        <f t="shared" si="17"/>
        <v>0</v>
      </c>
      <c r="Z20" s="1248">
        <f t="shared" si="18"/>
        <v>0</v>
      </c>
      <c r="AA20" s="1249">
        <f t="shared" si="19"/>
        <v>0</v>
      </c>
      <c r="AB20" s="1247">
        <f t="shared" si="20"/>
        <v>6.490547110519385</v>
      </c>
      <c r="AC20" s="1248">
        <f t="shared" si="21"/>
        <v>0</v>
      </c>
      <c r="AD20" s="1248">
        <f t="shared" si="22"/>
        <v>0</v>
      </c>
      <c r="AE20" s="1248">
        <f t="shared" si="23"/>
        <v>0</v>
      </c>
      <c r="AF20" s="1248">
        <f t="shared" si="24"/>
        <v>0</v>
      </c>
      <c r="AG20" s="1249">
        <f t="shared" si="25"/>
        <v>0</v>
      </c>
      <c r="AH20" s="1247">
        <f t="shared" si="26"/>
        <v>6.7882707106377271</v>
      </c>
      <c r="AI20" s="1248">
        <f t="shared" si="27"/>
        <v>0</v>
      </c>
      <c r="AJ20" s="1248">
        <f t="shared" si="28"/>
        <v>0</v>
      </c>
      <c r="AK20" s="1248">
        <f t="shared" si="29"/>
        <v>0</v>
      </c>
      <c r="AL20" s="1248">
        <f t="shared" si="30"/>
        <v>0</v>
      </c>
      <c r="AM20" s="1249">
        <f t="shared" si="31"/>
        <v>0</v>
      </c>
      <c r="AN20" s="1178">
        <v>2018</v>
      </c>
      <c r="AO20" s="1324">
        <f t="array" ref="AO20">1/SUMPRODUCT(IFERROR(1/V20:AA20,0),'Mkt Pen Veh-Mi'!B20:G20)</f>
        <v>7.1813150613749688</v>
      </c>
      <c r="AP20" s="1325">
        <f t="array" ref="AP20">1/SUMPRODUCT(IFERROR(1/AB20:AG20,0),'Mkt Pen Veh-Mi'!H20:M20)</f>
        <v>6.490547110519385</v>
      </c>
      <c r="AQ20" s="1329">
        <f t="array" ref="AQ20">1/SUMPRODUCT(IFERROR(1/AH20:AM20,0),'Mkt Pen Veh-Mi'!N20:S20)</f>
        <v>6.7882707106377271</v>
      </c>
      <c r="AR20" s="1322">
        <v>2018</v>
      </c>
      <c r="AS20" s="1324">
        <f t="shared" si="32"/>
        <v>1</v>
      </c>
      <c r="AT20" s="1325">
        <f t="shared" si="33"/>
        <v>1</v>
      </c>
      <c r="AU20" s="1325">
        <f t="shared" si="34"/>
        <v>1</v>
      </c>
      <c r="AV20" s="1329">
        <v>1</v>
      </c>
    </row>
    <row r="21" spans="1:48" s="1178" customFormat="1" ht="15" x14ac:dyDescent="0.25">
      <c r="A21" s="1193">
        <v>2019</v>
      </c>
      <c r="B21" s="1247">
        <f>IF('Mkt Pen Veh-Mi'!B21=0,1,1/((1-Fuel2ShrbyTech!B22)/'Inputs 7&amp;8 Sleep'!$N34+Fuel2ShrbyTech!B22/'Inputs 7&amp;8 Sleep'!$T34))</f>
        <v>7.2271132477914168</v>
      </c>
      <c r="C21" s="1248">
        <f>IF('Mkt Pen Veh-Mi'!C21=0,1,1/((1-Fuel2ShrbyTech!C22)/'Inputs 7&amp;8 Sleep'!$O34+Fuel2ShrbyTech!C22/'Inputs 7&amp;8 Sleep'!$U34))</f>
        <v>1</v>
      </c>
      <c r="D21" s="1248">
        <f>IF('Mkt Pen Veh-Mi'!D21=0,1,1/((1-Fuel2ShrbyTech!D22)/'Inputs 7&amp;8 Sleep'!$P34+Fuel2ShrbyTech!D22/'Inputs 7&amp;8 Sleep'!$V34))</f>
        <v>1</v>
      </c>
      <c r="E21" s="1248">
        <f>IF('Mkt Pen Veh-Mi'!E21=0,1,1/((1-Fuel2ShrbyTech!E22)/'Inputs 7&amp;8 Sleep'!$Q34+Fuel2ShrbyTech!E22/'Inputs 7&amp;8 Sleep'!$W34))</f>
        <v>1</v>
      </c>
      <c r="F21" s="1248">
        <f>IF('Mkt Pen Veh-Mi'!F21=0,1,1/((1-Fuel2ShrbyTech!F22)/'Inputs 7&amp;8 Sleep'!$R34+Fuel2ShrbyTech!F22/'Inputs 7&amp;8 Sleep'!$X34))</f>
        <v>1</v>
      </c>
      <c r="G21" s="1249">
        <f>IF('Mkt Pen Veh-Mi'!G21=0,1,1/((1-Fuel2ShrbyTech!G22)/'Inputs 7&amp;8 Sleep'!$S34+Fuel2ShrbyTech!G22/'Inputs 7&amp;8 Sleep'!$Y34))</f>
        <v>1</v>
      </c>
      <c r="H21" s="1247">
        <f>IF('Mkt Pen Veh-Mi'!H21=0,1,1/((1-Fuel2ShrbyTech!H22)/'Inputs 7&amp;8 Day'!$N34+Fuel2ShrbyTech!H22/'Inputs 7&amp;8 Day'!$T34))</f>
        <v>6.5335250359747858</v>
      </c>
      <c r="I21" s="1248">
        <f>IF('Mkt Pen Veh-Mi'!I21=0,1,1/((1-Fuel2ShrbyTech!I22)/'Inputs 7&amp;8 Day'!$O34+Fuel2ShrbyTech!I22/'Inputs 7&amp;8 Day'!$U34))</f>
        <v>1</v>
      </c>
      <c r="J21" s="1248">
        <f>IF('Mkt Pen Veh-Mi'!J21=0,1,1/((1-Fuel2ShrbyTech!J22)/'Inputs 7&amp;8 Day'!$P34+Fuel2ShrbyTech!J22/'Inputs 7&amp;8 Day'!$V34))</f>
        <v>1</v>
      </c>
      <c r="K21" s="1248">
        <f>IF('Mkt Pen Veh-Mi'!K21=0,1,1/((1-Fuel2ShrbyTech!K22)/'Inputs 7&amp;8 Day'!$Q34+Fuel2ShrbyTech!K22/'Inputs 7&amp;8 Day'!$W34))</f>
        <v>1</v>
      </c>
      <c r="L21" s="1248">
        <f>IF('Mkt Pen Veh-Mi'!L21=0,1,1/((1-Fuel2ShrbyTech!L22)/'Inputs 7&amp;8 Day'!$R34+Fuel2ShrbyTech!L22/'Inputs 7&amp;8 Day'!$X34))</f>
        <v>1</v>
      </c>
      <c r="M21" s="1249">
        <f>IF('Mkt Pen Veh-Mi'!M21=0,1,1/((1-Fuel2ShrbyTech!M22)/'Inputs 7&amp;8 Day'!$S34+Fuel2ShrbyTech!M22/'Inputs 7&amp;8 Day'!$Y34))</f>
        <v>1</v>
      </c>
      <c r="N21" s="1247">
        <f>IF('Mkt Pen Veh-Mi'!N21=0,1,1/((1-Fuel2ShrbyTech!N22)/'Inputs 7&amp;8 SU'!$N34+Fuel2ShrbyTech!N22/'Inputs 7&amp;8 SU'!$T34))</f>
        <v>6.8198260867882974</v>
      </c>
      <c r="O21" s="1248">
        <f>IF('Mkt Pen Veh-Mi'!O21=0,1,1/((1-Fuel2ShrbyTech!O22)/'Inputs 7&amp;8 SU'!$O34+Fuel2ShrbyTech!O22/'Inputs 7&amp;8 SU'!$U34))</f>
        <v>1</v>
      </c>
      <c r="P21" s="1248">
        <f>IF('Mkt Pen Veh-Mi'!P21=0,1,1/((1-Fuel2ShrbyTech!P22)/'Inputs 7&amp;8 SU'!$P34+Fuel2ShrbyTech!P22/'Inputs 7&amp;8 SU'!$V34))</f>
        <v>1</v>
      </c>
      <c r="Q21" s="1248">
        <f>IF('Mkt Pen Veh-Mi'!Q21=0,1,1/((1-Fuel2ShrbyTech!Q22)/'Inputs 7&amp;8 SU'!$Q34+Fuel2ShrbyTech!Q22/'Inputs 7&amp;8 SU'!$W34))</f>
        <v>1</v>
      </c>
      <c r="R21" s="1248">
        <f>IF('Mkt Pen Veh-Mi'!R21=0,1,1/((1-Fuel2ShrbyTech!R22)/'Inputs 7&amp;8 SU'!$R34+Fuel2ShrbyTech!R22/'Inputs 7&amp;8 SU'!$X34))</f>
        <v>1</v>
      </c>
      <c r="S21" s="1249">
        <f>IF('Mkt Pen Veh-Mi'!S21=0,1,1/((1-Fuel2ShrbyTech!S22)/'Inputs 7&amp;8 SU'!$S34+Fuel2ShrbyTech!S22/'Inputs 7&amp;8 SU'!$Y34))</f>
        <v>1</v>
      </c>
      <c r="U21" s="1193">
        <f t="shared" si="13"/>
        <v>2019</v>
      </c>
      <c r="V21" s="1247">
        <f t="shared" si="14"/>
        <v>7.2271132477914168</v>
      </c>
      <c r="W21" s="1248">
        <f t="shared" si="15"/>
        <v>0</v>
      </c>
      <c r="X21" s="1248">
        <f t="shared" si="16"/>
        <v>0</v>
      </c>
      <c r="Y21" s="1248">
        <f t="shared" si="17"/>
        <v>0</v>
      </c>
      <c r="Z21" s="1248">
        <f t="shared" si="18"/>
        <v>0</v>
      </c>
      <c r="AA21" s="1249">
        <f t="shared" si="19"/>
        <v>0</v>
      </c>
      <c r="AB21" s="1247">
        <f t="shared" si="20"/>
        <v>6.5335250359747858</v>
      </c>
      <c r="AC21" s="1248">
        <f t="shared" si="21"/>
        <v>0</v>
      </c>
      <c r="AD21" s="1248">
        <f t="shared" si="22"/>
        <v>0</v>
      </c>
      <c r="AE21" s="1248">
        <f t="shared" si="23"/>
        <v>0</v>
      </c>
      <c r="AF21" s="1248">
        <f t="shared" si="24"/>
        <v>0</v>
      </c>
      <c r="AG21" s="1249">
        <f t="shared" si="25"/>
        <v>0</v>
      </c>
      <c r="AH21" s="1247">
        <f t="shared" si="26"/>
        <v>6.8198260867882974</v>
      </c>
      <c r="AI21" s="1248">
        <f t="shared" si="27"/>
        <v>0</v>
      </c>
      <c r="AJ21" s="1248">
        <f t="shared" si="28"/>
        <v>0</v>
      </c>
      <c r="AK21" s="1248">
        <f t="shared" si="29"/>
        <v>0</v>
      </c>
      <c r="AL21" s="1248">
        <f t="shared" si="30"/>
        <v>0</v>
      </c>
      <c r="AM21" s="1249">
        <f t="shared" si="31"/>
        <v>0</v>
      </c>
      <c r="AN21" s="1178">
        <v>2019</v>
      </c>
      <c r="AO21" s="1324">
        <f t="array" ref="AO21">1/SUMPRODUCT(IFERROR(1/V21:AA21,0),'Mkt Pen Veh-Mi'!B21:G21)</f>
        <v>7.2271132477914168</v>
      </c>
      <c r="AP21" s="1325">
        <f t="array" ref="AP21">1/SUMPRODUCT(IFERROR(1/AB21:AG21,0),'Mkt Pen Veh-Mi'!H21:M21)</f>
        <v>6.5335250359747858</v>
      </c>
      <c r="AQ21" s="1329">
        <f t="array" ref="AQ21">1/SUMPRODUCT(IFERROR(1/AH21:AM21,0),'Mkt Pen Veh-Mi'!N21:S21)</f>
        <v>6.8198260867882974</v>
      </c>
      <c r="AR21" s="1322">
        <v>2019</v>
      </c>
      <c r="AS21" s="1324">
        <f t="shared" si="32"/>
        <v>1</v>
      </c>
      <c r="AT21" s="1325">
        <f t="shared" si="33"/>
        <v>1</v>
      </c>
      <c r="AU21" s="1325">
        <f t="shared" si="34"/>
        <v>1</v>
      </c>
      <c r="AV21" s="1329">
        <v>1</v>
      </c>
    </row>
    <row r="22" spans="1:48" s="1178" customFormat="1" ht="15" x14ac:dyDescent="0.25">
      <c r="A22" s="1199">
        <v>2020</v>
      </c>
      <c r="B22" s="1250">
        <f>IF('Mkt Pen Veh-Mi'!B22=0,1,1/((1-Fuel2ShrbyTech!B23)/'Inputs 7&amp;8 Sleep'!$N35+Fuel2ShrbyTech!B23/'Inputs 7&amp;8 Sleep'!$T35))</f>
        <v>7.2894962312959821</v>
      </c>
      <c r="C22" s="1251">
        <f>IF('Mkt Pen Veh-Mi'!C22=0,1,1/((1-Fuel2ShrbyTech!C23)/'Inputs 7&amp;8 Sleep'!$O35+Fuel2ShrbyTech!C23/'Inputs 7&amp;8 Sleep'!$U35))</f>
        <v>1</v>
      </c>
      <c r="D22" s="1251">
        <f>IF('Mkt Pen Veh-Mi'!D22=0,1,1/((1-Fuel2ShrbyTech!D23)/'Inputs 7&amp;8 Sleep'!$P35+Fuel2ShrbyTech!D23/'Inputs 7&amp;8 Sleep'!$V35))</f>
        <v>1</v>
      </c>
      <c r="E22" s="1251">
        <f>IF('Mkt Pen Veh-Mi'!E22=0,1,1/((1-Fuel2ShrbyTech!E23)/'Inputs 7&amp;8 Sleep'!$Q35+Fuel2ShrbyTech!E23/'Inputs 7&amp;8 Sleep'!$W35))</f>
        <v>1</v>
      </c>
      <c r="F22" s="1251">
        <f>IF('Mkt Pen Veh-Mi'!F22=0,1,1/((1-Fuel2ShrbyTech!F23)/'Inputs 7&amp;8 Sleep'!$R35+Fuel2ShrbyTech!F23/'Inputs 7&amp;8 Sleep'!$X35))</f>
        <v>1</v>
      </c>
      <c r="G22" s="1252">
        <f>IF('Mkt Pen Veh-Mi'!G22=0,1,1/((1-Fuel2ShrbyTech!G23)/'Inputs 7&amp;8 Sleep'!$S35+Fuel2ShrbyTech!G23/'Inputs 7&amp;8 Sleep'!$Y35))</f>
        <v>1</v>
      </c>
      <c r="H22" s="1250">
        <f>IF('Mkt Pen Veh-Mi'!H22=0,1,1/((1-Fuel2ShrbyTech!H23)/'Inputs 7&amp;8 Day'!$N35+Fuel2ShrbyTech!H23/'Inputs 7&amp;8 Day'!$T35))</f>
        <v>6.5937589910582313</v>
      </c>
      <c r="I22" s="1251">
        <f>IF('Mkt Pen Veh-Mi'!I22=0,1,1/((1-Fuel2ShrbyTech!I23)/'Inputs 7&amp;8 Day'!$O35+Fuel2ShrbyTech!I23/'Inputs 7&amp;8 Day'!$U35))</f>
        <v>1</v>
      </c>
      <c r="J22" s="1251">
        <f>IF('Mkt Pen Veh-Mi'!J22=0,1,1/((1-Fuel2ShrbyTech!J23)/'Inputs 7&amp;8 Day'!$P35+Fuel2ShrbyTech!J23/'Inputs 7&amp;8 Day'!$V35))</f>
        <v>1</v>
      </c>
      <c r="K22" s="1251">
        <f>IF('Mkt Pen Veh-Mi'!K22=0,1,1/((1-Fuel2ShrbyTech!K23)/'Inputs 7&amp;8 Day'!$Q35+Fuel2ShrbyTech!K23/'Inputs 7&amp;8 Day'!$W35))</f>
        <v>1</v>
      </c>
      <c r="L22" s="1251">
        <f>IF('Mkt Pen Veh-Mi'!L22=0,1,1/((1-Fuel2ShrbyTech!L23)/'Inputs 7&amp;8 Day'!$R35+Fuel2ShrbyTech!L23/'Inputs 7&amp;8 Day'!$X35))</f>
        <v>1</v>
      </c>
      <c r="M22" s="1252">
        <f>IF('Mkt Pen Veh-Mi'!M22=0,1,1/((1-Fuel2ShrbyTech!M23)/'Inputs 7&amp;8 Day'!$S35+Fuel2ShrbyTech!M23/'Inputs 7&amp;8 Day'!$Y35))</f>
        <v>1</v>
      </c>
      <c r="N22" s="1250">
        <f>IF('Mkt Pen Veh-Mi'!N22=0,1,1/((1-Fuel2ShrbyTech!N23)/'Inputs 7&amp;8 SU'!$N35+Fuel2ShrbyTech!N23/'Inputs 7&amp;8 SU'!$T35))</f>
        <v>6.8652961720744159</v>
      </c>
      <c r="O22" s="1251">
        <f>IF('Mkt Pen Veh-Mi'!O22=0,1,1/((1-Fuel2ShrbyTech!O23)/'Inputs 7&amp;8 SU'!$O35+Fuel2ShrbyTech!O23/'Inputs 7&amp;8 SU'!$U35))</f>
        <v>1</v>
      </c>
      <c r="P22" s="1251">
        <f>IF('Mkt Pen Veh-Mi'!P22=0,1,1/((1-Fuel2ShrbyTech!P23)/'Inputs 7&amp;8 SU'!$P35+Fuel2ShrbyTech!P23/'Inputs 7&amp;8 SU'!$V35))</f>
        <v>1</v>
      </c>
      <c r="Q22" s="1251">
        <f>IF('Mkt Pen Veh-Mi'!Q22=0,1,1/((1-Fuel2ShrbyTech!Q23)/'Inputs 7&amp;8 SU'!$Q35+Fuel2ShrbyTech!Q23/'Inputs 7&amp;8 SU'!$W35))</f>
        <v>1</v>
      </c>
      <c r="R22" s="1251">
        <f>IF('Mkt Pen Veh-Mi'!R22=0,1,1/((1-Fuel2ShrbyTech!R23)/'Inputs 7&amp;8 SU'!$R35+Fuel2ShrbyTech!R23/'Inputs 7&amp;8 SU'!$X35))</f>
        <v>1</v>
      </c>
      <c r="S22" s="1252">
        <f>IF('Mkt Pen Veh-Mi'!S22=0,1,1/((1-Fuel2ShrbyTech!S23)/'Inputs 7&amp;8 SU'!$S35+Fuel2ShrbyTech!S23/'Inputs 7&amp;8 SU'!$Y35))</f>
        <v>1</v>
      </c>
      <c r="U22" s="1199">
        <f t="shared" si="13"/>
        <v>2020</v>
      </c>
      <c r="V22" s="1250">
        <f t="shared" si="14"/>
        <v>7.2894962312959821</v>
      </c>
      <c r="W22" s="1251">
        <f t="shared" si="15"/>
        <v>0</v>
      </c>
      <c r="X22" s="1251">
        <f t="shared" si="16"/>
        <v>0</v>
      </c>
      <c r="Y22" s="1251">
        <f t="shared" si="17"/>
        <v>0</v>
      </c>
      <c r="Z22" s="1251">
        <f t="shared" si="18"/>
        <v>0</v>
      </c>
      <c r="AA22" s="1252">
        <f t="shared" si="19"/>
        <v>0</v>
      </c>
      <c r="AB22" s="1250">
        <f t="shared" si="20"/>
        <v>6.5937589910582313</v>
      </c>
      <c r="AC22" s="1251">
        <f t="shared" si="21"/>
        <v>0</v>
      </c>
      <c r="AD22" s="1251">
        <f t="shared" si="22"/>
        <v>0</v>
      </c>
      <c r="AE22" s="1251">
        <f t="shared" si="23"/>
        <v>0</v>
      </c>
      <c r="AF22" s="1251">
        <f t="shared" si="24"/>
        <v>0</v>
      </c>
      <c r="AG22" s="1252">
        <f t="shared" si="25"/>
        <v>0</v>
      </c>
      <c r="AH22" s="1250">
        <f t="shared" si="26"/>
        <v>6.8652961720744159</v>
      </c>
      <c r="AI22" s="1251">
        <f t="shared" si="27"/>
        <v>0</v>
      </c>
      <c r="AJ22" s="1251">
        <f t="shared" si="28"/>
        <v>0</v>
      </c>
      <c r="AK22" s="1251">
        <f t="shared" si="29"/>
        <v>0</v>
      </c>
      <c r="AL22" s="1251">
        <f t="shared" si="30"/>
        <v>0</v>
      </c>
      <c r="AM22" s="1252">
        <f t="shared" si="31"/>
        <v>0</v>
      </c>
      <c r="AN22" s="1178">
        <v>2020</v>
      </c>
      <c r="AO22" s="1324">
        <f t="array" ref="AO22">1/SUMPRODUCT(IFERROR(1/V22:AA22,0),'Mkt Pen Veh-Mi'!B22:G22)</f>
        <v>7.2894962312959821</v>
      </c>
      <c r="AP22" s="1325">
        <f t="array" ref="AP22">1/SUMPRODUCT(IFERROR(1/AB22:AG22,0),'Mkt Pen Veh-Mi'!H22:M22)</f>
        <v>6.5937589910582313</v>
      </c>
      <c r="AQ22" s="1329">
        <f t="array" ref="AQ22">1/SUMPRODUCT(IFERROR(1/AH22:AM22,0),'Mkt Pen Veh-Mi'!N22:S22)</f>
        <v>6.8652961720744159</v>
      </c>
      <c r="AR22" s="1322">
        <v>2020</v>
      </c>
      <c r="AS22" s="1324">
        <f t="shared" si="32"/>
        <v>1</v>
      </c>
      <c r="AT22" s="1325">
        <f t="shared" si="33"/>
        <v>1</v>
      </c>
      <c r="AU22" s="1325">
        <f t="shared" si="34"/>
        <v>1</v>
      </c>
      <c r="AV22" s="1329">
        <v>1</v>
      </c>
    </row>
    <row r="23" spans="1:48" s="1178" customFormat="1" ht="15" x14ac:dyDescent="0.25">
      <c r="A23" s="1193">
        <v>2021</v>
      </c>
      <c r="B23" s="1253">
        <f>IF('Mkt Pen Veh-Mi'!B23=0,1,1/((1-Fuel2ShrbyTech!B24)/'Inputs 7&amp;8 Sleep'!$N36+Fuel2ShrbyTech!B24/'Inputs 7&amp;8 Sleep'!$T36))</f>
        <v>7.29541315361217</v>
      </c>
      <c r="C23" s="1254">
        <f>IF('Mkt Pen Veh-Mi'!C23=0,1,1/((1-Fuel2ShrbyTech!C24)/'Inputs 7&amp;8 Sleep'!$O36+Fuel2ShrbyTech!C24/'Inputs 7&amp;8 Sleep'!$U36))</f>
        <v>7.4308901714917459</v>
      </c>
      <c r="D23" s="1254">
        <f>IF('Mkt Pen Veh-Mi'!D23=0,1,1/((1-Fuel2ShrbyTech!D24)/'Inputs 7&amp;8 Sleep'!$P36+Fuel2ShrbyTech!D24/'Inputs 7&amp;8 Sleep'!$V36))</f>
        <v>7.4665124503382803</v>
      </c>
      <c r="E23" s="1254">
        <f>IF('Mkt Pen Veh-Mi'!E23=0,1,1/((1-Fuel2ShrbyTech!E24)/'Inputs 7&amp;8 Sleep'!$Q36+Fuel2ShrbyTech!E24/'Inputs 7&amp;8 Sleep'!$W36))</f>
        <v>1</v>
      </c>
      <c r="F23" s="1254">
        <f>IF('Mkt Pen Veh-Mi'!F23=0,1,1/((1-Fuel2ShrbyTech!F24)/'Inputs 7&amp;8 Sleep'!$R36+Fuel2ShrbyTech!F24/'Inputs 7&amp;8 Sleep'!$X36))</f>
        <v>1</v>
      </c>
      <c r="G23" s="1255">
        <f>IF('Mkt Pen Veh-Mi'!G23=0,1,1/((1-Fuel2ShrbyTech!G24)/'Inputs 7&amp;8 Sleep'!$S36+Fuel2ShrbyTech!G24/'Inputs 7&amp;8 Sleep'!$Y36))</f>
        <v>1</v>
      </c>
      <c r="H23" s="1253">
        <f>IF('Mkt Pen Veh-Mi'!H23=0,1,1/((1-Fuel2ShrbyTech!H24)/'Inputs 7&amp;8 Day'!$N36+Fuel2ShrbyTech!H24/'Inputs 7&amp;8 Day'!$T36))</f>
        <v>6.610100853808035</v>
      </c>
      <c r="I23" s="1254">
        <f>IF('Mkt Pen Veh-Mi'!I23=0,1,1/((1-Fuel2ShrbyTech!I24)/'Inputs 7&amp;8 Day'!$O36+Fuel2ShrbyTech!I24/'Inputs 7&amp;8 Day'!$U36))</f>
        <v>6.7450424840493035</v>
      </c>
      <c r="J23" s="1254">
        <f>IF('Mkt Pen Veh-Mi'!J23=0,1,1/((1-Fuel2ShrbyTech!J24)/'Inputs 7&amp;8 Day'!$P36+Fuel2ShrbyTech!J24/'Inputs 7&amp;8 Day'!$V36))</f>
        <v>6.7496952407848143</v>
      </c>
      <c r="K23" s="1254">
        <f>IF('Mkt Pen Veh-Mi'!K23=0,1,1/((1-Fuel2ShrbyTech!K24)/'Inputs 7&amp;8 Day'!$Q36+Fuel2ShrbyTech!K24/'Inputs 7&amp;8 Day'!$W36))</f>
        <v>1</v>
      </c>
      <c r="L23" s="1254">
        <f>IF('Mkt Pen Veh-Mi'!L23=0,1,1/((1-Fuel2ShrbyTech!L24)/'Inputs 7&amp;8 Day'!$R36+Fuel2ShrbyTech!L24/'Inputs 7&amp;8 Day'!$X36))</f>
        <v>1</v>
      </c>
      <c r="M23" s="1255">
        <f>IF('Mkt Pen Veh-Mi'!M23=0,1,1/((1-Fuel2ShrbyTech!M24)/'Inputs 7&amp;8 Day'!$S36+Fuel2ShrbyTech!M24/'Inputs 7&amp;8 Day'!$Y36))</f>
        <v>1</v>
      </c>
      <c r="N23" s="1253">
        <f>IF('Mkt Pen Veh-Mi'!N23=0,1,1/((1-Fuel2ShrbyTech!N24)/'Inputs 7&amp;8 SU'!$N36+Fuel2ShrbyTech!N24/'Inputs 7&amp;8 SU'!$T36))</f>
        <v>7.1066946066856191</v>
      </c>
      <c r="O23" s="1254">
        <f>IF('Mkt Pen Veh-Mi'!O23=0,1,1/((1-Fuel2ShrbyTech!O24)/'Inputs 7&amp;8 SU'!$O36+Fuel2ShrbyTech!O24/'Inputs 7&amp;8 SU'!$U36))</f>
        <v>1</v>
      </c>
      <c r="P23" s="1254">
        <f>IF('Mkt Pen Veh-Mi'!P23=0,1,1/((1-Fuel2ShrbyTech!P24)/'Inputs 7&amp;8 SU'!$P36+Fuel2ShrbyTech!P24/'Inputs 7&amp;8 SU'!$V36))</f>
        <v>1</v>
      </c>
      <c r="Q23" s="1254">
        <f>IF('Mkt Pen Veh-Mi'!Q23=0,1,1/((1-Fuel2ShrbyTech!Q24)/'Inputs 7&amp;8 SU'!$Q36+Fuel2ShrbyTech!Q24/'Inputs 7&amp;8 SU'!$W36))</f>
        <v>1</v>
      </c>
      <c r="R23" s="1254">
        <f>IF('Mkt Pen Veh-Mi'!R23=0,1,1/((1-Fuel2ShrbyTech!R24)/'Inputs 7&amp;8 SU'!$R36+Fuel2ShrbyTech!R24/'Inputs 7&amp;8 SU'!$X36))</f>
        <v>1</v>
      </c>
      <c r="S23" s="1255">
        <f>IF('Mkt Pen Veh-Mi'!S23=0,1,1/((1-Fuel2ShrbyTech!S24)/'Inputs 7&amp;8 SU'!$S36+Fuel2ShrbyTech!S24/'Inputs 7&amp;8 SU'!$Y36))</f>
        <v>1</v>
      </c>
      <c r="U23" s="1193">
        <f t="shared" si="13"/>
        <v>2021</v>
      </c>
      <c r="V23" s="1253">
        <f t="shared" si="14"/>
        <v>7.29541315361217</v>
      </c>
      <c r="W23" s="1254">
        <f t="shared" si="15"/>
        <v>7.4308901714917459</v>
      </c>
      <c r="X23" s="1254">
        <f t="shared" si="16"/>
        <v>7.4665124503382803</v>
      </c>
      <c r="Y23" s="1254">
        <f t="shared" si="17"/>
        <v>0</v>
      </c>
      <c r="Z23" s="1254">
        <f t="shared" si="18"/>
        <v>0</v>
      </c>
      <c r="AA23" s="1255">
        <f t="shared" si="19"/>
        <v>0</v>
      </c>
      <c r="AB23" s="1253">
        <f t="shared" si="20"/>
        <v>6.610100853808035</v>
      </c>
      <c r="AC23" s="1254">
        <f t="shared" si="21"/>
        <v>6.7450424840493035</v>
      </c>
      <c r="AD23" s="1254">
        <f t="shared" si="22"/>
        <v>6.7496952407848143</v>
      </c>
      <c r="AE23" s="1254">
        <f t="shared" si="23"/>
        <v>0</v>
      </c>
      <c r="AF23" s="1254">
        <f t="shared" si="24"/>
        <v>0</v>
      </c>
      <c r="AG23" s="1255">
        <f t="shared" si="25"/>
        <v>0</v>
      </c>
      <c r="AH23" s="1253">
        <f t="shared" si="26"/>
        <v>7.1066946066856191</v>
      </c>
      <c r="AI23" s="1254">
        <f t="shared" si="27"/>
        <v>0</v>
      </c>
      <c r="AJ23" s="1254">
        <f t="shared" si="28"/>
        <v>0</v>
      </c>
      <c r="AK23" s="1254">
        <f t="shared" si="29"/>
        <v>0</v>
      </c>
      <c r="AL23" s="1254">
        <f t="shared" si="30"/>
        <v>0</v>
      </c>
      <c r="AM23" s="1255">
        <f t="shared" si="31"/>
        <v>0</v>
      </c>
      <c r="AN23" s="1178">
        <v>2021</v>
      </c>
      <c r="AO23" s="1324">
        <f t="array" ref="AO23">1/SUMPRODUCT(IFERROR(1/V23:AA23,0),'Mkt Pen Veh-Mi'!B23:G23)</f>
        <v>7.3019666812565882</v>
      </c>
      <c r="AP23" s="1325">
        <f t="array" ref="AP23">1/SUMPRODUCT(IFERROR(1/AB23:AG23,0),'Mkt Pen Veh-Mi'!H23:M23)</f>
        <v>6.6150912462770011</v>
      </c>
      <c r="AQ23" s="1329">
        <f t="array" ref="AQ23">1/SUMPRODUCT(IFERROR(1/AH23:AM23,0),'Mkt Pen Veh-Mi'!N23:S23)</f>
        <v>7.1066946066856191</v>
      </c>
      <c r="AR23" s="1322">
        <v>2021</v>
      </c>
      <c r="AS23" s="1324">
        <f t="shared" si="32"/>
        <v>1.0008983079513698</v>
      </c>
      <c r="AT23" s="1325">
        <f t="shared" si="33"/>
        <v>1.0007549646487</v>
      </c>
      <c r="AU23" s="1325">
        <f t="shared" si="34"/>
        <v>1</v>
      </c>
      <c r="AV23" s="1329">
        <v>1.0014357770328348</v>
      </c>
    </row>
    <row r="24" spans="1:48" s="1178" customFormat="1" ht="15" x14ac:dyDescent="0.25">
      <c r="A24" s="1193">
        <v>2022</v>
      </c>
      <c r="B24" s="1247">
        <f>IF('Mkt Pen Veh-Mi'!B24=0,1,1/((1-Fuel2ShrbyTech!B25)/'Inputs 7&amp;8 Sleep'!$N37+Fuel2ShrbyTech!B25/'Inputs 7&amp;8 Sleep'!$T37))</f>
        <v>7.3873963165063774</v>
      </c>
      <c r="C24" s="1248">
        <f>IF('Mkt Pen Veh-Mi'!C24=0,1,1/((1-Fuel2ShrbyTech!C25)/'Inputs 7&amp;8 Sleep'!$O37+Fuel2ShrbyTech!C25/'Inputs 7&amp;8 Sleep'!$U37))</f>
        <v>7.6568734158989917</v>
      </c>
      <c r="D24" s="1248">
        <f>IF('Mkt Pen Veh-Mi'!D24=0,1,1/((1-Fuel2ShrbyTech!D25)/'Inputs 7&amp;8 Sleep'!$P37+Fuel2ShrbyTech!D25/'Inputs 7&amp;8 Sleep'!$V37))</f>
        <v>7.6947705083553934</v>
      </c>
      <c r="E24" s="1248">
        <f>IF('Mkt Pen Veh-Mi'!E24=0,1,1/((1-Fuel2ShrbyTech!E25)/'Inputs 7&amp;8 Sleep'!$Q37+Fuel2ShrbyTech!E25/'Inputs 7&amp;8 Sleep'!$W37))</f>
        <v>7.5826521130421671</v>
      </c>
      <c r="F24" s="1248">
        <f>IF('Mkt Pen Veh-Mi'!F24=0,1,1/((1-Fuel2ShrbyTech!F25)/'Inputs 7&amp;8 Sleep'!$R37+Fuel2ShrbyTech!F25/'Inputs 7&amp;8 Sleep'!$X37))</f>
        <v>1</v>
      </c>
      <c r="G24" s="1249">
        <f>IF('Mkt Pen Veh-Mi'!G24=0,1,1/((1-Fuel2ShrbyTech!G25)/'Inputs 7&amp;8 Sleep'!$S37+Fuel2ShrbyTech!G25/'Inputs 7&amp;8 Sleep'!$Y37))</f>
        <v>1</v>
      </c>
      <c r="H24" s="1247">
        <f>IF('Mkt Pen Veh-Mi'!H24=0,1,1/((1-Fuel2ShrbyTech!H25)/'Inputs 7&amp;8 Day'!$N37+Fuel2ShrbyTech!H25/'Inputs 7&amp;8 Day'!$T37))</f>
        <v>6.7005254493390005</v>
      </c>
      <c r="I24" s="1248">
        <f>IF('Mkt Pen Veh-Mi'!I24=0,1,1/((1-Fuel2ShrbyTech!I25)/'Inputs 7&amp;8 Day'!$O37+Fuel2ShrbyTech!I25/'Inputs 7&amp;8 Day'!$U37))</f>
        <v>6.9690689215323394</v>
      </c>
      <c r="J24" s="1248">
        <f>IF('Mkt Pen Veh-Mi'!J24=0,1,1/((1-Fuel2ShrbyTech!J25)/'Inputs 7&amp;8 Day'!$P37+Fuel2ShrbyTech!J25/'Inputs 7&amp;8 Day'!$V37))</f>
        <v>6.978762914555956</v>
      </c>
      <c r="K24" s="1248">
        <f>IF('Mkt Pen Veh-Mi'!K24=0,1,1/((1-Fuel2ShrbyTech!K25)/'Inputs 7&amp;8 Day'!$Q37+Fuel2ShrbyTech!K25/'Inputs 7&amp;8 Day'!$W37))</f>
        <v>1</v>
      </c>
      <c r="L24" s="1248">
        <f>IF('Mkt Pen Veh-Mi'!L24=0,1,1/((1-Fuel2ShrbyTech!L25)/'Inputs 7&amp;8 Day'!$R37+Fuel2ShrbyTech!L25/'Inputs 7&amp;8 Day'!$X37))</f>
        <v>1</v>
      </c>
      <c r="M24" s="1249">
        <f>IF('Mkt Pen Veh-Mi'!M24=0,1,1/((1-Fuel2ShrbyTech!M25)/'Inputs 7&amp;8 Day'!$S37+Fuel2ShrbyTech!M25/'Inputs 7&amp;8 Day'!$Y37))</f>
        <v>1</v>
      </c>
      <c r="N24" s="1247">
        <f>IF('Mkt Pen Veh-Mi'!N24=0,1,1/((1-Fuel2ShrbyTech!N25)/'Inputs 7&amp;8 SU'!$N37+Fuel2ShrbyTech!N25/'Inputs 7&amp;8 SU'!$T37))</f>
        <v>7.2549468572317179</v>
      </c>
      <c r="O24" s="1248">
        <f>IF('Mkt Pen Veh-Mi'!O24=0,1,1/((1-Fuel2ShrbyTech!O25)/'Inputs 7&amp;8 SU'!$O37+Fuel2ShrbyTech!O25/'Inputs 7&amp;8 SU'!$U37))</f>
        <v>7.5470263474657697</v>
      </c>
      <c r="P24" s="1248">
        <f>IF('Mkt Pen Veh-Mi'!P24=0,1,1/((1-Fuel2ShrbyTech!P25)/'Inputs 7&amp;8 SU'!$P37+Fuel2ShrbyTech!P25/'Inputs 7&amp;8 SU'!$V37))</f>
        <v>7.9604767491506099</v>
      </c>
      <c r="Q24" s="1248">
        <f>IF('Mkt Pen Veh-Mi'!Q24=0,1,1/((1-Fuel2ShrbyTech!Q25)/'Inputs 7&amp;8 SU'!$Q37+Fuel2ShrbyTech!Q25/'Inputs 7&amp;8 SU'!$W37))</f>
        <v>8.5867009582406837</v>
      </c>
      <c r="R24" s="1248">
        <f>IF('Mkt Pen Veh-Mi'!R24=0,1,1/((1-Fuel2ShrbyTech!R25)/'Inputs 7&amp;8 SU'!$R37+Fuel2ShrbyTech!R25/'Inputs 7&amp;8 SU'!$X37))</f>
        <v>1</v>
      </c>
      <c r="S24" s="1249">
        <f>IF('Mkt Pen Veh-Mi'!S24=0,1,1/((1-Fuel2ShrbyTech!S25)/'Inputs 7&amp;8 SU'!$S37+Fuel2ShrbyTech!S25/'Inputs 7&amp;8 SU'!$Y37))</f>
        <v>1</v>
      </c>
      <c r="U24" s="1193">
        <f t="shared" si="13"/>
        <v>2022</v>
      </c>
      <c r="V24" s="1247">
        <f t="shared" si="14"/>
        <v>7.3873963165063774</v>
      </c>
      <c r="W24" s="1248">
        <f t="shared" si="15"/>
        <v>7.6568734158989917</v>
      </c>
      <c r="X24" s="1248">
        <f t="shared" si="16"/>
        <v>7.6947705083553934</v>
      </c>
      <c r="Y24" s="1248">
        <f t="shared" si="17"/>
        <v>7.5826521130421671</v>
      </c>
      <c r="Z24" s="1248">
        <f t="shared" si="18"/>
        <v>0</v>
      </c>
      <c r="AA24" s="1249">
        <f t="shared" si="19"/>
        <v>0</v>
      </c>
      <c r="AB24" s="1247">
        <f t="shared" si="20"/>
        <v>6.7005254493390005</v>
      </c>
      <c r="AC24" s="1248">
        <f t="shared" si="21"/>
        <v>6.9690689215323394</v>
      </c>
      <c r="AD24" s="1248">
        <f t="shared" si="22"/>
        <v>6.978762914555956</v>
      </c>
      <c r="AE24" s="1248">
        <f t="shared" si="23"/>
        <v>0</v>
      </c>
      <c r="AF24" s="1248">
        <f t="shared" si="24"/>
        <v>0</v>
      </c>
      <c r="AG24" s="1249">
        <f t="shared" si="25"/>
        <v>0</v>
      </c>
      <c r="AH24" s="1247">
        <f t="shared" si="26"/>
        <v>7.2549468572317179</v>
      </c>
      <c r="AI24" s="1248">
        <f t="shared" si="27"/>
        <v>7.5470263474657697</v>
      </c>
      <c r="AJ24" s="1248">
        <f t="shared" si="28"/>
        <v>7.9604767491506099</v>
      </c>
      <c r="AK24" s="1248">
        <f t="shared" si="29"/>
        <v>8.5867009582406837</v>
      </c>
      <c r="AL24" s="1248">
        <f t="shared" si="30"/>
        <v>0</v>
      </c>
      <c r="AM24" s="1249">
        <f t="shared" si="31"/>
        <v>0</v>
      </c>
      <c r="AN24" s="1178">
        <v>2022</v>
      </c>
      <c r="AO24" s="1324">
        <f t="array" ref="AO24">1/SUMPRODUCT(IFERROR(1/V24:AA24,0),'Mkt Pen Veh-Mi'!B24:G24)</f>
        <v>7.4183649066444968</v>
      </c>
      <c r="AP24" s="1325">
        <f t="array" ref="AP24">1/SUMPRODUCT(IFERROR(1/AB24:AG24,0),'Mkt Pen Veh-Mi'!H24:M24)</f>
        <v>6.7245434003964233</v>
      </c>
      <c r="AQ24" s="1329">
        <f t="array" ref="AQ24">1/SUMPRODUCT(IFERROR(1/AH24:AM24,0),'Mkt Pen Veh-Mi'!N24:S24)</f>
        <v>7.2710469902548578</v>
      </c>
      <c r="AR24" s="1322">
        <v>2022</v>
      </c>
      <c r="AS24" s="1324">
        <f t="shared" si="32"/>
        <v>1.0041920845736845</v>
      </c>
      <c r="AT24" s="1325">
        <f t="shared" si="33"/>
        <v>1.003584487700109</v>
      </c>
      <c r="AU24" s="1325">
        <f t="shared" si="34"/>
        <v>1.0022191937914875</v>
      </c>
      <c r="AV24" s="1329">
        <v>1.0062505931411208</v>
      </c>
    </row>
    <row r="25" spans="1:48" s="1178" customFormat="1" ht="15" x14ac:dyDescent="0.25">
      <c r="A25" s="1193">
        <v>2023</v>
      </c>
      <c r="B25" s="1247">
        <f>IF('Mkt Pen Veh-Mi'!B25=0,1,1/((1-Fuel2ShrbyTech!B26)/'Inputs 7&amp;8 Sleep'!$N38+Fuel2ShrbyTech!B26/'Inputs 7&amp;8 Sleep'!$T38))</f>
        <v>7.4857900803231194</v>
      </c>
      <c r="C25" s="1248">
        <f>IF('Mkt Pen Veh-Mi'!C25=0,1,1/((1-Fuel2ShrbyTech!C26)/'Inputs 7&amp;8 Sleep'!$O38+Fuel2ShrbyTech!C26/'Inputs 7&amp;8 Sleep'!$U38))</f>
        <v>7.8882125832335452</v>
      </c>
      <c r="D25" s="1248">
        <f>IF('Mkt Pen Veh-Mi'!D25=0,1,1/((1-Fuel2ShrbyTech!D26)/'Inputs 7&amp;8 Sleep'!$P38+Fuel2ShrbyTech!D26/'Inputs 7&amp;8 Sleep'!$V38))</f>
        <v>7.9283995933865468</v>
      </c>
      <c r="E25" s="1248">
        <f>IF('Mkt Pen Veh-Mi'!E25=0,1,1/((1-Fuel2ShrbyTech!E26)/'Inputs 7&amp;8 Sleep'!$Q38+Fuel2ShrbyTech!E26/'Inputs 7&amp;8 Sleep'!$W38))</f>
        <v>7.8326935001075295</v>
      </c>
      <c r="F25" s="1248">
        <f>IF('Mkt Pen Veh-Mi'!F25=0,1,1/((1-Fuel2ShrbyTech!F26)/'Inputs 7&amp;8 Sleep'!$R38+Fuel2ShrbyTech!F26/'Inputs 7&amp;8 Sleep'!$X38))</f>
        <v>1</v>
      </c>
      <c r="G25" s="1249">
        <f>IF('Mkt Pen Veh-Mi'!G25=0,1,1/((1-Fuel2ShrbyTech!G26)/'Inputs 7&amp;8 Sleep'!$S38+Fuel2ShrbyTech!G26/'Inputs 7&amp;8 Sleep'!$Y38))</f>
        <v>1</v>
      </c>
      <c r="H25" s="1247">
        <f>IF('Mkt Pen Veh-Mi'!H25=0,1,1/((1-Fuel2ShrbyTech!H26)/'Inputs 7&amp;8 Day'!$N38+Fuel2ShrbyTech!H26/'Inputs 7&amp;8 Day'!$T38))</f>
        <v>6.7836459413167711</v>
      </c>
      <c r="I25" s="1248">
        <f>IF('Mkt Pen Veh-Mi'!I25=0,1,1/((1-Fuel2ShrbyTech!I26)/'Inputs 7&amp;8 Day'!$O38+Fuel2ShrbyTech!I26/'Inputs 7&amp;8 Day'!$U38))</f>
        <v>7.1840928879382586</v>
      </c>
      <c r="J25" s="1248">
        <f>IF('Mkt Pen Veh-Mi'!J25=0,1,1/((1-Fuel2ShrbyTech!J26)/'Inputs 7&amp;8 Day'!$P38+Fuel2ShrbyTech!J26/'Inputs 7&amp;8 Day'!$V38))</f>
        <v>7.1987644467737528</v>
      </c>
      <c r="K25" s="1248">
        <f>IF('Mkt Pen Veh-Mi'!K25=0,1,1/((1-Fuel2ShrbyTech!K26)/'Inputs 7&amp;8 Day'!$Q38+Fuel2ShrbyTech!K26/'Inputs 7&amp;8 Day'!$W38))</f>
        <v>1</v>
      </c>
      <c r="L25" s="1248">
        <f>IF('Mkt Pen Veh-Mi'!L25=0,1,1/((1-Fuel2ShrbyTech!L26)/'Inputs 7&amp;8 Day'!$R38+Fuel2ShrbyTech!L26/'Inputs 7&amp;8 Day'!$X38))</f>
        <v>1</v>
      </c>
      <c r="M25" s="1249">
        <f>IF('Mkt Pen Veh-Mi'!M25=0,1,1/((1-Fuel2ShrbyTech!M26)/'Inputs 7&amp;8 Day'!$S38+Fuel2ShrbyTech!M26/'Inputs 7&amp;8 Day'!$Y38))</f>
        <v>1</v>
      </c>
      <c r="N25" s="1247">
        <f>IF('Mkt Pen Veh-Mi'!N25=0,1,1/((1-Fuel2ShrbyTech!N26)/'Inputs 7&amp;8 SU'!$N38+Fuel2ShrbyTech!N26/'Inputs 7&amp;8 SU'!$T38))</f>
        <v>7.3952245468405877</v>
      </c>
      <c r="O25" s="1248">
        <f>IF('Mkt Pen Veh-Mi'!O25=0,1,1/((1-Fuel2ShrbyTech!O26)/'Inputs 7&amp;8 SU'!$O38+Fuel2ShrbyTech!O26/'Inputs 7&amp;8 SU'!$U38))</f>
        <v>7.8365961510935715</v>
      </c>
      <c r="P25" s="1248">
        <f>IF('Mkt Pen Veh-Mi'!P25=0,1,1/((1-Fuel2ShrbyTech!P26)/'Inputs 7&amp;8 SU'!$P38+Fuel2ShrbyTech!P26/'Inputs 7&amp;8 SU'!$V38))</f>
        <v>8.2719688938604357</v>
      </c>
      <c r="Q25" s="1248">
        <f>IF('Mkt Pen Veh-Mi'!Q25=0,1,1/((1-Fuel2ShrbyTech!Q26)/'Inputs 7&amp;8 SU'!$Q38+Fuel2ShrbyTech!Q26/'Inputs 7&amp;8 SU'!$W38))</f>
        <v>8.9144503459649904</v>
      </c>
      <c r="R25" s="1248">
        <f>IF('Mkt Pen Veh-Mi'!R25=0,1,1/((1-Fuel2ShrbyTech!R26)/'Inputs 7&amp;8 SU'!$R38+Fuel2ShrbyTech!R26/'Inputs 7&amp;8 SU'!$X38))</f>
        <v>1</v>
      </c>
      <c r="S25" s="1249">
        <f>IF('Mkt Pen Veh-Mi'!S25=0,1,1/((1-Fuel2ShrbyTech!S26)/'Inputs 7&amp;8 SU'!$S38+Fuel2ShrbyTech!S26/'Inputs 7&amp;8 SU'!$Y38))</f>
        <v>1</v>
      </c>
      <c r="U25" s="1193">
        <f t="shared" si="13"/>
        <v>2023</v>
      </c>
      <c r="V25" s="1247">
        <f t="shared" si="14"/>
        <v>7.4857900803231194</v>
      </c>
      <c r="W25" s="1248">
        <f t="shared" si="15"/>
        <v>7.8882125832335452</v>
      </c>
      <c r="X25" s="1248">
        <f t="shared" si="16"/>
        <v>7.9283995933865468</v>
      </c>
      <c r="Y25" s="1248">
        <f t="shared" si="17"/>
        <v>7.8326935001075295</v>
      </c>
      <c r="Z25" s="1248">
        <f t="shared" si="18"/>
        <v>0</v>
      </c>
      <c r="AA25" s="1249">
        <f t="shared" si="19"/>
        <v>0</v>
      </c>
      <c r="AB25" s="1247">
        <f t="shared" si="20"/>
        <v>6.7836459413167711</v>
      </c>
      <c r="AC25" s="1248">
        <f t="shared" si="21"/>
        <v>7.1840928879382586</v>
      </c>
      <c r="AD25" s="1248">
        <f t="shared" si="22"/>
        <v>7.1987644467737528</v>
      </c>
      <c r="AE25" s="1248">
        <f t="shared" si="23"/>
        <v>0</v>
      </c>
      <c r="AF25" s="1248">
        <f t="shared" si="24"/>
        <v>0</v>
      </c>
      <c r="AG25" s="1249">
        <f t="shared" si="25"/>
        <v>0</v>
      </c>
      <c r="AH25" s="1247">
        <f t="shared" si="26"/>
        <v>7.3952245468405877</v>
      </c>
      <c r="AI25" s="1248">
        <f t="shared" si="27"/>
        <v>7.8365961510935715</v>
      </c>
      <c r="AJ25" s="1248">
        <f t="shared" si="28"/>
        <v>8.2719688938604357</v>
      </c>
      <c r="AK25" s="1248">
        <f t="shared" si="29"/>
        <v>8.9144503459649904</v>
      </c>
      <c r="AL25" s="1248">
        <f t="shared" si="30"/>
        <v>0</v>
      </c>
      <c r="AM25" s="1249">
        <f t="shared" si="31"/>
        <v>0</v>
      </c>
      <c r="AN25" s="1178">
        <v>2023</v>
      </c>
      <c r="AO25" s="1324">
        <f t="array" ref="AO25">1/SUMPRODUCT(IFERROR(1/V25:AA25,0),'Mkt Pen Veh-Mi'!B25:G25)</f>
        <v>7.5872230700202339</v>
      </c>
      <c r="AP25" s="1325">
        <f t="array" ref="AP25">1/SUMPRODUCT(IFERROR(1/AB25:AG25,0),'Mkt Pen Veh-Mi'!H25:M25)</f>
        <v>6.8600783862084622</v>
      </c>
      <c r="AQ25" s="1329">
        <f t="array" ref="AQ25">1/SUMPRODUCT(IFERROR(1/AH25:AM25,0),'Mkt Pen Veh-Mi'!N25:S25)</f>
        <v>7.4459881637392034</v>
      </c>
      <c r="AR25" s="1322">
        <v>2023</v>
      </c>
      <c r="AS25" s="1324">
        <f t="shared" si="32"/>
        <v>1.0135500713496812</v>
      </c>
      <c r="AT25" s="1325">
        <f t="shared" si="33"/>
        <v>1.0112671630496173</v>
      </c>
      <c r="AU25" s="1325">
        <f t="shared" si="34"/>
        <v>1.0068643780289677</v>
      </c>
      <c r="AV25" s="1329">
        <v>1.0208046069018777</v>
      </c>
    </row>
    <row r="26" spans="1:48" s="1178" customFormat="1" ht="15" x14ac:dyDescent="0.25">
      <c r="A26" s="1193">
        <v>2024</v>
      </c>
      <c r="B26" s="1247">
        <f>IF('Mkt Pen Veh-Mi'!B26=0,1,1/((1-Fuel2ShrbyTech!B27)/'Inputs 7&amp;8 Sleep'!$N39+Fuel2ShrbyTech!B27/'Inputs 7&amp;8 Sleep'!$T39))</f>
        <v>7.635609368818371</v>
      </c>
      <c r="C26" s="1248">
        <f>IF('Mkt Pen Veh-Mi'!C26=0,1,1/((1-Fuel2ShrbyTech!C27)/'Inputs 7&amp;8 Sleep'!$O39+Fuel2ShrbyTech!C27/'Inputs 7&amp;8 Sleep'!$U39))</f>
        <v>8.1734867692834037</v>
      </c>
      <c r="D26" s="1248">
        <f>IF('Mkt Pen Veh-Mi'!D26=0,1,1/((1-Fuel2ShrbyTech!D27)/'Inputs 7&amp;8 Sleep'!$P39+Fuel2ShrbyTech!D27/'Inputs 7&amp;8 Sleep'!$V39))</f>
        <v>8.2162362521791703</v>
      </c>
      <c r="E26" s="1248">
        <f>IF('Mkt Pen Veh-Mi'!E26=0,1,1/((1-Fuel2ShrbyTech!E27)/'Inputs 7&amp;8 Sleep'!$Q39+Fuel2ShrbyTech!E27/'Inputs 7&amp;8 Sleep'!$W39))</f>
        <v>8.1362496796220292</v>
      </c>
      <c r="F26" s="1248">
        <f>IF('Mkt Pen Veh-Mi'!F26=0,1,1/((1-Fuel2ShrbyTech!F27)/'Inputs 7&amp;8 Sleep'!$R39+Fuel2ShrbyTech!F27/'Inputs 7&amp;8 Sleep'!$X39))</f>
        <v>1</v>
      </c>
      <c r="G26" s="1249">
        <f>IF('Mkt Pen Veh-Mi'!G26=0,1,1/((1-Fuel2ShrbyTech!G27)/'Inputs 7&amp;8 Sleep'!$S39+Fuel2ShrbyTech!G27/'Inputs 7&amp;8 Sleep'!$Y39))</f>
        <v>1</v>
      </c>
      <c r="H26" s="1247">
        <f>IF('Mkt Pen Veh-Mi'!H26=0,1,1/((1-Fuel2ShrbyTech!H27)/'Inputs 7&amp;8 Day'!$N39+Fuel2ShrbyTech!H27/'Inputs 7&amp;8 Day'!$T39))</f>
        <v>6.8935028575399588</v>
      </c>
      <c r="I26" s="1248">
        <f>IF('Mkt Pen Veh-Mi'!I26=0,1,1/((1-Fuel2ShrbyTech!I27)/'Inputs 7&amp;8 Day'!$O39+Fuel2ShrbyTech!I27/'Inputs 7&amp;8 Day'!$U39))</f>
        <v>7.4264535186122629</v>
      </c>
      <c r="J26" s="1248">
        <f>IF('Mkt Pen Veh-Mi'!J26=0,1,1/((1-Fuel2ShrbyTech!J27)/'Inputs 7&amp;8 Day'!$P39+Fuel2ShrbyTech!J27/'Inputs 7&amp;8 Day'!$V39))</f>
        <v>7.4461235189702206</v>
      </c>
      <c r="K26" s="1248">
        <f>IF('Mkt Pen Veh-Mi'!K26=0,1,1/((1-Fuel2ShrbyTech!K27)/'Inputs 7&amp;8 Day'!$Q39+Fuel2ShrbyTech!K27/'Inputs 7&amp;8 Day'!$W39))</f>
        <v>1</v>
      </c>
      <c r="L26" s="1248">
        <f>IF('Mkt Pen Veh-Mi'!L26=0,1,1/((1-Fuel2ShrbyTech!L27)/'Inputs 7&amp;8 Day'!$R39+Fuel2ShrbyTech!L27/'Inputs 7&amp;8 Day'!$X39))</f>
        <v>1</v>
      </c>
      <c r="M26" s="1249">
        <f>IF('Mkt Pen Veh-Mi'!M26=0,1,1/((1-Fuel2ShrbyTech!M27)/'Inputs 7&amp;8 Day'!$S39+Fuel2ShrbyTech!M27/'Inputs 7&amp;8 Day'!$Y39))</f>
        <v>1</v>
      </c>
      <c r="N26" s="1247">
        <f>IF('Mkt Pen Veh-Mi'!N26=0,1,1/((1-Fuel2ShrbyTech!N27)/'Inputs 7&amp;8 SU'!$N39+Fuel2ShrbyTech!N27/'Inputs 7&amp;8 SU'!$T39))</f>
        <v>7.5444330920738185</v>
      </c>
      <c r="O26" s="1248">
        <f>IF('Mkt Pen Veh-Mi'!O26=0,1,1/((1-Fuel2ShrbyTech!O27)/'Inputs 7&amp;8 SU'!$O39+Fuel2ShrbyTech!O27/'Inputs 7&amp;8 SU'!$U39))</f>
        <v>8.1378673626194438</v>
      </c>
      <c r="P26" s="1248">
        <f>IF('Mkt Pen Veh-Mi'!P26=0,1,1/((1-Fuel2ShrbyTech!P27)/'Inputs 7&amp;8 SU'!$P39+Fuel2ShrbyTech!P27/'Inputs 7&amp;8 SU'!$V39))</f>
        <v>8.5959051807146825</v>
      </c>
      <c r="Q26" s="1248">
        <f>IF('Mkt Pen Veh-Mi'!Q26=0,1,1/((1-Fuel2ShrbyTech!Q27)/'Inputs 7&amp;8 SU'!$Q39+Fuel2ShrbyTech!Q27/'Inputs 7&amp;8 SU'!$W39))</f>
        <v>9.2554843966218385</v>
      </c>
      <c r="R26" s="1248">
        <f>IF('Mkt Pen Veh-Mi'!R26=0,1,1/((1-Fuel2ShrbyTech!R27)/'Inputs 7&amp;8 SU'!$R39+Fuel2ShrbyTech!R27/'Inputs 7&amp;8 SU'!$X39))</f>
        <v>1</v>
      </c>
      <c r="S26" s="1249">
        <f>IF('Mkt Pen Veh-Mi'!S26=0,1,1/((1-Fuel2ShrbyTech!S27)/'Inputs 7&amp;8 SU'!$S39+Fuel2ShrbyTech!S27/'Inputs 7&amp;8 SU'!$Y39))</f>
        <v>1</v>
      </c>
      <c r="U26" s="1193">
        <f t="shared" si="13"/>
        <v>2024</v>
      </c>
      <c r="V26" s="1247">
        <f t="shared" si="14"/>
        <v>7.635609368818371</v>
      </c>
      <c r="W26" s="1248">
        <f t="shared" si="15"/>
        <v>8.1734867692834037</v>
      </c>
      <c r="X26" s="1248">
        <f t="shared" si="16"/>
        <v>8.2162362521791703</v>
      </c>
      <c r="Y26" s="1248">
        <f t="shared" si="17"/>
        <v>8.1362496796220292</v>
      </c>
      <c r="Z26" s="1248">
        <f t="shared" si="18"/>
        <v>0</v>
      </c>
      <c r="AA26" s="1249">
        <f t="shared" si="19"/>
        <v>0</v>
      </c>
      <c r="AB26" s="1247">
        <f t="shared" si="20"/>
        <v>6.8935028575399588</v>
      </c>
      <c r="AC26" s="1248">
        <f t="shared" si="21"/>
        <v>7.4264535186122629</v>
      </c>
      <c r="AD26" s="1248">
        <f t="shared" si="22"/>
        <v>7.4461235189702206</v>
      </c>
      <c r="AE26" s="1248">
        <f t="shared" si="23"/>
        <v>0</v>
      </c>
      <c r="AF26" s="1248">
        <f t="shared" si="24"/>
        <v>0</v>
      </c>
      <c r="AG26" s="1249">
        <f t="shared" si="25"/>
        <v>0</v>
      </c>
      <c r="AH26" s="1247">
        <f t="shared" si="26"/>
        <v>7.5444330920738185</v>
      </c>
      <c r="AI26" s="1248">
        <f t="shared" si="27"/>
        <v>8.1378673626194438</v>
      </c>
      <c r="AJ26" s="1248">
        <f t="shared" si="28"/>
        <v>8.5959051807146825</v>
      </c>
      <c r="AK26" s="1248">
        <f t="shared" si="29"/>
        <v>9.2554843966218385</v>
      </c>
      <c r="AL26" s="1248">
        <f t="shared" si="30"/>
        <v>0</v>
      </c>
      <c r="AM26" s="1249">
        <f t="shared" si="31"/>
        <v>0</v>
      </c>
      <c r="AN26" s="1178">
        <v>2024</v>
      </c>
      <c r="AO26" s="1324">
        <f t="array" ref="AO26">1/SUMPRODUCT(IFERROR(1/V26:AA26,0),'Mkt Pen Veh-Mi'!B26:G26)</f>
        <v>7.8834022693501788</v>
      </c>
      <c r="AP26" s="1325">
        <f t="array" ref="AP26">1/SUMPRODUCT(IFERROR(1/AB26:AG26,0),'Mkt Pen Veh-Mi'!H26:M26)</f>
        <v>7.0700961907196813</v>
      </c>
      <c r="AQ26" s="1329">
        <f t="array" ref="AQ26">1/SUMPRODUCT(IFERROR(1/AH26:AM26,0),'Mkt Pen Veh-Mi'!N26:S26)</f>
        <v>7.6732473586315688</v>
      </c>
      <c r="AR26" s="1322">
        <v>2024</v>
      </c>
      <c r="AS26" s="1324">
        <f t="shared" si="32"/>
        <v>1.0324522757206154</v>
      </c>
      <c r="AT26" s="1325">
        <f t="shared" si="33"/>
        <v>1.0256173583777612</v>
      </c>
      <c r="AU26" s="1325">
        <f t="shared" si="34"/>
        <v>1.0170740816421426</v>
      </c>
      <c r="AV26" s="1329">
        <v>1.0542395624100738</v>
      </c>
    </row>
    <row r="27" spans="1:48" s="1178" customFormat="1" ht="15" x14ac:dyDescent="0.25">
      <c r="A27" s="1199">
        <v>2025</v>
      </c>
      <c r="B27" s="1250">
        <f>IF('Mkt Pen Veh-Mi'!B27=0,1,1/((1-Fuel2ShrbyTech!B28)/'Inputs 7&amp;8 Sleep'!$N40+Fuel2ShrbyTech!B28/'Inputs 7&amp;8 Sleep'!$T40))</f>
        <v>7.8151349393991643</v>
      </c>
      <c r="C27" s="1251">
        <f>IF('Mkt Pen Veh-Mi'!C27=0,1,1/((1-Fuel2ShrbyTech!C28)/'Inputs 7&amp;8 Sleep'!$O40+Fuel2ShrbyTech!C28/'Inputs 7&amp;8 Sleep'!$U40))</f>
        <v>8.4916401346514601</v>
      </c>
      <c r="D27" s="1251">
        <f>IF('Mkt Pen Veh-Mi'!D27=0,1,1/((1-Fuel2ShrbyTech!D28)/'Inputs 7&amp;8 Sleep'!$P40+Fuel2ShrbyTech!D28/'Inputs 7&amp;8 Sleep'!$V40))</f>
        <v>8.5371333152088571</v>
      </c>
      <c r="E27" s="1251">
        <f>IF('Mkt Pen Veh-Mi'!E27=0,1,1/((1-Fuel2ShrbyTech!E28)/'Inputs 7&amp;8 Sleep'!$Q40+Fuel2ShrbyTech!E28/'Inputs 7&amp;8 Sleep'!$W40))</f>
        <v>8.4727046109743416</v>
      </c>
      <c r="F27" s="1251">
        <f>IF('Mkt Pen Veh-Mi'!F27=0,1,1/((1-Fuel2ShrbyTech!F28)/'Inputs 7&amp;8 Sleep'!$R40+Fuel2ShrbyTech!F28/'Inputs 7&amp;8 Sleep'!$X40))</f>
        <v>1</v>
      </c>
      <c r="G27" s="1252">
        <f>IF('Mkt Pen Veh-Mi'!G27=0,1,1/((1-Fuel2ShrbyTech!G28)/'Inputs 7&amp;8 Sleep'!$S40+Fuel2ShrbyTech!G28/'Inputs 7&amp;8 Sleep'!$Y40))</f>
        <v>1</v>
      </c>
      <c r="H27" s="1250">
        <f>IF('Mkt Pen Veh-Mi'!H27=0,1,1/((1-Fuel2ShrbyTech!H28)/'Inputs 7&amp;8 Day'!$N40+Fuel2ShrbyTech!H28/'Inputs 7&amp;8 Day'!$T40))</f>
        <v>7.0085428042454856</v>
      </c>
      <c r="I27" s="1251">
        <f>IF('Mkt Pen Veh-Mi'!I27=0,1,1/((1-Fuel2ShrbyTech!I28)/'Inputs 7&amp;8 Day'!$O40+Fuel2ShrbyTech!I28/'Inputs 7&amp;8 Day'!$U40))</f>
        <v>7.6740426808692392</v>
      </c>
      <c r="J27" s="1251">
        <f>IF('Mkt Pen Veh-Mi'!J27=0,1,1/((1-Fuel2ShrbyTech!J28)/'Inputs 7&amp;8 Day'!$P40+Fuel2ShrbyTech!J28/'Inputs 7&amp;8 Day'!$V40))</f>
        <v>7.6987124926565631</v>
      </c>
      <c r="K27" s="1251">
        <f>IF('Mkt Pen Veh-Mi'!K27=0,1,1/((1-Fuel2ShrbyTech!K28)/'Inputs 7&amp;8 Day'!$Q40+Fuel2ShrbyTech!K28/'Inputs 7&amp;8 Day'!$W40))</f>
        <v>1</v>
      </c>
      <c r="L27" s="1251">
        <f>IF('Mkt Pen Veh-Mi'!L27=0,1,1/((1-Fuel2ShrbyTech!L28)/'Inputs 7&amp;8 Day'!$R40+Fuel2ShrbyTech!L28/'Inputs 7&amp;8 Day'!$X40))</f>
        <v>1</v>
      </c>
      <c r="M27" s="1252">
        <f>IF('Mkt Pen Veh-Mi'!M27=0,1,1/((1-Fuel2ShrbyTech!M28)/'Inputs 7&amp;8 Day'!$S40+Fuel2ShrbyTech!M28/'Inputs 7&amp;8 Day'!$Y40))</f>
        <v>1</v>
      </c>
      <c r="N27" s="1250">
        <f>IF('Mkt Pen Veh-Mi'!N27=0,1,1/((1-Fuel2ShrbyTech!N28)/'Inputs 7&amp;8 SU'!$N40+Fuel2ShrbyTech!N28/'Inputs 7&amp;8 SU'!$T40))</f>
        <v>7.6904954072333691</v>
      </c>
      <c r="O27" s="1251">
        <f>IF('Mkt Pen Veh-Mi'!O27=0,1,1/((1-Fuel2ShrbyTech!O28)/'Inputs 7&amp;8 SU'!$O40+Fuel2ShrbyTech!O28/'Inputs 7&amp;8 SU'!$U40))</f>
        <v>8.438014936260716</v>
      </c>
      <c r="P27" s="1251">
        <f>IF('Mkt Pen Veh-Mi'!P27=0,1,1/((1-Fuel2ShrbyTech!P28)/'Inputs 7&amp;8 SU'!$P40+Fuel2ShrbyTech!P28/'Inputs 7&amp;8 SU'!$V40))</f>
        <v>8.9187469265359489</v>
      </c>
      <c r="Q27" s="1251">
        <f>IF('Mkt Pen Veh-Mi'!Q27=0,1,1/((1-Fuel2ShrbyTech!Q28)/'Inputs 7&amp;8 SU'!$Q40+Fuel2ShrbyTech!Q28/'Inputs 7&amp;8 SU'!$W40))</f>
        <v>9.5952144109461681</v>
      </c>
      <c r="R27" s="1251">
        <f>IF('Mkt Pen Veh-Mi'!R27=0,1,1/((1-Fuel2ShrbyTech!R28)/'Inputs 7&amp;8 SU'!$R40+Fuel2ShrbyTech!R28/'Inputs 7&amp;8 SU'!$X40))</f>
        <v>10.040361493155986</v>
      </c>
      <c r="S27" s="1252">
        <f>IF('Mkt Pen Veh-Mi'!S27=0,1,1/((1-Fuel2ShrbyTech!S28)/'Inputs 7&amp;8 SU'!$S40+Fuel2ShrbyTech!S28/'Inputs 7&amp;8 SU'!$Y40))</f>
        <v>1</v>
      </c>
      <c r="U27" s="1199">
        <f t="shared" si="13"/>
        <v>2025</v>
      </c>
      <c r="V27" s="1250">
        <f t="shared" si="14"/>
        <v>7.8151349393991643</v>
      </c>
      <c r="W27" s="1251">
        <f t="shared" si="15"/>
        <v>8.4916401346514601</v>
      </c>
      <c r="X27" s="1251">
        <f t="shared" si="16"/>
        <v>8.5371333152088571</v>
      </c>
      <c r="Y27" s="1251">
        <f t="shared" si="17"/>
        <v>8.4727046109743416</v>
      </c>
      <c r="Z27" s="1251">
        <f t="shared" si="18"/>
        <v>0</v>
      </c>
      <c r="AA27" s="1252">
        <f t="shared" si="19"/>
        <v>0</v>
      </c>
      <c r="AB27" s="1250">
        <f t="shared" si="20"/>
        <v>7.0085428042454856</v>
      </c>
      <c r="AC27" s="1251">
        <f t="shared" si="21"/>
        <v>7.6740426808692392</v>
      </c>
      <c r="AD27" s="1251">
        <f t="shared" si="22"/>
        <v>7.6987124926565631</v>
      </c>
      <c r="AE27" s="1251">
        <f t="shared" si="23"/>
        <v>0</v>
      </c>
      <c r="AF27" s="1251">
        <f t="shared" si="24"/>
        <v>0</v>
      </c>
      <c r="AG27" s="1252">
        <f t="shared" si="25"/>
        <v>0</v>
      </c>
      <c r="AH27" s="1250">
        <f t="shared" si="26"/>
        <v>7.6904954072333691</v>
      </c>
      <c r="AI27" s="1251">
        <f t="shared" si="27"/>
        <v>8.438014936260716</v>
      </c>
      <c r="AJ27" s="1251">
        <f t="shared" si="28"/>
        <v>8.9187469265359489</v>
      </c>
      <c r="AK27" s="1251">
        <f t="shared" si="29"/>
        <v>9.5952144109461681</v>
      </c>
      <c r="AL27" s="1251">
        <f t="shared" si="30"/>
        <v>10.040361493155986</v>
      </c>
      <c r="AM27" s="1252">
        <f t="shared" si="31"/>
        <v>0</v>
      </c>
      <c r="AN27" s="1178">
        <v>2025</v>
      </c>
      <c r="AO27" s="1324">
        <f t="array" ref="AO27">1/SUMPRODUCT(IFERROR(1/V27:AA27,0),'Mkt Pen Veh-Mi'!B27:G27)</f>
        <v>8.268482798503582</v>
      </c>
      <c r="AP27" s="1325">
        <f t="array" ref="AP27">1/SUMPRODUCT(IFERROR(1/AB27:AG27,0),'Mkt Pen Veh-Mi'!H27:M27)</f>
        <v>7.3186853537814489</v>
      </c>
      <c r="AQ27" s="1329">
        <f t="array" ref="AQ27">1/SUMPRODUCT(IFERROR(1/AH27:AM27,0),'Mkt Pen Veh-Mi'!N27:S27)</f>
        <v>7.9348294949980467</v>
      </c>
      <c r="AR27" s="1322">
        <v>2025</v>
      </c>
      <c r="AS27" s="1324">
        <f t="shared" si="32"/>
        <v>1.058008961152918</v>
      </c>
      <c r="AT27" s="1325">
        <f t="shared" si="33"/>
        <v>1.0442520732481069</v>
      </c>
      <c r="AU27" s="1325">
        <f t="shared" si="34"/>
        <v>1.0317709165439286</v>
      </c>
      <c r="AV27" s="1329">
        <v>1.0972655221641847</v>
      </c>
    </row>
    <row r="28" spans="1:48" s="1178" customFormat="1" ht="15" x14ac:dyDescent="0.25">
      <c r="A28" s="1193">
        <v>2026</v>
      </c>
      <c r="B28" s="1253">
        <f>IF('Mkt Pen Veh-Mi'!B28=0,1,1/((1-Fuel2ShrbyTech!B29)/'Inputs 7&amp;8 Sleep'!$N41+Fuel2ShrbyTech!B29/'Inputs 7&amp;8 Sleep'!$T41))</f>
        <v>8.0157148896769055</v>
      </c>
      <c r="C28" s="1254">
        <f>IF('Mkt Pen Veh-Mi'!C28=0,1,1/((1-Fuel2ShrbyTech!C29)/'Inputs 7&amp;8 Sleep'!$O41+Fuel2ShrbyTech!C29/'Inputs 7&amp;8 Sleep'!$U41))</f>
        <v>8.8344957585977433</v>
      </c>
      <c r="D28" s="1254">
        <f>IF('Mkt Pen Veh-Mi'!D28=0,1,1/((1-Fuel2ShrbyTech!D29)/'Inputs 7&amp;8 Sleep'!$P41+Fuel2ShrbyTech!D29/'Inputs 7&amp;8 Sleep'!$V41))</f>
        <v>8.8828803881254963</v>
      </c>
      <c r="E28" s="1254">
        <f>IF('Mkt Pen Veh-Mi'!E28=0,1,1/((1-Fuel2ShrbyTech!E29)/'Inputs 7&amp;8 Sleep'!$Q41+Fuel2ShrbyTech!E29/'Inputs 7&amp;8 Sleep'!$W41))</f>
        <v>8.8340886432604862</v>
      </c>
      <c r="F28" s="1254">
        <f>IF('Mkt Pen Veh-Mi'!F28=0,1,1/((1-Fuel2ShrbyTech!F29)/'Inputs 7&amp;8 Sleep'!$R41+Fuel2ShrbyTech!F29/'Inputs 7&amp;8 Sleep'!$X41))</f>
        <v>1</v>
      </c>
      <c r="G28" s="1255">
        <f>IF('Mkt Pen Veh-Mi'!G28=0,1,1/((1-Fuel2ShrbyTech!G29)/'Inputs 7&amp;8 Sleep'!$S41+Fuel2ShrbyTech!G29/'Inputs 7&amp;8 Sleep'!$Y41))</f>
        <v>1</v>
      </c>
      <c r="H28" s="1253">
        <f>IF('Mkt Pen Veh-Mi'!H28=0,1,1/((1-Fuel2ShrbyTech!H29)/'Inputs 7&amp;8 Day'!$N41+Fuel2ShrbyTech!H29/'Inputs 7&amp;8 Day'!$T41))</f>
        <v>7.1518705692126217</v>
      </c>
      <c r="I28" s="1254">
        <f>IF('Mkt Pen Veh-Mi'!I28=0,1,1/((1-Fuel2ShrbyTech!I29)/'Inputs 7&amp;8 Day'!$O41+Fuel2ShrbyTech!I29/'Inputs 7&amp;8 Day'!$U41))</f>
        <v>7.9528406682628203</v>
      </c>
      <c r="J28" s="1254">
        <f>IF('Mkt Pen Veh-Mi'!J28=0,1,1/((1-Fuel2ShrbyTech!J29)/'Inputs 7&amp;8 Day'!$P41+Fuel2ShrbyTech!J29/'Inputs 7&amp;8 Day'!$V41))</f>
        <v>7.9826187386488376</v>
      </c>
      <c r="K28" s="1254">
        <f>IF('Mkt Pen Veh-Mi'!K28=0,1,1/((1-Fuel2ShrbyTech!K29)/'Inputs 7&amp;8 Day'!$Q41+Fuel2ShrbyTech!K29/'Inputs 7&amp;8 Day'!$W41))</f>
        <v>1</v>
      </c>
      <c r="L28" s="1254">
        <f>IF('Mkt Pen Veh-Mi'!L28=0,1,1/((1-Fuel2ShrbyTech!L29)/'Inputs 7&amp;8 Day'!$R41+Fuel2ShrbyTech!L29/'Inputs 7&amp;8 Day'!$X41))</f>
        <v>1</v>
      </c>
      <c r="M28" s="1255">
        <f>IF('Mkt Pen Veh-Mi'!M28=0,1,1/((1-Fuel2ShrbyTech!M29)/'Inputs 7&amp;8 Day'!$S41+Fuel2ShrbyTech!M29/'Inputs 7&amp;8 Day'!$Y41))</f>
        <v>1</v>
      </c>
      <c r="N28" s="1253">
        <f>IF('Mkt Pen Veh-Mi'!N28=0,1,1/((1-Fuel2ShrbyTech!N29)/'Inputs 7&amp;8 SU'!$N41+Fuel2ShrbyTech!N29/'Inputs 7&amp;8 SU'!$T41))</f>
        <v>7.8796174660298446</v>
      </c>
      <c r="O28" s="1254">
        <f>IF('Mkt Pen Veh-Mi'!O28=0,1,1/((1-Fuel2ShrbyTech!O29)/'Inputs 7&amp;8 SU'!$O41+Fuel2ShrbyTech!O29/'Inputs 7&amp;8 SU'!$U41))</f>
        <v>8.7883235625922929</v>
      </c>
      <c r="P28" s="1254">
        <f>IF('Mkt Pen Veh-Mi'!P28=0,1,1/((1-Fuel2ShrbyTech!P29)/'Inputs 7&amp;8 SU'!$P41+Fuel2ShrbyTech!P29/'Inputs 7&amp;8 SU'!$V41))</f>
        <v>9.2947241149660904</v>
      </c>
      <c r="Q28" s="1254">
        <f>IF('Mkt Pen Veh-Mi'!Q28=0,1,1/((1-Fuel2ShrbyTech!Q29)/'Inputs 7&amp;8 SU'!$Q41+Fuel2ShrbyTech!Q29/'Inputs 7&amp;8 SU'!$W41))</f>
        <v>9.9919516873462335</v>
      </c>
      <c r="R28" s="1254">
        <f>IF('Mkt Pen Veh-Mi'!R28=0,1,1/((1-Fuel2ShrbyTech!R29)/'Inputs 7&amp;8 SU'!$R41+Fuel2ShrbyTech!R29/'Inputs 7&amp;8 SU'!$X41))</f>
        <v>10.631262299480657</v>
      </c>
      <c r="S28" s="1255">
        <f>IF('Mkt Pen Veh-Mi'!S28=0,1,1/((1-Fuel2ShrbyTech!S29)/'Inputs 7&amp;8 SU'!$S41+Fuel2ShrbyTech!S29/'Inputs 7&amp;8 SU'!$Y41))</f>
        <v>1</v>
      </c>
      <c r="U28" s="1193">
        <f t="shared" si="13"/>
        <v>2026</v>
      </c>
      <c r="V28" s="1253">
        <f t="shared" si="14"/>
        <v>8.0157148896769055</v>
      </c>
      <c r="W28" s="1254">
        <f t="shared" si="15"/>
        <v>8.8344957585977433</v>
      </c>
      <c r="X28" s="1254">
        <f t="shared" si="16"/>
        <v>8.8828803881254963</v>
      </c>
      <c r="Y28" s="1254">
        <f t="shared" si="17"/>
        <v>8.8340886432604862</v>
      </c>
      <c r="Z28" s="1254">
        <f t="shared" si="18"/>
        <v>0</v>
      </c>
      <c r="AA28" s="1255">
        <f t="shared" si="19"/>
        <v>0</v>
      </c>
      <c r="AB28" s="1253">
        <f t="shared" si="20"/>
        <v>7.1518705692126217</v>
      </c>
      <c r="AC28" s="1254">
        <f t="shared" si="21"/>
        <v>7.9528406682628203</v>
      </c>
      <c r="AD28" s="1254">
        <f t="shared" si="22"/>
        <v>7.9826187386488376</v>
      </c>
      <c r="AE28" s="1254">
        <f t="shared" si="23"/>
        <v>0</v>
      </c>
      <c r="AF28" s="1254">
        <f t="shared" si="24"/>
        <v>0</v>
      </c>
      <c r="AG28" s="1255">
        <f t="shared" si="25"/>
        <v>0</v>
      </c>
      <c r="AH28" s="1253">
        <f t="shared" si="26"/>
        <v>7.8796174660298446</v>
      </c>
      <c r="AI28" s="1254">
        <f t="shared" si="27"/>
        <v>8.7883235625922929</v>
      </c>
      <c r="AJ28" s="1254">
        <f t="shared" si="28"/>
        <v>9.2947241149660904</v>
      </c>
      <c r="AK28" s="1254">
        <f t="shared" si="29"/>
        <v>9.9919516873462335</v>
      </c>
      <c r="AL28" s="1254">
        <f t="shared" si="30"/>
        <v>10.631262299480657</v>
      </c>
      <c r="AM28" s="1255">
        <f t="shared" si="31"/>
        <v>0</v>
      </c>
      <c r="AN28" s="1178">
        <v>2026</v>
      </c>
      <c r="AO28" s="1324">
        <f t="array" ref="AO28">1/SUMPRODUCT(IFERROR(1/V28:AA28,0),'Mkt Pen Veh-Mi'!B28:G28)</f>
        <v>8.6967233778944006</v>
      </c>
      <c r="AP28" s="1325">
        <f t="array" ref="AP28">1/SUMPRODUCT(IFERROR(1/AB28:AG28,0),'Mkt Pen Veh-Mi'!H28:M28)</f>
        <v>7.6377786273947423</v>
      </c>
      <c r="AQ28" s="1329">
        <f t="array" ref="AQ28">1/SUMPRODUCT(IFERROR(1/AH28:AM28,0),'Mkt Pen Veh-Mi'!N28:S28)</f>
        <v>8.3187381410114654</v>
      </c>
      <c r="AR28" s="1322">
        <v>2026</v>
      </c>
      <c r="AS28" s="1324">
        <f t="shared" si="32"/>
        <v>1.0849591705282005</v>
      </c>
      <c r="AT28" s="1325">
        <f t="shared" si="33"/>
        <v>1.0679413942799605</v>
      </c>
      <c r="AU28" s="1325">
        <f t="shared" si="34"/>
        <v>1.0557286793267227</v>
      </c>
      <c r="AV28" s="1329">
        <v>1.1088315108256861</v>
      </c>
    </row>
    <row r="29" spans="1:48" s="1178" customFormat="1" ht="15" x14ac:dyDescent="0.25">
      <c r="A29" s="1193">
        <v>2027</v>
      </c>
      <c r="B29" s="1247">
        <f>IF('Mkt Pen Veh-Mi'!B29=0,1,1/((1-Fuel2ShrbyTech!B30)/'Inputs 7&amp;8 Sleep'!$N42+Fuel2ShrbyTech!B30/'Inputs 7&amp;8 Sleep'!$T42))</f>
        <v>8.2057257808674269</v>
      </c>
      <c r="C29" s="1248">
        <f>IF('Mkt Pen Veh-Mi'!C29=0,1,1/((1-Fuel2ShrbyTech!C30)/'Inputs 7&amp;8 Sleep'!$O42+Fuel2ShrbyTech!C30/'Inputs 7&amp;8 Sleep'!$U42))</f>
        <v>9.1676018185518178</v>
      </c>
      <c r="D29" s="1248">
        <f>IF('Mkt Pen Veh-Mi'!D29=0,1,1/((1-Fuel2ShrbyTech!D30)/'Inputs 7&amp;8 Sleep'!$P42+Fuel2ShrbyTech!D30/'Inputs 7&amp;8 Sleep'!$V42))</f>
        <v>9.2188403080107388</v>
      </c>
      <c r="E29" s="1248">
        <f>IF('Mkt Pen Veh-Mi'!E29=0,1,1/((1-Fuel2ShrbyTech!E30)/'Inputs 7&amp;8 Sleep'!$Q42+Fuel2ShrbyTech!E30/'Inputs 7&amp;8 Sleep'!$W42))</f>
        <v>9.1860127308668815</v>
      </c>
      <c r="F29" s="1248">
        <f>IF('Mkt Pen Veh-Mi'!F29=0,1,1/((1-Fuel2ShrbyTech!F30)/'Inputs 7&amp;8 Sleep'!$R42+Fuel2ShrbyTech!F30/'Inputs 7&amp;8 Sleep'!$X42))</f>
        <v>1</v>
      </c>
      <c r="G29" s="1249">
        <f>IF('Mkt Pen Veh-Mi'!G29=0,1,1/((1-Fuel2ShrbyTech!G30)/'Inputs 7&amp;8 Sleep'!$S42+Fuel2ShrbyTech!G30/'Inputs 7&amp;8 Sleep'!$Y42))</f>
        <v>1</v>
      </c>
      <c r="H29" s="1247">
        <f>IF('Mkt Pen Veh-Mi'!H29=0,1,1/((1-Fuel2ShrbyTech!H30)/'Inputs 7&amp;8 Day'!$N42+Fuel2ShrbyTech!H30/'Inputs 7&amp;8 Day'!$T42))</f>
        <v>7.285737346405269</v>
      </c>
      <c r="I29" s="1248">
        <f>IF('Mkt Pen Veh-Mi'!I29=0,1,1/((1-Fuel2ShrbyTech!I30)/'Inputs 7&amp;8 Day'!$O42+Fuel2ShrbyTech!I30/'Inputs 7&amp;8 Day'!$U42))</f>
        <v>8.2216592425265489</v>
      </c>
      <c r="J29" s="1248">
        <f>IF('Mkt Pen Veh-Mi'!J29=0,1,1/((1-Fuel2ShrbyTech!J30)/'Inputs 7&amp;8 Day'!$P42+Fuel2ShrbyTech!J30/'Inputs 7&amp;8 Day'!$V42))</f>
        <v>8.2565266231786616</v>
      </c>
      <c r="K29" s="1248">
        <f>IF('Mkt Pen Veh-Mi'!K29=0,1,1/((1-Fuel2ShrbyTech!K30)/'Inputs 7&amp;8 Day'!$Q42+Fuel2ShrbyTech!K30/'Inputs 7&amp;8 Day'!$W42))</f>
        <v>1</v>
      </c>
      <c r="L29" s="1248">
        <f>IF('Mkt Pen Veh-Mi'!L29=0,1,1/((1-Fuel2ShrbyTech!L30)/'Inputs 7&amp;8 Day'!$R42+Fuel2ShrbyTech!L30/'Inputs 7&amp;8 Day'!$X42))</f>
        <v>1</v>
      </c>
      <c r="M29" s="1249">
        <f>IF('Mkt Pen Veh-Mi'!M29=0,1,1/((1-Fuel2ShrbyTech!M30)/'Inputs 7&amp;8 Day'!$S42+Fuel2ShrbyTech!M30/'Inputs 7&amp;8 Day'!$Y42))</f>
        <v>1</v>
      </c>
      <c r="N29" s="1247">
        <f>IF('Mkt Pen Veh-Mi'!N29=0,1,1/((1-Fuel2ShrbyTech!N30)/'Inputs 7&amp;8 SU'!$N42+Fuel2ShrbyTech!N30/'Inputs 7&amp;8 SU'!$T42))</f>
        <v>8.0838815874836101</v>
      </c>
      <c r="O29" s="1248">
        <f>IF('Mkt Pen Veh-Mi'!O29=0,1,1/((1-Fuel2ShrbyTech!O30)/'Inputs 7&amp;8 SU'!$O42+Fuel2ShrbyTech!O30/'Inputs 7&amp;8 SU'!$U42))</f>
        <v>9.1593786749555619</v>
      </c>
      <c r="P29" s="1248">
        <f>IF('Mkt Pen Veh-Mi'!P29=0,1,1/((1-Fuel2ShrbyTech!P30)/'Inputs 7&amp;8 SU'!$P42+Fuel2ShrbyTech!P30/'Inputs 7&amp;8 SU'!$V42))</f>
        <v>9.6927950245681878</v>
      </c>
      <c r="Q29" s="1248">
        <f>IF('Mkt Pen Veh-Mi'!Q29=0,1,1/((1-Fuel2ShrbyTech!Q30)/'Inputs 7&amp;8 SU'!$Q42+Fuel2ShrbyTech!Q30/'Inputs 7&amp;8 SU'!$W42))</f>
        <v>10.412233966282747</v>
      </c>
      <c r="R29" s="1248">
        <f>IF('Mkt Pen Veh-Mi'!R29=0,1,1/((1-Fuel2ShrbyTech!R30)/'Inputs 7&amp;8 SU'!$R42+Fuel2ShrbyTech!R30/'Inputs 7&amp;8 SU'!$X42))</f>
        <v>11.38061666684079</v>
      </c>
      <c r="S29" s="1249">
        <f>IF('Mkt Pen Veh-Mi'!S29=0,1,1/((1-Fuel2ShrbyTech!S30)/'Inputs 7&amp;8 SU'!$S42+Fuel2ShrbyTech!S30/'Inputs 7&amp;8 SU'!$Y42))</f>
        <v>1</v>
      </c>
      <c r="U29" s="1193">
        <f t="shared" si="13"/>
        <v>2027</v>
      </c>
      <c r="V29" s="1247">
        <f t="shared" si="14"/>
        <v>8.2057257808674269</v>
      </c>
      <c r="W29" s="1248">
        <f t="shared" si="15"/>
        <v>9.1676018185518178</v>
      </c>
      <c r="X29" s="1248">
        <f t="shared" si="16"/>
        <v>9.2188403080107388</v>
      </c>
      <c r="Y29" s="1248">
        <f t="shared" si="17"/>
        <v>9.1860127308668815</v>
      </c>
      <c r="Z29" s="1248">
        <f t="shared" si="18"/>
        <v>0</v>
      </c>
      <c r="AA29" s="1249">
        <f t="shared" si="19"/>
        <v>0</v>
      </c>
      <c r="AB29" s="1247">
        <f t="shared" si="20"/>
        <v>7.285737346405269</v>
      </c>
      <c r="AC29" s="1248">
        <f t="shared" si="21"/>
        <v>8.2216592425265489</v>
      </c>
      <c r="AD29" s="1248">
        <f t="shared" si="22"/>
        <v>8.2565266231786616</v>
      </c>
      <c r="AE29" s="1248">
        <f t="shared" si="23"/>
        <v>0</v>
      </c>
      <c r="AF29" s="1248">
        <f t="shared" si="24"/>
        <v>0</v>
      </c>
      <c r="AG29" s="1249">
        <f t="shared" si="25"/>
        <v>0</v>
      </c>
      <c r="AH29" s="1247">
        <f t="shared" si="26"/>
        <v>8.0838815874836101</v>
      </c>
      <c r="AI29" s="1248">
        <f t="shared" si="27"/>
        <v>9.1593786749555619</v>
      </c>
      <c r="AJ29" s="1248">
        <f t="shared" si="28"/>
        <v>9.6927950245681878</v>
      </c>
      <c r="AK29" s="1248">
        <f t="shared" si="29"/>
        <v>10.412233966282747</v>
      </c>
      <c r="AL29" s="1248">
        <f t="shared" si="30"/>
        <v>11.38061666684079</v>
      </c>
      <c r="AM29" s="1249">
        <f t="shared" si="31"/>
        <v>0</v>
      </c>
      <c r="AN29" s="1178">
        <v>2027</v>
      </c>
      <c r="AO29" s="1324">
        <f t="array" ref="AO29">1/SUMPRODUCT(IFERROR(1/V29:AA29,0),'Mkt Pen Veh-Mi'!B29:G29)</f>
        <v>9.0891819301918684</v>
      </c>
      <c r="AP29" s="1325">
        <f t="array" ref="AP29">1/SUMPRODUCT(IFERROR(1/AB29:AG29,0),'Mkt Pen Veh-Mi'!H29:M29)</f>
        <v>7.9386983875326589</v>
      </c>
      <c r="AQ29" s="1329">
        <f t="array" ref="AQ29">1/SUMPRODUCT(IFERROR(1/AH29:AM29,0),'Mkt Pen Veh-Mi'!N29:S29)</f>
        <v>8.7067305839791338</v>
      </c>
      <c r="AR29" s="1322">
        <v>2027</v>
      </c>
      <c r="AS29" s="1324">
        <f t="shared" si="32"/>
        <v>1.1076633771243392</v>
      </c>
      <c r="AT29" s="1325">
        <f t="shared" si="33"/>
        <v>1.089621820013805</v>
      </c>
      <c r="AU29" s="1325">
        <f t="shared" si="34"/>
        <v>1.0770482582847192</v>
      </c>
      <c r="AV29" s="1329">
        <v>1.1157356459109145</v>
      </c>
    </row>
    <row r="30" spans="1:48" s="1178" customFormat="1" ht="15" x14ac:dyDescent="0.25">
      <c r="A30" s="1193">
        <v>2028</v>
      </c>
      <c r="B30" s="1247">
        <f>IF('Mkt Pen Veh-Mi'!B30=0,1,1/((1-Fuel2ShrbyTech!B31)/'Inputs 7&amp;8 Sleep'!$N43+Fuel2ShrbyTech!B31/'Inputs 7&amp;8 Sleep'!$T43))</f>
        <v>8.2873519472443142</v>
      </c>
      <c r="C30" s="1248">
        <f>IF('Mkt Pen Veh-Mi'!C30=0,1,1/((1-Fuel2ShrbyTech!C31)/'Inputs 7&amp;8 Sleep'!$O43+Fuel2ShrbyTech!C31/'Inputs 7&amp;8 Sleep'!$U43))</f>
        <v>9.3796877890556765</v>
      </c>
      <c r="D30" s="1248">
        <f>IF('Mkt Pen Veh-Mi'!D30=0,1,1/((1-Fuel2ShrbyTech!D31)/'Inputs 7&amp;8 Sleep'!$P43+Fuel2ShrbyTech!D31/'Inputs 7&amp;8 Sleep'!$V43))</f>
        <v>9.4331043178124876</v>
      </c>
      <c r="E30" s="1248">
        <f>IF('Mkt Pen Veh-Mi'!E30=0,1,1/((1-Fuel2ShrbyTech!E31)/'Inputs 7&amp;8 Sleep'!$Q43+Fuel2ShrbyTech!E31/'Inputs 7&amp;8 Sleep'!$W43))</f>
        <v>9.4166841298688748</v>
      </c>
      <c r="F30" s="1248">
        <f>IF('Mkt Pen Veh-Mi'!F30=0,1,1/((1-Fuel2ShrbyTech!F31)/'Inputs 7&amp;8 Sleep'!$R43+Fuel2ShrbyTech!F31/'Inputs 7&amp;8 Sleep'!$X43))</f>
        <v>1</v>
      </c>
      <c r="G30" s="1249">
        <f>IF('Mkt Pen Veh-Mi'!G30=0,1,1/((1-Fuel2ShrbyTech!G31)/'Inputs 7&amp;8 Sleep'!$S43+Fuel2ShrbyTech!G31/'Inputs 7&amp;8 Sleep'!$Y43))</f>
        <v>1</v>
      </c>
      <c r="H30" s="1247">
        <f>IF('Mkt Pen Veh-Mi'!H30=0,1,1/((1-Fuel2ShrbyTech!H31)/'Inputs 7&amp;8 Day'!$N43+Fuel2ShrbyTech!H31/'Inputs 7&amp;8 Day'!$T43))</f>
        <v>7.3498347364013634</v>
      </c>
      <c r="I30" s="1248">
        <f>IF('Mkt Pen Veh-Mi'!I30=0,1,1/((1-Fuel2ShrbyTech!I31)/'Inputs 7&amp;8 Day'!$O43+Fuel2ShrbyTech!I31/'Inputs 7&amp;8 Day'!$U43))</f>
        <v>8.4109962645064513</v>
      </c>
      <c r="J30" s="1248">
        <f>IF('Mkt Pen Veh-Mi'!J30=0,1,1/((1-Fuel2ShrbyTech!J31)/'Inputs 7&amp;8 Day'!$P43+Fuel2ShrbyTech!J31/'Inputs 7&amp;8 Day'!$V43))</f>
        <v>8.4505907397396012</v>
      </c>
      <c r="K30" s="1248">
        <f>IF('Mkt Pen Veh-Mi'!K30=0,1,1/((1-Fuel2ShrbyTech!K31)/'Inputs 7&amp;8 Day'!$Q43+Fuel2ShrbyTech!K31/'Inputs 7&amp;8 Day'!$W43))</f>
        <v>1</v>
      </c>
      <c r="L30" s="1248">
        <f>IF('Mkt Pen Veh-Mi'!L30=0,1,1/((1-Fuel2ShrbyTech!L31)/'Inputs 7&amp;8 Day'!$R43+Fuel2ShrbyTech!L31/'Inputs 7&amp;8 Day'!$X43))</f>
        <v>1</v>
      </c>
      <c r="M30" s="1249">
        <f>IF('Mkt Pen Veh-Mi'!M30=0,1,1/((1-Fuel2ShrbyTech!M31)/'Inputs 7&amp;8 Day'!$S43+Fuel2ShrbyTech!M31/'Inputs 7&amp;8 Day'!$Y43))</f>
        <v>1</v>
      </c>
      <c r="N30" s="1247">
        <f>IF('Mkt Pen Veh-Mi'!N30=0,1,1/((1-Fuel2ShrbyTech!N31)/'Inputs 7&amp;8 SU'!$N43+Fuel2ShrbyTech!N31/'Inputs 7&amp;8 SU'!$T43))</f>
        <v>8.1579983898762283</v>
      </c>
      <c r="O30" s="1248">
        <f>IF('Mkt Pen Veh-Mi'!O30=0,1,1/((1-Fuel2ShrbyTech!O31)/'Inputs 7&amp;8 SU'!$O43+Fuel2ShrbyTech!O31/'Inputs 7&amp;8 SU'!$U43))</f>
        <v>9.3847120142735569</v>
      </c>
      <c r="P30" s="1248">
        <f>IF('Mkt Pen Veh-Mi'!P30=0,1,1/((1-Fuel2ShrbyTech!P31)/'Inputs 7&amp;8 SU'!$P43+Fuel2ShrbyTech!P31/'Inputs 7&amp;8 SU'!$V43))</f>
        <v>9.9367251422608067</v>
      </c>
      <c r="Q30" s="1248">
        <f>IF('Mkt Pen Veh-Mi'!Q30=0,1,1/((1-Fuel2ShrbyTech!Q31)/'Inputs 7&amp;8 SU'!$Q43+Fuel2ShrbyTech!Q31/'Inputs 7&amp;8 SU'!$W43))</f>
        <v>10.666843043707351</v>
      </c>
      <c r="R30" s="1248">
        <f>IF('Mkt Pen Veh-Mi'!R30=0,1,1/((1-Fuel2ShrbyTech!R31)/'Inputs 7&amp;8 SU'!$R43+Fuel2ShrbyTech!R31/'Inputs 7&amp;8 SU'!$X43))</f>
        <v>11.954151311691236</v>
      </c>
      <c r="S30" s="1249">
        <f>IF('Mkt Pen Veh-Mi'!S30=0,1,1/((1-Fuel2ShrbyTech!S31)/'Inputs 7&amp;8 SU'!$S43+Fuel2ShrbyTech!S31/'Inputs 7&amp;8 SU'!$Y43))</f>
        <v>1</v>
      </c>
      <c r="U30" s="1193">
        <f t="shared" si="13"/>
        <v>2028</v>
      </c>
      <c r="V30" s="1247">
        <f t="shared" si="14"/>
        <v>8.2873519472443142</v>
      </c>
      <c r="W30" s="1248">
        <f t="shared" si="15"/>
        <v>9.3796877890556765</v>
      </c>
      <c r="X30" s="1248">
        <f t="shared" si="16"/>
        <v>9.4331043178124876</v>
      </c>
      <c r="Y30" s="1248">
        <f t="shared" si="17"/>
        <v>9.4166841298688748</v>
      </c>
      <c r="Z30" s="1248">
        <f t="shared" si="18"/>
        <v>0</v>
      </c>
      <c r="AA30" s="1249">
        <f t="shared" si="19"/>
        <v>0</v>
      </c>
      <c r="AB30" s="1247">
        <f t="shared" si="20"/>
        <v>7.3498347364013634</v>
      </c>
      <c r="AC30" s="1248">
        <f t="shared" si="21"/>
        <v>8.4109962645064513</v>
      </c>
      <c r="AD30" s="1248">
        <f t="shared" si="22"/>
        <v>8.4505907397396012</v>
      </c>
      <c r="AE30" s="1248">
        <f t="shared" si="23"/>
        <v>0</v>
      </c>
      <c r="AF30" s="1248">
        <f t="shared" si="24"/>
        <v>0</v>
      </c>
      <c r="AG30" s="1249">
        <f t="shared" si="25"/>
        <v>0</v>
      </c>
      <c r="AH30" s="1247">
        <f t="shared" si="26"/>
        <v>8.1579983898762283</v>
      </c>
      <c r="AI30" s="1248">
        <f t="shared" si="27"/>
        <v>9.3847120142735569</v>
      </c>
      <c r="AJ30" s="1248">
        <f t="shared" si="28"/>
        <v>9.9367251422608067</v>
      </c>
      <c r="AK30" s="1248">
        <f t="shared" si="29"/>
        <v>10.666843043707351</v>
      </c>
      <c r="AL30" s="1248">
        <f t="shared" si="30"/>
        <v>11.954151311691236</v>
      </c>
      <c r="AM30" s="1249">
        <f t="shared" si="31"/>
        <v>0</v>
      </c>
      <c r="AN30" s="1178">
        <v>2028</v>
      </c>
      <c r="AO30" s="1324">
        <f t="array" ref="AO30">1/SUMPRODUCT(IFERROR(1/V30:AA30,0),'Mkt Pen Veh-Mi'!B30:G30)</f>
        <v>9.3400213677968775</v>
      </c>
      <c r="AP30" s="1325">
        <f t="array" ref="AP30">1/SUMPRODUCT(IFERROR(1/AB30:AG30,0),'Mkt Pen Veh-Mi'!H30:M30)</f>
        <v>8.138685238565559</v>
      </c>
      <c r="AQ30" s="1329">
        <f t="array" ref="AQ30">1/SUMPRODUCT(IFERROR(1/AH30:AM30,0),'Mkt Pen Veh-Mi'!N30:S30)</f>
        <v>8.9454709510665769</v>
      </c>
      <c r="AR30" s="1322">
        <v>2028</v>
      </c>
      <c r="AS30" s="1324">
        <f t="shared" si="32"/>
        <v>1.1270212037878509</v>
      </c>
      <c r="AT30" s="1325">
        <f t="shared" si="33"/>
        <v>1.1073290122099309</v>
      </c>
      <c r="AU30" s="1325">
        <f t="shared" si="34"/>
        <v>1.0965276681308951</v>
      </c>
      <c r="AV30" s="1329">
        <v>1.128298781955815</v>
      </c>
    </row>
    <row r="31" spans="1:48" s="1178" customFormat="1" ht="15" x14ac:dyDescent="0.25">
      <c r="A31" s="1193">
        <v>2029</v>
      </c>
      <c r="B31" s="1247">
        <f>IF('Mkt Pen Veh-Mi'!B31=0,1,1/((1-Fuel2ShrbyTech!B32)/'Inputs 7&amp;8 Sleep'!$N44+Fuel2ShrbyTech!B32/'Inputs 7&amp;8 Sleep'!$T44))</f>
        <v>8.2980539180429691</v>
      </c>
      <c r="C31" s="1248">
        <f>IF('Mkt Pen Veh-Mi'!C31=0,1,1/((1-Fuel2ShrbyTech!C32)/'Inputs 7&amp;8 Sleep'!$O44+Fuel2ShrbyTech!C32/'Inputs 7&amp;8 Sleep'!$U44))</f>
        <v>9.5090096252087211</v>
      </c>
      <c r="D31" s="1248">
        <f>IF('Mkt Pen Veh-Mi'!D31=0,1,1/((1-Fuel2ShrbyTech!D32)/'Inputs 7&amp;8 Sleep'!$P44+Fuel2ShrbyTech!D32/'Inputs 7&amp;8 Sleep'!$V44))</f>
        <v>9.5641126630788271</v>
      </c>
      <c r="E31" s="1248">
        <f>IF('Mkt Pen Veh-Mi'!E31=0,1,1/((1-Fuel2ShrbyTech!E32)/'Inputs 7&amp;8 Sleep'!$Q44+Fuel2ShrbyTech!E32/'Inputs 7&amp;8 Sleep'!$W44))</f>
        <v>9.5638955015670923</v>
      </c>
      <c r="F31" s="1248">
        <f>IF('Mkt Pen Veh-Mi'!F31=0,1,1/((1-Fuel2ShrbyTech!F32)/'Inputs 7&amp;8 Sleep'!$R44+Fuel2ShrbyTech!F32/'Inputs 7&amp;8 Sleep'!$X44))</f>
        <v>1</v>
      </c>
      <c r="G31" s="1249">
        <f>IF('Mkt Pen Veh-Mi'!G31=0,1,1/((1-Fuel2ShrbyTech!G32)/'Inputs 7&amp;8 Sleep'!$S44+Fuel2ShrbyTech!G32/'Inputs 7&amp;8 Sleep'!$Y44))</f>
        <v>1</v>
      </c>
      <c r="H31" s="1247">
        <f>IF('Mkt Pen Veh-Mi'!H31=0,1,1/((1-Fuel2ShrbyTech!H32)/'Inputs 7&amp;8 Day'!$N44+Fuel2ShrbyTech!H32/'Inputs 7&amp;8 Day'!$T44))</f>
        <v>7.4265021351464533</v>
      </c>
      <c r="I31" s="1248">
        <f>IF('Mkt Pen Veh-Mi'!I31=0,1,1/((1-Fuel2ShrbyTech!I32)/'Inputs 7&amp;8 Day'!$O44+Fuel2ShrbyTech!I32/'Inputs 7&amp;8 Day'!$U44))</f>
        <v>8.6131061487827569</v>
      </c>
      <c r="J31" s="1248">
        <f>IF('Mkt Pen Veh-Mi'!J31=0,1,1/((1-Fuel2ShrbyTech!J32)/'Inputs 7&amp;8 Day'!$P44+Fuel2ShrbyTech!J32/'Inputs 7&amp;8 Day'!$V44))</f>
        <v>8.657434535593751</v>
      </c>
      <c r="K31" s="1248">
        <f>IF('Mkt Pen Veh-Mi'!K31=0,1,1/((1-Fuel2ShrbyTech!K32)/'Inputs 7&amp;8 Day'!$Q44+Fuel2ShrbyTech!K32/'Inputs 7&amp;8 Day'!$W44))</f>
        <v>1</v>
      </c>
      <c r="L31" s="1248">
        <f>IF('Mkt Pen Veh-Mi'!L31=0,1,1/((1-Fuel2ShrbyTech!L32)/'Inputs 7&amp;8 Day'!$R44+Fuel2ShrbyTech!L32/'Inputs 7&amp;8 Day'!$X44))</f>
        <v>1</v>
      </c>
      <c r="M31" s="1249">
        <f>IF('Mkt Pen Veh-Mi'!M31=0,1,1/((1-Fuel2ShrbyTech!M32)/'Inputs 7&amp;8 Day'!$S44+Fuel2ShrbyTech!M32/'Inputs 7&amp;8 Day'!$Y44))</f>
        <v>1</v>
      </c>
      <c r="N31" s="1247">
        <f>IF('Mkt Pen Veh-Mi'!N31=0,1,1/((1-Fuel2ShrbyTech!N32)/'Inputs 7&amp;8 SU'!$N44+Fuel2ShrbyTech!N32/'Inputs 7&amp;8 SU'!$T44))</f>
        <v>8.3204018705413638</v>
      </c>
      <c r="O31" s="1248">
        <f>IF('Mkt Pen Veh-Mi'!O31=0,1,1/((1-Fuel2ShrbyTech!O32)/'Inputs 7&amp;8 SU'!$O44+Fuel2ShrbyTech!O32/'Inputs 7&amp;8 SU'!$U44))</f>
        <v>9.7125571365681882</v>
      </c>
      <c r="P31" s="1248">
        <f>IF('Mkt Pen Veh-Mi'!P31=0,1,1/((1-Fuel2ShrbyTech!P32)/'Inputs 7&amp;8 SU'!$P44+Fuel2ShrbyTech!P32/'Inputs 7&amp;8 SU'!$V44))</f>
        <v>10.289233048717541</v>
      </c>
      <c r="Q31" s="1248">
        <f>IF('Mkt Pen Veh-Mi'!Q31=0,1,1/((1-Fuel2ShrbyTech!Q32)/'Inputs 7&amp;8 SU'!$Q44+Fuel2ShrbyTech!Q32/'Inputs 7&amp;8 SU'!$W44))</f>
        <v>11.037958743380047</v>
      </c>
      <c r="R31" s="1248">
        <f>IF('Mkt Pen Veh-Mi'!R31=0,1,1/((1-Fuel2ShrbyTech!R32)/'Inputs 7&amp;8 SU'!$R44+Fuel2ShrbyTech!R32/'Inputs 7&amp;8 SU'!$X44))</f>
        <v>12.667273836224506</v>
      </c>
      <c r="S31" s="1249">
        <f>IF('Mkt Pen Veh-Mi'!S31=0,1,1/((1-Fuel2ShrbyTech!S32)/'Inputs 7&amp;8 SU'!$S44+Fuel2ShrbyTech!S32/'Inputs 7&amp;8 SU'!$Y44))</f>
        <v>1</v>
      </c>
      <c r="U31" s="1193">
        <f t="shared" si="13"/>
        <v>2029</v>
      </c>
      <c r="V31" s="1247">
        <f t="shared" si="14"/>
        <v>8.2980539180429691</v>
      </c>
      <c r="W31" s="1248">
        <f t="shared" si="15"/>
        <v>9.5090096252087211</v>
      </c>
      <c r="X31" s="1248">
        <f t="shared" si="16"/>
        <v>9.5641126630788271</v>
      </c>
      <c r="Y31" s="1248">
        <f t="shared" si="17"/>
        <v>9.5638955015670923</v>
      </c>
      <c r="Z31" s="1248">
        <f t="shared" si="18"/>
        <v>0</v>
      </c>
      <c r="AA31" s="1249">
        <f t="shared" si="19"/>
        <v>0</v>
      </c>
      <c r="AB31" s="1247">
        <f t="shared" si="20"/>
        <v>7.4265021351464533</v>
      </c>
      <c r="AC31" s="1248">
        <f t="shared" si="21"/>
        <v>8.6131061487827569</v>
      </c>
      <c r="AD31" s="1248">
        <f t="shared" si="22"/>
        <v>8.657434535593751</v>
      </c>
      <c r="AE31" s="1248">
        <f t="shared" si="23"/>
        <v>0</v>
      </c>
      <c r="AF31" s="1248">
        <f t="shared" si="24"/>
        <v>0</v>
      </c>
      <c r="AG31" s="1249">
        <f t="shared" si="25"/>
        <v>0</v>
      </c>
      <c r="AH31" s="1247">
        <f t="shared" si="26"/>
        <v>8.3204018705413638</v>
      </c>
      <c r="AI31" s="1248">
        <f t="shared" si="27"/>
        <v>9.7125571365681882</v>
      </c>
      <c r="AJ31" s="1248">
        <f t="shared" si="28"/>
        <v>10.289233048717541</v>
      </c>
      <c r="AK31" s="1248">
        <f t="shared" si="29"/>
        <v>11.037958743380047</v>
      </c>
      <c r="AL31" s="1248">
        <f t="shared" si="30"/>
        <v>12.667273836224506</v>
      </c>
      <c r="AM31" s="1249">
        <f t="shared" si="31"/>
        <v>0</v>
      </c>
      <c r="AN31" s="1178">
        <v>2029</v>
      </c>
      <c r="AO31" s="1324">
        <f t="array" ref="AO31">1/SUMPRODUCT(IFERROR(1/V31:AA31,0),'Mkt Pen Veh-Mi'!B31:G31)</f>
        <v>9.4943733844986458</v>
      </c>
      <c r="AP31" s="1325">
        <f t="array" ref="AP31">1/SUMPRODUCT(IFERROR(1/AB31:AG31,0),'Mkt Pen Veh-Mi'!H31:M31)</f>
        <v>8.3513414196036422</v>
      </c>
      <c r="AQ31" s="1329">
        <f t="array" ref="AQ31">1/SUMPRODUCT(IFERROR(1/AH31:AM31,0),'Mkt Pen Veh-Mi'!N31:S31)</f>
        <v>9.2502763519875586</v>
      </c>
      <c r="AR31" s="1322">
        <v>2029</v>
      </c>
      <c r="AS31" s="1324">
        <f t="shared" si="32"/>
        <v>1.1441686783758354</v>
      </c>
      <c r="AT31" s="1325">
        <f t="shared" si="33"/>
        <v>1.1245322855399611</v>
      </c>
      <c r="AU31" s="1325">
        <f t="shared" si="34"/>
        <v>1.1117583616650109</v>
      </c>
      <c r="AV31" s="1329">
        <v>1.1453205018890817</v>
      </c>
    </row>
    <row r="32" spans="1:48" s="1178" customFormat="1" ht="15" x14ac:dyDescent="0.25">
      <c r="A32" s="1199">
        <v>2030</v>
      </c>
      <c r="B32" s="1250">
        <f>IF('Mkt Pen Veh-Mi'!B32=0,1,1/((1-Fuel2ShrbyTech!B33)/'Inputs 7&amp;8 Sleep'!$N45+Fuel2ShrbyTech!B33/'Inputs 7&amp;8 Sleep'!$T45))</f>
        <v>8.308755888841624</v>
      </c>
      <c r="C32" s="1251">
        <f>IF('Mkt Pen Veh-Mi'!C32=0,1,1/((1-Fuel2ShrbyTech!C33)/'Inputs 7&amp;8 Sleep'!$O45+Fuel2ShrbyTech!C33/'Inputs 7&amp;8 Sleep'!$U45))</f>
        <v>9.634970370241648</v>
      </c>
      <c r="D32" s="1251">
        <f>IF('Mkt Pen Veh-Mi'!D32=0,1,1/((1-Fuel2ShrbyTech!D33)/'Inputs 7&amp;8 Sleep'!$P45+Fuel2ShrbyTech!D33/'Inputs 7&amp;8 Sleep'!$V45))</f>
        <v>9.6917135329863573</v>
      </c>
      <c r="E32" s="1251">
        <f>IF('Mkt Pen Veh-Mi'!E32=0,1,1/((1-Fuel2ShrbyTech!E33)/'Inputs 7&amp;8 Sleep'!$Q45+Fuel2ShrbyTech!E33/'Inputs 7&amp;8 Sleep'!$W45))</f>
        <v>9.7072341521048049</v>
      </c>
      <c r="F32" s="1251">
        <f>IF('Mkt Pen Veh-Mi'!F32=0,1,1/((1-Fuel2ShrbyTech!F33)/'Inputs 7&amp;8 Sleep'!$R45+Fuel2ShrbyTech!F33/'Inputs 7&amp;8 Sleep'!$X45))</f>
        <v>1</v>
      </c>
      <c r="G32" s="1252">
        <f>IF('Mkt Pen Veh-Mi'!G32=0,1,1/((1-Fuel2ShrbyTech!G33)/'Inputs 7&amp;8 Sleep'!$S45+Fuel2ShrbyTech!G33/'Inputs 7&amp;8 Sleep'!$Y45))</f>
        <v>1</v>
      </c>
      <c r="H32" s="1250">
        <f>IF('Mkt Pen Veh-Mi'!H32=0,1,1/((1-Fuel2ShrbyTech!H33)/'Inputs 7&amp;8 Day'!$N45+Fuel2ShrbyTech!H33/'Inputs 7&amp;8 Day'!$T45))</f>
        <v>7.4306901675713188</v>
      </c>
      <c r="I32" s="1251">
        <f>IF('Mkt Pen Veh-Mi'!I32=0,1,1/((1-Fuel2ShrbyTech!I33)/'Inputs 7&amp;8 Day'!$O45+Fuel2ShrbyTech!I33/'Inputs 7&amp;8 Day'!$U45))</f>
        <v>8.7287315275043209</v>
      </c>
      <c r="J32" s="1251">
        <f>IF('Mkt Pen Veh-Mi'!J32=0,1,1/((1-Fuel2ShrbyTech!J33)/'Inputs 7&amp;8 Day'!$P45+Fuel2ShrbyTech!J33/'Inputs 7&amp;8 Day'!$V45))</f>
        <v>8.7772696090206512</v>
      </c>
      <c r="K32" s="1251">
        <f>IF('Mkt Pen Veh-Mi'!K32=0,1,1/((1-Fuel2ShrbyTech!K33)/'Inputs 7&amp;8 Day'!$Q45+Fuel2ShrbyTech!K33/'Inputs 7&amp;8 Day'!$W45))</f>
        <v>1</v>
      </c>
      <c r="L32" s="1251">
        <f>IF('Mkt Pen Veh-Mi'!L32=0,1,1/((1-Fuel2ShrbyTech!L33)/'Inputs 7&amp;8 Day'!$R45+Fuel2ShrbyTech!L33/'Inputs 7&amp;8 Day'!$X45))</f>
        <v>1</v>
      </c>
      <c r="M32" s="1252">
        <f>IF('Mkt Pen Veh-Mi'!M32=0,1,1/((1-Fuel2ShrbyTech!M33)/'Inputs 7&amp;8 Day'!$S45+Fuel2ShrbyTech!M33/'Inputs 7&amp;8 Day'!$Y45))</f>
        <v>1</v>
      </c>
      <c r="N32" s="1250">
        <f>IF('Mkt Pen Veh-Mi'!N32=0,1,1/((1-Fuel2ShrbyTech!N33)/'Inputs 7&amp;8 SU'!$N45+Fuel2ShrbyTech!N33/'Inputs 7&amp;8 SU'!$T45))</f>
        <v>8.4596513418802797</v>
      </c>
      <c r="O32" s="1251">
        <f>IF('Mkt Pen Veh-Mi'!O32=0,1,1/((1-Fuel2ShrbyTech!O33)/'Inputs 7&amp;8 SU'!$O45+Fuel2ShrbyTech!O33/'Inputs 7&amp;8 SU'!$U45))</f>
        <v>10.015389114320127</v>
      </c>
      <c r="P32" s="1251">
        <f>IF('Mkt Pen Veh-Mi'!P32=0,1,1/((1-Fuel2ShrbyTech!P33)/'Inputs 7&amp;8 SU'!$P45+Fuel2ShrbyTech!P33/'Inputs 7&amp;8 SU'!$V45))</f>
        <v>10.615318411461462</v>
      </c>
      <c r="Q32" s="1251">
        <f>IF('Mkt Pen Veh-Mi'!Q32=0,1,1/((1-Fuel2ShrbyTech!Q33)/'Inputs 7&amp;8 SU'!$Q45+Fuel2ShrbyTech!Q33/'Inputs 7&amp;8 SU'!$W45))</f>
        <v>11.380626544197902</v>
      </c>
      <c r="R32" s="1251">
        <f>IF('Mkt Pen Veh-Mi'!R32=0,1,1/((1-Fuel2ShrbyTech!R33)/'Inputs 7&amp;8 SU'!$R45+Fuel2ShrbyTech!R33/'Inputs 7&amp;8 SU'!$X45))</f>
        <v>13.293704301902354</v>
      </c>
      <c r="S32" s="1252">
        <f>IF('Mkt Pen Veh-Mi'!S32=0,1,1/((1-Fuel2ShrbyTech!S33)/'Inputs 7&amp;8 SU'!$S45+Fuel2ShrbyTech!S33/'Inputs 7&amp;8 SU'!$Y45))</f>
        <v>1</v>
      </c>
      <c r="U32" s="1199">
        <f t="shared" si="13"/>
        <v>2030</v>
      </c>
      <c r="V32" s="1250">
        <f t="shared" si="14"/>
        <v>8.308755888841624</v>
      </c>
      <c r="W32" s="1251">
        <f t="shared" si="15"/>
        <v>9.634970370241648</v>
      </c>
      <c r="X32" s="1251">
        <f t="shared" si="16"/>
        <v>9.6917135329863573</v>
      </c>
      <c r="Y32" s="1251">
        <f t="shared" si="17"/>
        <v>9.7072341521048049</v>
      </c>
      <c r="Z32" s="1251">
        <f t="shared" si="18"/>
        <v>0</v>
      </c>
      <c r="AA32" s="1252">
        <f t="shared" si="19"/>
        <v>0</v>
      </c>
      <c r="AB32" s="1250">
        <f t="shared" si="20"/>
        <v>7.4306901675713188</v>
      </c>
      <c r="AC32" s="1251">
        <f t="shared" si="21"/>
        <v>8.7287315275043209</v>
      </c>
      <c r="AD32" s="1251">
        <f t="shared" si="22"/>
        <v>8.7772696090206512</v>
      </c>
      <c r="AE32" s="1251">
        <f t="shared" si="23"/>
        <v>0</v>
      </c>
      <c r="AF32" s="1251">
        <f t="shared" si="24"/>
        <v>0</v>
      </c>
      <c r="AG32" s="1252">
        <f t="shared" si="25"/>
        <v>0</v>
      </c>
      <c r="AH32" s="1250">
        <f t="shared" si="26"/>
        <v>8.4596513418802797</v>
      </c>
      <c r="AI32" s="1251">
        <f t="shared" si="27"/>
        <v>10.015389114320127</v>
      </c>
      <c r="AJ32" s="1251">
        <f t="shared" si="28"/>
        <v>10.615318411461462</v>
      </c>
      <c r="AK32" s="1251">
        <f t="shared" si="29"/>
        <v>11.380626544197902</v>
      </c>
      <c r="AL32" s="1251">
        <f t="shared" si="30"/>
        <v>13.293704301902354</v>
      </c>
      <c r="AM32" s="1252">
        <f t="shared" si="31"/>
        <v>0</v>
      </c>
      <c r="AN32" s="1178">
        <v>2030</v>
      </c>
      <c r="AO32" s="1324">
        <f t="array" ref="AO32">1/SUMPRODUCT(IFERROR(1/V32:AA32,0),'Mkt Pen Veh-Mi'!B32:G32)</f>
        <v>9.6343288005004695</v>
      </c>
      <c r="AP32" s="1325">
        <f t="array" ref="AP32">1/SUMPRODUCT(IFERROR(1/AB32:AG32,0),'Mkt Pen Veh-Mi'!H32:M32)</f>
        <v>8.4773964054469442</v>
      </c>
      <c r="AQ32" s="1329">
        <f t="array" ref="AQ32">1/SUMPRODUCT(IFERROR(1/AH32:AM32,0),'Mkt Pen Veh-Mi'!N32:S32)</f>
        <v>9.512335360168036</v>
      </c>
      <c r="AR32" s="1322">
        <v>2030</v>
      </c>
      <c r="AS32" s="1324">
        <f t="shared" si="32"/>
        <v>1.1595392775275832</v>
      </c>
      <c r="AT32" s="1325">
        <f t="shared" si="33"/>
        <v>1.1408625866872519</v>
      </c>
      <c r="AU32" s="1325">
        <f t="shared" si="34"/>
        <v>1.1244358633406495</v>
      </c>
      <c r="AV32" s="1329">
        <v>1.1812981817033279</v>
      </c>
    </row>
    <row r="33" spans="1:48" s="1178" customFormat="1" ht="15" x14ac:dyDescent="0.25">
      <c r="A33" s="1193">
        <v>2031</v>
      </c>
      <c r="B33" s="1253">
        <f>IF('Mkt Pen Veh-Mi'!B33=0,1,1/((1-Fuel2ShrbyTech!B34)/'Inputs 7&amp;8 Sleep'!$N46+Fuel2ShrbyTech!B34/'Inputs 7&amp;8 Sleep'!$T46))</f>
        <v>8.3194578596402788</v>
      </c>
      <c r="C33" s="1254">
        <f>IF('Mkt Pen Veh-Mi'!C33=0,1,1/((1-Fuel2ShrbyTech!C34)/'Inputs 7&amp;8 Sleep'!$O46+Fuel2ShrbyTech!C34/'Inputs 7&amp;8 Sleep'!$U46))</f>
        <v>9.6473805520941074</v>
      </c>
      <c r="D33" s="1254">
        <f>IF('Mkt Pen Veh-Mi'!D33=0,1,1/((1-Fuel2ShrbyTech!D34)/'Inputs 7&amp;8 Sleep'!$P46+Fuel2ShrbyTech!D34/'Inputs 7&amp;8 Sleep'!$V46))</f>
        <v>9.7041968020348843</v>
      </c>
      <c r="E33" s="1254">
        <f>IF('Mkt Pen Veh-Mi'!E33=0,1,1/((1-Fuel2ShrbyTech!E34)/'Inputs 7&amp;8 Sleep'!$Q46+Fuel2ShrbyTech!E34/'Inputs 7&amp;8 Sleep'!$W46))</f>
        <v>9.891585992964707</v>
      </c>
      <c r="F33" s="1254">
        <f>IF('Mkt Pen Veh-Mi'!F33=0,1,1/((1-Fuel2ShrbyTech!F34)/'Inputs 7&amp;8 Sleep'!$R46+Fuel2ShrbyTech!F34/'Inputs 7&amp;8 Sleep'!$X46))</f>
        <v>1</v>
      </c>
      <c r="G33" s="1255">
        <f>IF('Mkt Pen Veh-Mi'!G33=0,1,1/((1-Fuel2ShrbyTech!G34)/'Inputs 7&amp;8 Sleep'!$S46+Fuel2ShrbyTech!G34/'Inputs 7&amp;8 Sleep'!$Y46))</f>
        <v>1</v>
      </c>
      <c r="H33" s="1253">
        <f>IF('Mkt Pen Veh-Mi'!H33=0,1,1/((1-Fuel2ShrbyTech!H34)/'Inputs 7&amp;8 Day'!$N46+Fuel2ShrbyTech!H34/'Inputs 7&amp;8 Day'!$T46))</f>
        <v>7.4348781999961817</v>
      </c>
      <c r="I33" s="1254">
        <f>IF('Mkt Pen Veh-Mi'!I33=0,1,1/((1-Fuel2ShrbyTech!I34)/'Inputs 7&amp;8 Day'!$O46+Fuel2ShrbyTech!I34/'Inputs 7&amp;8 Day'!$U46))</f>
        <v>8.7336511527128469</v>
      </c>
      <c r="J33" s="1254">
        <f>IF('Mkt Pen Veh-Mi'!J33=0,1,1/((1-Fuel2ShrbyTech!J34)/'Inputs 7&amp;8 Day'!$P46+Fuel2ShrbyTech!J34/'Inputs 7&amp;8 Day'!$V46))</f>
        <v>8.782216590915386</v>
      </c>
      <c r="K33" s="1254">
        <f>IF('Mkt Pen Veh-Mi'!K33=0,1,1/((1-Fuel2ShrbyTech!K34)/'Inputs 7&amp;8 Day'!$Q46+Fuel2ShrbyTech!K34/'Inputs 7&amp;8 Day'!$W46))</f>
        <v>9.0537606474300549</v>
      </c>
      <c r="L33" s="1254">
        <f>IF('Mkt Pen Veh-Mi'!L33=0,1,1/((1-Fuel2ShrbyTech!L34)/'Inputs 7&amp;8 Day'!$R46+Fuel2ShrbyTech!L34/'Inputs 7&amp;8 Day'!$X46))</f>
        <v>1</v>
      </c>
      <c r="M33" s="1255">
        <f>IF('Mkt Pen Veh-Mi'!M33=0,1,1/((1-Fuel2ShrbyTech!M34)/'Inputs 7&amp;8 Day'!$S46+Fuel2ShrbyTech!M34/'Inputs 7&amp;8 Day'!$Y46))</f>
        <v>1</v>
      </c>
      <c r="N33" s="1253">
        <f>IF('Mkt Pen Veh-Mi'!N33=0,1,1/((1-Fuel2ShrbyTech!N34)/'Inputs 7&amp;8 SU'!$N46+Fuel2ShrbyTech!N34/'Inputs 7&amp;8 SU'!$T46))</f>
        <v>8.4765855799556995</v>
      </c>
      <c r="O33" s="1254">
        <f>IF('Mkt Pen Veh-Mi'!O33=0,1,1/((1-Fuel2ShrbyTech!O34)/'Inputs 7&amp;8 SU'!$O46+Fuel2ShrbyTech!O34/'Inputs 7&amp;8 SU'!$U46))</f>
        <v>10.035437574572883</v>
      </c>
      <c r="P33" s="1254">
        <f>IF('Mkt Pen Veh-Mi'!P33=0,1,1/((1-Fuel2ShrbyTech!P34)/'Inputs 7&amp;8 SU'!$P46+Fuel2ShrbyTech!P34/'Inputs 7&amp;8 SU'!$V46))</f>
        <v>10.636567789474968</v>
      </c>
      <c r="Q33" s="1254">
        <f>IF('Mkt Pen Veh-Mi'!Q33=0,1,1/((1-Fuel2ShrbyTech!Q34)/'Inputs 7&amp;8 SU'!$Q46+Fuel2ShrbyTech!Q34/'Inputs 7&amp;8 SU'!$W46))</f>
        <v>11.517968900373031</v>
      </c>
      <c r="R33" s="1254">
        <f>IF('Mkt Pen Veh-Mi'!R33=0,1,1/((1-Fuel2ShrbyTech!R34)/'Inputs 7&amp;8 SU'!$R46+Fuel2ShrbyTech!R34/'Inputs 7&amp;8 SU'!$X46))</f>
        <v>13.641477544724884</v>
      </c>
      <c r="S33" s="1255">
        <f>IF('Mkt Pen Veh-Mi'!S33=0,1,1/((1-Fuel2ShrbyTech!S34)/'Inputs 7&amp;8 SU'!$S46+Fuel2ShrbyTech!S34/'Inputs 7&amp;8 SU'!$Y46))</f>
        <v>1</v>
      </c>
      <c r="U33" s="1193">
        <f t="shared" si="13"/>
        <v>2031</v>
      </c>
      <c r="V33" s="1253">
        <f t="shared" si="14"/>
        <v>8.3194578596402788</v>
      </c>
      <c r="W33" s="1254">
        <f t="shared" si="15"/>
        <v>9.6473805520941074</v>
      </c>
      <c r="X33" s="1254">
        <f t="shared" si="16"/>
        <v>9.7041968020348843</v>
      </c>
      <c r="Y33" s="1254">
        <f t="shared" si="17"/>
        <v>9.891585992964707</v>
      </c>
      <c r="Z33" s="1254">
        <f t="shared" si="18"/>
        <v>0</v>
      </c>
      <c r="AA33" s="1255">
        <f t="shared" si="19"/>
        <v>0</v>
      </c>
      <c r="AB33" s="1253">
        <f t="shared" si="20"/>
        <v>7.4348781999961817</v>
      </c>
      <c r="AC33" s="1254">
        <f t="shared" si="21"/>
        <v>8.7336511527128469</v>
      </c>
      <c r="AD33" s="1254">
        <f t="shared" si="22"/>
        <v>8.782216590915386</v>
      </c>
      <c r="AE33" s="1254">
        <f t="shared" si="23"/>
        <v>9.0537606474300549</v>
      </c>
      <c r="AF33" s="1254">
        <f t="shared" si="24"/>
        <v>0</v>
      </c>
      <c r="AG33" s="1255">
        <f t="shared" si="25"/>
        <v>0</v>
      </c>
      <c r="AH33" s="1253">
        <f t="shared" si="26"/>
        <v>8.4765855799556995</v>
      </c>
      <c r="AI33" s="1254">
        <f t="shared" si="27"/>
        <v>10.035437574572883</v>
      </c>
      <c r="AJ33" s="1254">
        <f t="shared" si="28"/>
        <v>10.636567789474968</v>
      </c>
      <c r="AK33" s="1254">
        <f t="shared" si="29"/>
        <v>11.517968900373031</v>
      </c>
      <c r="AL33" s="1254">
        <f t="shared" si="30"/>
        <v>13.641477544724884</v>
      </c>
      <c r="AM33" s="1255">
        <f t="shared" si="31"/>
        <v>0</v>
      </c>
      <c r="AN33" s="1178">
        <v>2031</v>
      </c>
      <c r="AO33" s="1324">
        <f t="array" ref="AO33">1/SUMPRODUCT(IFERROR(1/V33:AA33,0),'Mkt Pen Veh-Mi'!B33:G33)</f>
        <v>9.6923100549269456</v>
      </c>
      <c r="AP33" s="1325">
        <f t="array" ref="AP33">1/SUMPRODUCT(IFERROR(1/AB33:AG33,0),'Mkt Pen Veh-Mi'!H33:M33)</f>
        <v>8.486840592335728</v>
      </c>
      <c r="AQ33" s="1329">
        <f t="array" ref="AQ33">1/SUMPRODUCT(IFERROR(1/AH33:AM33,0),'Mkt Pen Veh-Mi'!N33:S33)</f>
        <v>9.553569069831882</v>
      </c>
      <c r="AR33" s="1322">
        <v>2031</v>
      </c>
      <c r="AS33" s="1324">
        <f t="shared" si="32"/>
        <v>1.1650170261630517</v>
      </c>
      <c r="AT33" s="1325">
        <f t="shared" si="33"/>
        <v>1.1414901984998338</v>
      </c>
      <c r="AU33" s="1325">
        <f t="shared" si="34"/>
        <v>1.1270539275180433</v>
      </c>
      <c r="AV33" s="1329">
        <v>1.2181775878152028</v>
      </c>
    </row>
    <row r="34" spans="1:48" s="1178" customFormat="1" ht="15" x14ac:dyDescent="0.25">
      <c r="A34" s="1193">
        <v>2032</v>
      </c>
      <c r="B34" s="1247">
        <f>IF('Mkt Pen Veh-Mi'!B34=0,1,1/((1-Fuel2ShrbyTech!B35)/'Inputs 7&amp;8 Sleep'!$N47+Fuel2ShrbyTech!B35/'Inputs 7&amp;8 Sleep'!$T47))</f>
        <v>8.3301598304389337</v>
      </c>
      <c r="C34" s="1248">
        <f>IF('Mkt Pen Veh-Mi'!C34=0,1,1/((1-Fuel2ShrbyTech!C35)/'Inputs 7&amp;8 Sleep'!$O47+Fuel2ShrbyTech!C35/'Inputs 7&amp;8 Sleep'!$U47))</f>
        <v>9.6597907339465685</v>
      </c>
      <c r="D34" s="1248">
        <f>IF('Mkt Pen Veh-Mi'!D34=0,1,1/((1-Fuel2ShrbyTech!D35)/'Inputs 7&amp;8 Sleep'!$P47+Fuel2ShrbyTech!D35/'Inputs 7&amp;8 Sleep'!$V47))</f>
        <v>9.7166800710834131</v>
      </c>
      <c r="E34" s="1248">
        <f>IF('Mkt Pen Veh-Mi'!E34=0,1,1/((1-Fuel2ShrbyTech!E35)/'Inputs 7&amp;8 Sleep'!$Q47+Fuel2ShrbyTech!E35/'Inputs 7&amp;8 Sleep'!$W47))</f>
        <v>10.076379958425402</v>
      </c>
      <c r="F34" s="1248">
        <f>IF('Mkt Pen Veh-Mi'!F34=0,1,1/((1-Fuel2ShrbyTech!F35)/'Inputs 7&amp;8 Sleep'!$R47+Fuel2ShrbyTech!F35/'Inputs 7&amp;8 Sleep'!$X47))</f>
        <v>1</v>
      </c>
      <c r="G34" s="1249">
        <f>IF('Mkt Pen Veh-Mi'!G34=0,1,1/((1-Fuel2ShrbyTech!G35)/'Inputs 7&amp;8 Sleep'!$S47+Fuel2ShrbyTech!G35/'Inputs 7&amp;8 Sleep'!$Y47))</f>
        <v>1</v>
      </c>
      <c r="H34" s="1247">
        <f>IF('Mkt Pen Veh-Mi'!H34=0,1,1/((1-Fuel2ShrbyTech!H35)/'Inputs 7&amp;8 Day'!$N47+Fuel2ShrbyTech!H35/'Inputs 7&amp;8 Day'!$T47))</f>
        <v>7.4390662324210455</v>
      </c>
      <c r="I34" s="1248">
        <f>IF('Mkt Pen Veh-Mi'!I34=0,1,1/((1-Fuel2ShrbyTech!I35)/'Inputs 7&amp;8 Day'!$O47+Fuel2ShrbyTech!I35/'Inputs 7&amp;8 Day'!$U47))</f>
        <v>8.738570777921371</v>
      </c>
      <c r="J34" s="1248">
        <f>IF('Mkt Pen Veh-Mi'!J34=0,1,1/((1-Fuel2ShrbyTech!J35)/'Inputs 7&amp;8 Day'!$P47+Fuel2ShrbyTech!J35/'Inputs 7&amp;8 Day'!$V47))</f>
        <v>8.7871635728101189</v>
      </c>
      <c r="K34" s="1248">
        <f>IF('Mkt Pen Veh-Mi'!K34=0,1,1/((1-Fuel2ShrbyTech!K35)/'Inputs 7&amp;8 Day'!$Q47+Fuel2ShrbyTech!K35/'Inputs 7&amp;8 Day'!$W47))</f>
        <v>9.2716101600233873</v>
      </c>
      <c r="L34" s="1248">
        <f>IF('Mkt Pen Veh-Mi'!L34=0,1,1/((1-Fuel2ShrbyTech!L35)/'Inputs 7&amp;8 Day'!$R47+Fuel2ShrbyTech!L35/'Inputs 7&amp;8 Day'!$X47))</f>
        <v>1</v>
      </c>
      <c r="M34" s="1249">
        <f>IF('Mkt Pen Veh-Mi'!M34=0,1,1/((1-Fuel2ShrbyTech!M35)/'Inputs 7&amp;8 Day'!$S47+Fuel2ShrbyTech!M35/'Inputs 7&amp;8 Day'!$Y47))</f>
        <v>1</v>
      </c>
      <c r="N34" s="1247">
        <f>IF('Mkt Pen Veh-Mi'!N34=0,1,1/((1-Fuel2ShrbyTech!N35)/'Inputs 7&amp;8 SU'!$N47+Fuel2ShrbyTech!N35/'Inputs 7&amp;8 SU'!$T47))</f>
        <v>8.4935198180311193</v>
      </c>
      <c r="O34" s="1248">
        <f>IF('Mkt Pen Veh-Mi'!O34=0,1,1/((1-Fuel2ShrbyTech!O35)/'Inputs 7&amp;8 SU'!$O47+Fuel2ShrbyTech!O35/'Inputs 7&amp;8 SU'!$U47))</f>
        <v>10.055486034825639</v>
      </c>
      <c r="P34" s="1248">
        <f>IF('Mkt Pen Veh-Mi'!P34=0,1,1/((1-Fuel2ShrbyTech!P35)/'Inputs 7&amp;8 SU'!$P47+Fuel2ShrbyTech!P35/'Inputs 7&amp;8 SU'!$V47))</f>
        <v>10.657817167488474</v>
      </c>
      <c r="Q34" s="1248">
        <f>IF('Mkt Pen Veh-Mi'!Q34=0,1,1/((1-Fuel2ShrbyTech!Q35)/'Inputs 7&amp;8 SU'!$Q47+Fuel2ShrbyTech!Q35/'Inputs 7&amp;8 SU'!$W47))</f>
        <v>11.655768988830102</v>
      </c>
      <c r="R34" s="1248">
        <f>IF('Mkt Pen Veh-Mi'!R34=0,1,1/((1-Fuel2ShrbyTech!R35)/'Inputs 7&amp;8 SU'!$R47+Fuel2ShrbyTech!R35/'Inputs 7&amp;8 SU'!$X47))</f>
        <v>14.027947752312604</v>
      </c>
      <c r="S34" s="1249">
        <f>IF('Mkt Pen Veh-Mi'!S34=0,1,1/((1-Fuel2ShrbyTech!S35)/'Inputs 7&amp;8 SU'!$S47+Fuel2ShrbyTech!S35/'Inputs 7&amp;8 SU'!$Y47))</f>
        <v>1</v>
      </c>
      <c r="U34" s="1193">
        <f t="shared" si="13"/>
        <v>2032</v>
      </c>
      <c r="V34" s="1247">
        <f t="shared" si="14"/>
        <v>8.3301598304389337</v>
      </c>
      <c r="W34" s="1248">
        <f t="shared" si="15"/>
        <v>9.6597907339465685</v>
      </c>
      <c r="X34" s="1248">
        <f t="shared" si="16"/>
        <v>9.7166800710834131</v>
      </c>
      <c r="Y34" s="1248">
        <f t="shared" si="17"/>
        <v>10.076379958425402</v>
      </c>
      <c r="Z34" s="1248">
        <f t="shared" si="18"/>
        <v>0</v>
      </c>
      <c r="AA34" s="1249">
        <f t="shared" si="19"/>
        <v>0</v>
      </c>
      <c r="AB34" s="1247">
        <f t="shared" si="20"/>
        <v>7.4390662324210455</v>
      </c>
      <c r="AC34" s="1248">
        <f t="shared" si="21"/>
        <v>8.738570777921371</v>
      </c>
      <c r="AD34" s="1248">
        <f t="shared" si="22"/>
        <v>8.7871635728101189</v>
      </c>
      <c r="AE34" s="1248">
        <f t="shared" si="23"/>
        <v>9.2716101600233873</v>
      </c>
      <c r="AF34" s="1248">
        <f t="shared" si="24"/>
        <v>0</v>
      </c>
      <c r="AG34" s="1249">
        <f t="shared" si="25"/>
        <v>0</v>
      </c>
      <c r="AH34" s="1247">
        <f t="shared" si="26"/>
        <v>8.4935198180311193</v>
      </c>
      <c r="AI34" s="1248">
        <f t="shared" si="27"/>
        <v>10.055486034825639</v>
      </c>
      <c r="AJ34" s="1248">
        <f t="shared" si="28"/>
        <v>10.657817167488474</v>
      </c>
      <c r="AK34" s="1248">
        <f t="shared" si="29"/>
        <v>11.655768988830102</v>
      </c>
      <c r="AL34" s="1248">
        <f t="shared" si="30"/>
        <v>14.027947752312604</v>
      </c>
      <c r="AM34" s="1249">
        <f t="shared" si="31"/>
        <v>0</v>
      </c>
      <c r="AN34" s="1178">
        <v>2032</v>
      </c>
      <c r="AO34" s="1324">
        <f t="array" ref="AO34">1/SUMPRODUCT(IFERROR(1/V34:AA34,0),'Mkt Pen Veh-Mi'!B34:G34)</f>
        <v>9.7491589073308376</v>
      </c>
      <c r="AP34" s="1325">
        <f t="array" ref="AP34">1/SUMPRODUCT(IFERROR(1/AB34:AG34,0),'Mkt Pen Veh-Mi'!H34:M34)</f>
        <v>8.4945166924126685</v>
      </c>
      <c r="AQ34" s="1329">
        <f t="array" ref="AQ34">1/SUMPRODUCT(IFERROR(1/AH34:AM34,0),'Mkt Pen Veh-Mi'!N34:S34)</f>
        <v>9.6207741606239949</v>
      </c>
      <c r="AR34" s="1322">
        <v>2032</v>
      </c>
      <c r="AS34" s="1324">
        <f t="shared" si="32"/>
        <v>1.1703447599776886</v>
      </c>
      <c r="AT34" s="1325">
        <f t="shared" si="33"/>
        <v>1.1418794277421196</v>
      </c>
      <c r="AU34" s="1325">
        <f t="shared" si="34"/>
        <v>1.1327193397723989</v>
      </c>
      <c r="AV34" s="1329">
        <v>1.2746723773692126</v>
      </c>
    </row>
    <row r="35" spans="1:48" s="1178" customFormat="1" ht="15" x14ac:dyDescent="0.25">
      <c r="A35" s="1193">
        <v>2033</v>
      </c>
      <c r="B35" s="1247">
        <f>IF('Mkt Pen Veh-Mi'!B35=0,1,1/((1-Fuel2ShrbyTech!B36)/'Inputs 7&amp;8 Sleep'!$N48+Fuel2ShrbyTech!B36/'Inputs 7&amp;8 Sleep'!$T48))</f>
        <v>8.3408618012375904</v>
      </c>
      <c r="C35" s="1248">
        <f>IF('Mkt Pen Veh-Mi'!C35=0,1,1/((1-Fuel2ShrbyTech!C36)/'Inputs 7&amp;8 Sleep'!$O48+Fuel2ShrbyTech!C36/'Inputs 7&amp;8 Sleep'!$U48))</f>
        <v>9.6722009157990314</v>
      </c>
      <c r="D35" s="1248">
        <f>IF('Mkt Pen Veh-Mi'!D35=0,1,1/((1-Fuel2ShrbyTech!D36)/'Inputs 7&amp;8 Sleep'!$P48+Fuel2ShrbyTech!D36/'Inputs 7&amp;8 Sleep'!$V48))</f>
        <v>9.729163340131942</v>
      </c>
      <c r="E35" s="1248">
        <f>IF('Mkt Pen Veh-Mi'!E35=0,1,1/((1-Fuel2ShrbyTech!E36)/'Inputs 7&amp;8 Sleep'!$Q48+Fuel2ShrbyTech!E36/'Inputs 7&amp;8 Sleep'!$W48))</f>
        <v>10.261616048486893</v>
      </c>
      <c r="F35" s="1248">
        <f>IF('Mkt Pen Veh-Mi'!F35=0,1,1/((1-Fuel2ShrbyTech!F36)/'Inputs 7&amp;8 Sleep'!$R48+Fuel2ShrbyTech!F36/'Inputs 7&amp;8 Sleep'!$X48))</f>
        <v>1</v>
      </c>
      <c r="G35" s="1249">
        <f>IF('Mkt Pen Veh-Mi'!G35=0,1,1/((1-Fuel2ShrbyTech!G36)/'Inputs 7&amp;8 Sleep'!$S48+Fuel2ShrbyTech!G36/'Inputs 7&amp;8 Sleep'!$Y48))</f>
        <v>1</v>
      </c>
      <c r="H35" s="1247">
        <f>IF('Mkt Pen Veh-Mi'!H35=0,1,1/((1-Fuel2ShrbyTech!H36)/'Inputs 7&amp;8 Day'!$N48+Fuel2ShrbyTech!H36/'Inputs 7&amp;8 Day'!$T48))</f>
        <v>7.4432542648459084</v>
      </c>
      <c r="I35" s="1248">
        <f>IF('Mkt Pen Veh-Mi'!I35=0,1,1/((1-Fuel2ShrbyTech!I36)/'Inputs 7&amp;8 Day'!$O48+Fuel2ShrbyTech!I36/'Inputs 7&amp;8 Day'!$U48))</f>
        <v>8.7434904031298952</v>
      </c>
      <c r="J35" s="1248">
        <f>IF('Mkt Pen Veh-Mi'!J35=0,1,1/((1-Fuel2ShrbyTech!J36)/'Inputs 7&amp;8 Day'!$P48+Fuel2ShrbyTech!J36/'Inputs 7&amp;8 Day'!$V48))</f>
        <v>8.7921105547048519</v>
      </c>
      <c r="K35" s="1248">
        <f>IF('Mkt Pen Veh-Mi'!K35=0,1,1/((1-Fuel2ShrbyTech!K36)/'Inputs 7&amp;8 Day'!$Q48+Fuel2ShrbyTech!K36/'Inputs 7&amp;8 Day'!$W48))</f>
        <v>9.5495262472803866</v>
      </c>
      <c r="L35" s="1248">
        <f>IF('Mkt Pen Veh-Mi'!L35=0,1,1/((1-Fuel2ShrbyTech!L36)/'Inputs 7&amp;8 Day'!$R48+Fuel2ShrbyTech!L36/'Inputs 7&amp;8 Day'!$X48))</f>
        <v>1</v>
      </c>
      <c r="M35" s="1249">
        <f>IF('Mkt Pen Veh-Mi'!M35=0,1,1/((1-Fuel2ShrbyTech!M36)/'Inputs 7&amp;8 Day'!$S48+Fuel2ShrbyTech!M36/'Inputs 7&amp;8 Day'!$Y48))</f>
        <v>1</v>
      </c>
      <c r="N35" s="1247">
        <f>IF('Mkt Pen Veh-Mi'!N35=0,1,1/((1-Fuel2ShrbyTech!N36)/'Inputs 7&amp;8 SU'!$N48+Fuel2ShrbyTech!N36/'Inputs 7&amp;8 SU'!$T48))</f>
        <v>8.5104540561065392</v>
      </c>
      <c r="O35" s="1248">
        <f>IF('Mkt Pen Veh-Mi'!O35=0,1,1/((1-Fuel2ShrbyTech!O36)/'Inputs 7&amp;8 SU'!$O48+Fuel2ShrbyTech!O36/'Inputs 7&amp;8 SU'!$U48))</f>
        <v>10.075534495078395</v>
      </c>
      <c r="P35" s="1248">
        <f>IF('Mkt Pen Veh-Mi'!P35=0,1,1/((1-Fuel2ShrbyTech!P36)/'Inputs 7&amp;8 SU'!$P48+Fuel2ShrbyTech!P36/'Inputs 7&amp;8 SU'!$V48))</f>
        <v>10.67906654550198</v>
      </c>
      <c r="Q35" s="1248">
        <f>IF('Mkt Pen Veh-Mi'!Q35=0,1,1/((1-Fuel2ShrbyTech!Q36)/'Inputs 7&amp;8 SU'!$Q48+Fuel2ShrbyTech!Q36/'Inputs 7&amp;8 SU'!$W48))</f>
        <v>11.794026809569115</v>
      </c>
      <c r="R35" s="1248">
        <f>IF('Mkt Pen Veh-Mi'!R35=0,1,1/((1-Fuel2ShrbyTech!R36)/'Inputs 7&amp;8 SU'!$R48+Fuel2ShrbyTech!R36/'Inputs 7&amp;8 SU'!$X48))</f>
        <v>14.48029019868485</v>
      </c>
      <c r="S35" s="1249">
        <f>IF('Mkt Pen Veh-Mi'!S35=0,1,1/((1-Fuel2ShrbyTech!S36)/'Inputs 7&amp;8 SU'!$S48+Fuel2ShrbyTech!S36/'Inputs 7&amp;8 SU'!$Y48))</f>
        <v>1</v>
      </c>
      <c r="U35" s="1193">
        <f t="shared" si="13"/>
        <v>2033</v>
      </c>
      <c r="V35" s="1247">
        <f t="shared" si="14"/>
        <v>8.3408618012375904</v>
      </c>
      <c r="W35" s="1248">
        <f t="shared" si="15"/>
        <v>9.6722009157990314</v>
      </c>
      <c r="X35" s="1248">
        <f t="shared" si="16"/>
        <v>9.729163340131942</v>
      </c>
      <c r="Y35" s="1248">
        <f t="shared" si="17"/>
        <v>10.261616048486893</v>
      </c>
      <c r="Z35" s="1248">
        <f t="shared" si="18"/>
        <v>0</v>
      </c>
      <c r="AA35" s="1249">
        <f t="shared" si="19"/>
        <v>0</v>
      </c>
      <c r="AB35" s="1247">
        <f t="shared" si="20"/>
        <v>7.4432542648459084</v>
      </c>
      <c r="AC35" s="1248">
        <f t="shared" si="21"/>
        <v>8.7434904031298952</v>
      </c>
      <c r="AD35" s="1248">
        <f t="shared" si="22"/>
        <v>8.7921105547048519</v>
      </c>
      <c r="AE35" s="1248">
        <f t="shared" si="23"/>
        <v>9.5495262472803866</v>
      </c>
      <c r="AF35" s="1248">
        <f t="shared" si="24"/>
        <v>0</v>
      </c>
      <c r="AG35" s="1249">
        <f t="shared" si="25"/>
        <v>0</v>
      </c>
      <c r="AH35" s="1247">
        <f t="shared" si="26"/>
        <v>8.5104540561065392</v>
      </c>
      <c r="AI35" s="1248">
        <f t="shared" si="27"/>
        <v>10.075534495078395</v>
      </c>
      <c r="AJ35" s="1248">
        <f t="shared" si="28"/>
        <v>10.67906654550198</v>
      </c>
      <c r="AK35" s="1248">
        <f t="shared" si="29"/>
        <v>11.794026809569115</v>
      </c>
      <c r="AL35" s="1248">
        <f t="shared" si="30"/>
        <v>14.48029019868485</v>
      </c>
      <c r="AM35" s="1249">
        <f t="shared" si="31"/>
        <v>0</v>
      </c>
      <c r="AN35" s="1178">
        <v>2033</v>
      </c>
      <c r="AO35" s="1324">
        <f t="array" ref="AO35">1/SUMPRODUCT(IFERROR(1/V35:AA35,0),'Mkt Pen Veh-Mi'!B35:G35)</f>
        <v>9.8053082677009549</v>
      </c>
      <c r="AP35" s="1325">
        <f t="array" ref="AP35">1/SUMPRODUCT(IFERROR(1/AB35:AG35,0),'Mkt Pen Veh-Mi'!H35:M35)</f>
        <v>8.5097043299031956</v>
      </c>
      <c r="AQ35" s="1329">
        <f t="array" ref="AQ35">1/SUMPRODUCT(IFERROR(1/AH35:AM35,0),'Mkt Pen Veh-Mi'!N35:S35)</f>
        <v>9.6580417561552245</v>
      </c>
      <c r="AR35" s="1322">
        <v>2033</v>
      </c>
      <c r="AS35" s="1324">
        <f t="shared" si="32"/>
        <v>1.1755749587226196</v>
      </c>
      <c r="AT35" s="1325">
        <f t="shared" si="33"/>
        <v>1.1432773928057347</v>
      </c>
      <c r="AU35" s="1325">
        <f t="shared" si="34"/>
        <v>1.1348444739238386</v>
      </c>
      <c r="AV35" s="1329">
        <v>1.3942553676087848</v>
      </c>
    </row>
    <row r="36" spans="1:48" s="1178" customFormat="1" ht="15" x14ac:dyDescent="0.25">
      <c r="A36" s="1193">
        <v>2034</v>
      </c>
      <c r="B36" s="1247">
        <f>IF('Mkt Pen Veh-Mi'!B36=0,1,1/((1-Fuel2ShrbyTech!B37)/'Inputs 7&amp;8 Sleep'!$N49+Fuel2ShrbyTech!B37/'Inputs 7&amp;8 Sleep'!$T49))</f>
        <v>8.351563772036247</v>
      </c>
      <c r="C36" s="1248">
        <f>IF('Mkt Pen Veh-Mi'!C36=0,1,1/((1-Fuel2ShrbyTech!C37)/'Inputs 7&amp;8 Sleep'!$O49+Fuel2ShrbyTech!C37/'Inputs 7&amp;8 Sleep'!$U49))</f>
        <v>9.6846110976514943</v>
      </c>
      <c r="D36" s="1248">
        <f>IF('Mkt Pen Veh-Mi'!D36=0,1,1/((1-Fuel2ShrbyTech!D37)/'Inputs 7&amp;8 Sleep'!$P49+Fuel2ShrbyTech!D37/'Inputs 7&amp;8 Sleep'!$V49))</f>
        <v>9.7416466091804708</v>
      </c>
      <c r="E36" s="1248">
        <f>IF('Mkt Pen Veh-Mi'!E36=0,1,1/((1-Fuel2ShrbyTech!E37)/'Inputs 7&amp;8 Sleep'!$Q49+Fuel2ShrbyTech!E37/'Inputs 7&amp;8 Sleep'!$W49))</f>
        <v>10.447294263149178</v>
      </c>
      <c r="F36" s="1248">
        <f>IF('Mkt Pen Veh-Mi'!F36=0,1,1/((1-Fuel2ShrbyTech!F37)/'Inputs 7&amp;8 Sleep'!$R49+Fuel2ShrbyTech!F37/'Inputs 7&amp;8 Sleep'!$X49))</f>
        <v>1</v>
      </c>
      <c r="G36" s="1249">
        <f>IF('Mkt Pen Veh-Mi'!G36=0,1,1/((1-Fuel2ShrbyTech!G37)/'Inputs 7&amp;8 Sleep'!$S49+Fuel2ShrbyTech!G37/'Inputs 7&amp;8 Sleep'!$Y49))</f>
        <v>1</v>
      </c>
      <c r="H36" s="1247">
        <f>IF('Mkt Pen Veh-Mi'!H36=0,1,1/((1-Fuel2ShrbyTech!H37)/'Inputs 7&amp;8 Day'!$N49+Fuel2ShrbyTech!H37/'Inputs 7&amp;8 Day'!$T49))</f>
        <v>7.4474422972707748</v>
      </c>
      <c r="I36" s="1248">
        <f>IF('Mkt Pen Veh-Mi'!I36=0,1,1/((1-Fuel2ShrbyTech!I37)/'Inputs 7&amp;8 Day'!$O49+Fuel2ShrbyTech!I37/'Inputs 7&amp;8 Day'!$U49))</f>
        <v>8.7484100283384194</v>
      </c>
      <c r="J36" s="1248">
        <f>IF('Mkt Pen Veh-Mi'!J36=0,1,1/((1-Fuel2ShrbyTech!J37)/'Inputs 7&amp;8 Day'!$P49+Fuel2ShrbyTech!J37/'Inputs 7&amp;8 Day'!$V49))</f>
        <v>8.7970575365995849</v>
      </c>
      <c r="K36" s="1248">
        <f>IF('Mkt Pen Veh-Mi'!K36=0,1,1/((1-Fuel2ShrbyTech!K37)/'Inputs 7&amp;8 Day'!$Q49+Fuel2ShrbyTech!K37/'Inputs 7&amp;8 Day'!$W49))</f>
        <v>9.8869716013284243</v>
      </c>
      <c r="L36" s="1248">
        <f>IF('Mkt Pen Veh-Mi'!L36=0,1,1/((1-Fuel2ShrbyTech!L37)/'Inputs 7&amp;8 Day'!$R49+Fuel2ShrbyTech!L37/'Inputs 7&amp;8 Day'!$X49))</f>
        <v>1</v>
      </c>
      <c r="M36" s="1249">
        <f>IF('Mkt Pen Veh-Mi'!M36=0,1,1/((1-Fuel2ShrbyTech!M37)/'Inputs 7&amp;8 Day'!$S49+Fuel2ShrbyTech!M37/'Inputs 7&amp;8 Day'!$Y49))</f>
        <v>1</v>
      </c>
      <c r="N36" s="1247">
        <f>IF('Mkt Pen Veh-Mi'!N36=0,1,1/((1-Fuel2ShrbyTech!N37)/'Inputs 7&amp;8 SU'!$N49+Fuel2ShrbyTech!N37/'Inputs 7&amp;8 SU'!$T49))</f>
        <v>8.5273882941819608</v>
      </c>
      <c r="O36" s="1248">
        <f>IF('Mkt Pen Veh-Mi'!O36=0,1,1/((1-Fuel2ShrbyTech!O37)/'Inputs 7&amp;8 SU'!$O49+Fuel2ShrbyTech!O37/'Inputs 7&amp;8 SU'!$U49))</f>
        <v>10.095582955331153</v>
      </c>
      <c r="P36" s="1248">
        <f>IF('Mkt Pen Veh-Mi'!P36=0,1,1/((1-Fuel2ShrbyTech!P37)/'Inputs 7&amp;8 SU'!$P49+Fuel2ShrbyTech!P37/'Inputs 7&amp;8 SU'!$V49))</f>
        <v>10.700315923515488</v>
      </c>
      <c r="Q36" s="1248">
        <f>IF('Mkt Pen Veh-Mi'!Q36=0,1,1/((1-Fuel2ShrbyTech!Q37)/'Inputs 7&amp;8 SU'!$Q49+Fuel2ShrbyTech!Q37/'Inputs 7&amp;8 SU'!$W49))</f>
        <v>11.932742362590075</v>
      </c>
      <c r="R36" s="1248">
        <f>IF('Mkt Pen Veh-Mi'!R36=0,1,1/((1-Fuel2ShrbyTech!R37)/'Inputs 7&amp;8 SU'!$R49+Fuel2ShrbyTech!R37/'Inputs 7&amp;8 SU'!$X49))</f>
        <v>14.979884627576698</v>
      </c>
      <c r="S36" s="1249">
        <f>IF('Mkt Pen Veh-Mi'!S36=0,1,1/((1-Fuel2ShrbyTech!S37)/'Inputs 7&amp;8 SU'!$S49+Fuel2ShrbyTech!S37/'Inputs 7&amp;8 SU'!$Y49))</f>
        <v>1</v>
      </c>
      <c r="U36" s="1193">
        <f t="shared" si="13"/>
        <v>2034</v>
      </c>
      <c r="V36" s="1247">
        <f t="shared" si="14"/>
        <v>8.351563772036247</v>
      </c>
      <c r="W36" s="1248">
        <f t="shared" si="15"/>
        <v>9.6846110976514943</v>
      </c>
      <c r="X36" s="1248">
        <f t="shared" si="16"/>
        <v>9.7416466091804708</v>
      </c>
      <c r="Y36" s="1248">
        <f t="shared" si="17"/>
        <v>10.447294263149178</v>
      </c>
      <c r="Z36" s="1248">
        <f t="shared" si="18"/>
        <v>0</v>
      </c>
      <c r="AA36" s="1249">
        <f t="shared" si="19"/>
        <v>0</v>
      </c>
      <c r="AB36" s="1247">
        <f t="shared" si="20"/>
        <v>7.4474422972707748</v>
      </c>
      <c r="AC36" s="1248">
        <f t="shared" si="21"/>
        <v>8.7484100283384194</v>
      </c>
      <c r="AD36" s="1248">
        <f t="shared" si="22"/>
        <v>8.7970575365995849</v>
      </c>
      <c r="AE36" s="1248">
        <f t="shared" si="23"/>
        <v>9.8869716013284243</v>
      </c>
      <c r="AF36" s="1248">
        <f t="shared" si="24"/>
        <v>0</v>
      </c>
      <c r="AG36" s="1249">
        <f t="shared" si="25"/>
        <v>0</v>
      </c>
      <c r="AH36" s="1247">
        <f t="shared" si="26"/>
        <v>8.5273882941819608</v>
      </c>
      <c r="AI36" s="1248">
        <f t="shared" si="27"/>
        <v>10.095582955331153</v>
      </c>
      <c r="AJ36" s="1248">
        <f t="shared" si="28"/>
        <v>10.700315923515488</v>
      </c>
      <c r="AK36" s="1248">
        <f t="shared" si="29"/>
        <v>11.932742362590075</v>
      </c>
      <c r="AL36" s="1248">
        <f t="shared" si="30"/>
        <v>14.979884627576698</v>
      </c>
      <c r="AM36" s="1249">
        <f t="shared" si="31"/>
        <v>0</v>
      </c>
      <c r="AN36" s="1178">
        <v>2034</v>
      </c>
      <c r="AO36" s="1324">
        <f t="array" ref="AO36">1/SUMPRODUCT(IFERROR(1/V36:AA36,0),'Mkt Pen Veh-Mi'!B36:G36)</f>
        <v>9.8616661542958326</v>
      </c>
      <c r="AP36" s="1325">
        <f t="array" ref="AP36">1/SUMPRODUCT(IFERROR(1/AB36:AG36,0),'Mkt Pen Veh-Mi'!H36:M36)</f>
        <v>8.5329686643991334</v>
      </c>
      <c r="AQ36" s="1329">
        <f t="array" ref="AQ36">1/SUMPRODUCT(IFERROR(1/AH36:AM36,0),'Mkt Pen Veh-Mi'!N36:S36)</f>
        <v>9.6988317183441257</v>
      </c>
      <c r="AR36" s="1322">
        <v>2034</v>
      </c>
      <c r="AS36" s="1324">
        <f t="shared" si="32"/>
        <v>1.1808167216917986</v>
      </c>
      <c r="AT36" s="1325">
        <f t="shared" si="33"/>
        <v>1.1457582783187412</v>
      </c>
      <c r="AU36" s="1325">
        <f t="shared" si="34"/>
        <v>1.1373742327368175</v>
      </c>
      <c r="AV36" s="1329">
        <v>1.5544037088823743</v>
      </c>
    </row>
    <row r="37" spans="1:48" s="1178" customFormat="1" ht="15" x14ac:dyDescent="0.25">
      <c r="A37" s="1199">
        <v>2035</v>
      </c>
      <c r="B37" s="1250">
        <f>IF('Mkt Pen Veh-Mi'!B37=0,1,1/((1-Fuel2ShrbyTech!B38)/'Inputs 7&amp;8 Sleep'!$N50+Fuel2ShrbyTech!B38/'Inputs 7&amp;8 Sleep'!$T50))</f>
        <v>8.3622657428349019</v>
      </c>
      <c r="C37" s="1251">
        <f>IF('Mkt Pen Veh-Mi'!C37=0,1,1/((1-Fuel2ShrbyTech!C38)/'Inputs 7&amp;8 Sleep'!$O50+Fuel2ShrbyTech!C38/'Inputs 7&amp;8 Sleep'!$U50))</f>
        <v>9.6970212795039554</v>
      </c>
      <c r="D37" s="1251">
        <f>IF('Mkt Pen Veh-Mi'!D37=0,1,1/((1-Fuel2ShrbyTech!D38)/'Inputs 7&amp;8 Sleep'!$P50+Fuel2ShrbyTech!D38/'Inputs 7&amp;8 Sleep'!$V50))</f>
        <v>9.7541298782289978</v>
      </c>
      <c r="E37" s="1251">
        <f>IF('Mkt Pen Veh-Mi'!E37=0,1,1/((1-Fuel2ShrbyTech!E38)/'Inputs 7&amp;8 Sleep'!$Q50+Fuel2ShrbyTech!E38/'Inputs 7&amp;8 Sleep'!$W50))</f>
        <v>10.633414602412259</v>
      </c>
      <c r="F37" s="1251">
        <f>IF('Mkt Pen Veh-Mi'!F37=0,1,1/((1-Fuel2ShrbyTech!F38)/'Inputs 7&amp;8 Sleep'!$R50+Fuel2ShrbyTech!F38/'Inputs 7&amp;8 Sleep'!$X50))</f>
        <v>1</v>
      </c>
      <c r="G37" s="1252">
        <f>IF('Mkt Pen Veh-Mi'!G37=0,1,1/((1-Fuel2ShrbyTech!G38)/'Inputs 7&amp;8 Sleep'!$S50+Fuel2ShrbyTech!G38/'Inputs 7&amp;8 Sleep'!$Y50))</f>
        <v>1</v>
      </c>
      <c r="H37" s="1250">
        <f>IF('Mkt Pen Veh-Mi'!H37=0,1,1/((1-Fuel2ShrbyTech!H38)/'Inputs 7&amp;8 Day'!$N50+Fuel2ShrbyTech!H38/'Inputs 7&amp;8 Day'!$T50))</f>
        <v>7.4516303296956377</v>
      </c>
      <c r="I37" s="1251">
        <f>IF('Mkt Pen Veh-Mi'!I37=0,1,1/((1-Fuel2ShrbyTech!I38)/'Inputs 7&amp;8 Day'!$O50+Fuel2ShrbyTech!I38/'Inputs 7&amp;8 Day'!$U50))</f>
        <v>8.7533296535469436</v>
      </c>
      <c r="J37" s="1251">
        <f>IF('Mkt Pen Veh-Mi'!J37=0,1,1/((1-Fuel2ShrbyTech!J38)/'Inputs 7&amp;8 Day'!$P50+Fuel2ShrbyTech!J38/'Inputs 7&amp;8 Day'!$V50))</f>
        <v>8.8020045184943179</v>
      </c>
      <c r="K37" s="1251">
        <f>IF('Mkt Pen Veh-Mi'!K37=0,1,1/((1-Fuel2ShrbyTech!K38)/'Inputs 7&amp;8 Day'!$Q50+Fuel2ShrbyTech!K38/'Inputs 7&amp;8 Day'!$W50))</f>
        <v>10.251101761948355</v>
      </c>
      <c r="L37" s="1251">
        <f>IF('Mkt Pen Veh-Mi'!L37=0,1,1/((1-Fuel2ShrbyTech!L38)/'Inputs 7&amp;8 Day'!$R50+Fuel2ShrbyTech!L38/'Inputs 7&amp;8 Day'!$X50))</f>
        <v>1</v>
      </c>
      <c r="M37" s="1252">
        <f>IF('Mkt Pen Veh-Mi'!M37=0,1,1/((1-Fuel2ShrbyTech!M38)/'Inputs 7&amp;8 Day'!$S50+Fuel2ShrbyTech!M38/'Inputs 7&amp;8 Day'!$Y50))</f>
        <v>1</v>
      </c>
      <c r="N37" s="1250">
        <f>IF('Mkt Pen Veh-Mi'!N37=0,1,1/((1-Fuel2ShrbyTech!N38)/'Inputs 7&amp;8 SU'!$N50+Fuel2ShrbyTech!N38/'Inputs 7&amp;8 SU'!$T50))</f>
        <v>8.5443225322573806</v>
      </c>
      <c r="O37" s="1251">
        <f>IF('Mkt Pen Veh-Mi'!O37=0,1,1/((1-Fuel2ShrbyTech!O38)/'Inputs 7&amp;8 SU'!$O50+Fuel2ShrbyTech!O38/'Inputs 7&amp;8 SU'!$U50))</f>
        <v>10.115631415583909</v>
      </c>
      <c r="P37" s="1251">
        <f>IF('Mkt Pen Veh-Mi'!P37=0,1,1/((1-Fuel2ShrbyTech!P38)/'Inputs 7&amp;8 SU'!$P50+Fuel2ShrbyTech!P38/'Inputs 7&amp;8 SU'!$V50))</f>
        <v>10.721565301528994</v>
      </c>
      <c r="Q37" s="1251">
        <f>IF('Mkt Pen Veh-Mi'!Q37=0,1,1/((1-Fuel2ShrbyTech!Q38)/'Inputs 7&amp;8 SU'!$Q50+Fuel2ShrbyTech!Q38/'Inputs 7&amp;8 SU'!$W50))</f>
        <v>12.071915647892972</v>
      </c>
      <c r="R37" s="1251">
        <f>IF('Mkt Pen Veh-Mi'!R37=0,1,1/((1-Fuel2ShrbyTech!R38)/'Inputs 7&amp;8 SU'!$R50+Fuel2ShrbyTech!R38/'Inputs 7&amp;8 SU'!$X50))</f>
        <v>15.541409618642211</v>
      </c>
      <c r="S37" s="1252">
        <f>IF('Mkt Pen Veh-Mi'!S37=0,1,1/((1-Fuel2ShrbyTech!S38)/'Inputs 7&amp;8 SU'!$S50+Fuel2ShrbyTech!S38/'Inputs 7&amp;8 SU'!$Y50))</f>
        <v>27.855379636719793</v>
      </c>
      <c r="U37" s="1199">
        <f t="shared" si="13"/>
        <v>2035</v>
      </c>
      <c r="V37" s="1250">
        <f t="shared" si="14"/>
        <v>8.3622657428349019</v>
      </c>
      <c r="W37" s="1251">
        <f t="shared" si="15"/>
        <v>9.6970212795039554</v>
      </c>
      <c r="X37" s="1251">
        <f t="shared" si="16"/>
        <v>9.7541298782289978</v>
      </c>
      <c r="Y37" s="1251">
        <f t="shared" si="17"/>
        <v>10.633414602412259</v>
      </c>
      <c r="Z37" s="1251">
        <f t="shared" si="18"/>
        <v>0</v>
      </c>
      <c r="AA37" s="1252">
        <f t="shared" si="19"/>
        <v>0</v>
      </c>
      <c r="AB37" s="1250">
        <f t="shared" si="20"/>
        <v>7.4516303296956377</v>
      </c>
      <c r="AC37" s="1251">
        <f t="shared" si="21"/>
        <v>8.7533296535469436</v>
      </c>
      <c r="AD37" s="1251">
        <f t="shared" si="22"/>
        <v>8.8020045184943179</v>
      </c>
      <c r="AE37" s="1251">
        <f t="shared" si="23"/>
        <v>10.251101761948355</v>
      </c>
      <c r="AF37" s="1251">
        <f t="shared" si="24"/>
        <v>0</v>
      </c>
      <c r="AG37" s="1252">
        <f t="shared" si="25"/>
        <v>0</v>
      </c>
      <c r="AH37" s="1250">
        <f t="shared" si="26"/>
        <v>8.5443225322573806</v>
      </c>
      <c r="AI37" s="1251">
        <f t="shared" si="27"/>
        <v>10.115631415583909</v>
      </c>
      <c r="AJ37" s="1251">
        <f t="shared" si="28"/>
        <v>10.721565301528994</v>
      </c>
      <c r="AK37" s="1251">
        <f t="shared" si="29"/>
        <v>12.071915647892972</v>
      </c>
      <c r="AL37" s="1251">
        <f t="shared" si="30"/>
        <v>15.541409618642211</v>
      </c>
      <c r="AM37" s="1252">
        <f t="shared" si="31"/>
        <v>27.855379636719793</v>
      </c>
      <c r="AN37" s="1178">
        <v>2035</v>
      </c>
      <c r="AO37" s="1324">
        <f t="array" ref="AO37">1/SUMPRODUCT(IFERROR(1/V37:AA37,0),'Mkt Pen Veh-Mi'!B37:G37)</f>
        <v>9.9195987830026677</v>
      </c>
      <c r="AP37" s="1325">
        <f t="array" ref="AP37">1/SUMPRODUCT(IFERROR(1/AB37:AG37,0),'Mkt Pen Veh-Mi'!H37:M37)</f>
        <v>8.5854773666230084</v>
      </c>
      <c r="AQ37" s="1329">
        <f t="array" ref="AQ37">1/SUMPRODUCT(IFERROR(1/AH37:AM37,0),'Mkt Pen Veh-Mi'!N37:S37)</f>
        <v>9.7536901380180581</v>
      </c>
      <c r="AR37" s="1322">
        <v>2035</v>
      </c>
      <c r="AS37" s="1330">
        <f t="shared" si="32"/>
        <v>1.1862333831595995</v>
      </c>
      <c r="AT37" s="1331">
        <f t="shared" si="33"/>
        <v>1.1521609348237332</v>
      </c>
      <c r="AU37" s="1331">
        <f t="shared" si="34"/>
        <v>1.1415404909160383</v>
      </c>
      <c r="AV37" s="1332">
        <v>1.733471734567664</v>
      </c>
    </row>
    <row r="38" spans="1:48" s="1178" customFormat="1" ht="15" x14ac:dyDescent="0.25">
      <c r="A38" s="1193">
        <v>2036</v>
      </c>
      <c r="B38" s="1253">
        <f>IF('Mkt Pen Veh-Mi'!B38=0,1,1/((1-Fuel2ShrbyTech!B39)/'Inputs 7&amp;8 Sleep'!$N51+Fuel2ShrbyTech!B39/'Inputs 7&amp;8 Sleep'!$T51))</f>
        <v>8.3624317796139316</v>
      </c>
      <c r="C38" s="1254">
        <f>IF('Mkt Pen Veh-Mi'!C38=0,1,1/((1-Fuel2ShrbyTech!C39)/'Inputs 7&amp;8 Sleep'!$O51+Fuel2ShrbyTech!C39/'Inputs 7&amp;8 Sleep'!$U51))</f>
        <v>9.697213818491468</v>
      </c>
      <c r="D38" s="1254">
        <f>IF('Mkt Pen Veh-Mi'!D38=0,1,1/((1-Fuel2ShrbyTech!D39)/'Inputs 7&amp;8 Sleep'!$P51+Fuel2ShrbyTech!D39/'Inputs 7&amp;8 Sleep'!$V51))</f>
        <v>9.7543235511350037</v>
      </c>
      <c r="E38" s="1254">
        <f>IF('Mkt Pen Veh-Mi'!E38=0,1,1/((1-Fuel2ShrbyTech!E39)/'Inputs 7&amp;8 Sleep'!$Q51+Fuel2ShrbyTech!E39/'Inputs 7&amp;8 Sleep'!$W51))</f>
        <v>10.694134017256152</v>
      </c>
      <c r="F38" s="1254">
        <f>IF('Mkt Pen Veh-Mi'!F38=0,1,1/((1-Fuel2ShrbyTech!F39)/'Inputs 7&amp;8 Sleep'!$R51+Fuel2ShrbyTech!F39/'Inputs 7&amp;8 Sleep'!$X51))</f>
        <v>11.574852482867223</v>
      </c>
      <c r="G38" s="1255">
        <f>IF('Mkt Pen Veh-Mi'!G38=0,1,1/((1-Fuel2ShrbyTech!G39)/'Inputs 7&amp;8 Sleep'!$S51+Fuel2ShrbyTech!G39/'Inputs 7&amp;8 Sleep'!$Y51))</f>
        <v>1</v>
      </c>
      <c r="H38" s="1253">
        <f>IF('Mkt Pen Veh-Mi'!H38=0,1,1/((1-Fuel2ShrbyTech!H39)/'Inputs 7&amp;8 Day'!$N51+Fuel2ShrbyTech!H39/'Inputs 7&amp;8 Day'!$T51))</f>
        <v>7.4551478614568492</v>
      </c>
      <c r="I38" s="1254">
        <f>IF('Mkt Pen Veh-Mi'!I38=0,1,1/((1-Fuel2ShrbyTech!I39)/'Inputs 7&amp;8 Day'!$O51+Fuel2ShrbyTech!I39/'Inputs 7&amp;8 Day'!$U51))</f>
        <v>8.757461650668434</v>
      </c>
      <c r="J38" s="1254">
        <f>IF('Mkt Pen Veh-Mi'!J38=0,1,1/((1-Fuel2ShrbyTech!J39)/'Inputs 7&amp;8 Day'!$P51+Fuel2ShrbyTech!J39/'Inputs 7&amp;8 Day'!$V51))</f>
        <v>8.8061594925182902</v>
      </c>
      <c r="K38" s="1254">
        <f>IF('Mkt Pen Veh-Mi'!K38=0,1,1/((1-Fuel2ShrbyTech!K39)/'Inputs 7&amp;8 Day'!$Q51+Fuel2ShrbyTech!K39/'Inputs 7&amp;8 Day'!$W51))</f>
        <v>10.380980945103342</v>
      </c>
      <c r="L38" s="1254">
        <f>IF('Mkt Pen Veh-Mi'!L38=0,1,1/((1-Fuel2ShrbyTech!L39)/'Inputs 7&amp;8 Day'!$R51+Fuel2ShrbyTech!L39/'Inputs 7&amp;8 Day'!$X51))</f>
        <v>1</v>
      </c>
      <c r="M38" s="1255">
        <f>IF('Mkt Pen Veh-Mi'!M38=0,1,1/((1-Fuel2ShrbyTech!M39)/'Inputs 7&amp;8 Day'!$S51+Fuel2ShrbyTech!M39/'Inputs 7&amp;8 Day'!$Y51))</f>
        <v>10.111692570575936</v>
      </c>
      <c r="N38" s="1253">
        <f>IF('Mkt Pen Veh-Mi'!N38=0,1,1/((1-Fuel2ShrbyTech!N39)/'Inputs 7&amp;8 SU'!$N51+Fuel2ShrbyTech!N39/'Inputs 7&amp;8 SU'!$T51))</f>
        <v>8.5444945413697049</v>
      </c>
      <c r="O38" s="1254">
        <f>IF('Mkt Pen Veh-Mi'!O38=0,1,1/((1-Fuel2ShrbyTech!O39)/'Inputs 7&amp;8 SU'!$O51+Fuel2ShrbyTech!O39/'Inputs 7&amp;8 SU'!$U51))</f>
        <v>10.115835057332429</v>
      </c>
      <c r="P38" s="1254">
        <f>IF('Mkt Pen Veh-Mi'!P38=0,1,1/((1-Fuel2ShrbyTech!P39)/'Inputs 7&amp;8 SU'!$P51+Fuel2ShrbyTech!P39/'Inputs 7&amp;8 SU'!$V51))</f>
        <v>10.721781141570528</v>
      </c>
      <c r="Q38" s="1254">
        <f>IF('Mkt Pen Veh-Mi'!Q38=0,1,1/((1-Fuel2ShrbyTech!Q39)/'Inputs 7&amp;8 SU'!$Q51+Fuel2ShrbyTech!Q39/'Inputs 7&amp;8 SU'!$W51))</f>
        <v>12.072158672367625</v>
      </c>
      <c r="R38" s="1254">
        <f>IF('Mkt Pen Veh-Mi'!R38=0,1,1/((1-Fuel2ShrbyTech!R39)/'Inputs 7&amp;8 SU'!$R51+Fuel2ShrbyTech!R39/'Inputs 7&amp;8 SU'!$X51))</f>
        <v>15.767051525689942</v>
      </c>
      <c r="S38" s="1255">
        <f>IF('Mkt Pen Veh-Mi'!S38=0,1,1/((1-Fuel2ShrbyTech!S39)/'Inputs 7&amp;8 SU'!$S51+Fuel2ShrbyTech!S39/'Inputs 7&amp;8 SU'!$Y51))</f>
        <v>27.952689269003422</v>
      </c>
      <c r="U38" s="1193">
        <f t="shared" si="13"/>
        <v>2036</v>
      </c>
      <c r="V38" s="1253">
        <f t="shared" si="14"/>
        <v>8.3624317796139316</v>
      </c>
      <c r="W38" s="1254">
        <f t="shared" si="15"/>
        <v>9.697213818491468</v>
      </c>
      <c r="X38" s="1254">
        <f t="shared" si="16"/>
        <v>9.7543235511350037</v>
      </c>
      <c r="Y38" s="1254">
        <f t="shared" si="17"/>
        <v>10.694134017256152</v>
      </c>
      <c r="Z38" s="1254">
        <f t="shared" si="18"/>
        <v>11.574852482867223</v>
      </c>
      <c r="AA38" s="1255">
        <f t="shared" si="19"/>
        <v>0</v>
      </c>
      <c r="AB38" s="1253">
        <f t="shared" si="20"/>
        <v>7.4551478614568492</v>
      </c>
      <c r="AC38" s="1254">
        <f t="shared" si="21"/>
        <v>8.757461650668434</v>
      </c>
      <c r="AD38" s="1254">
        <f t="shared" si="22"/>
        <v>8.8061594925182902</v>
      </c>
      <c r="AE38" s="1254">
        <f t="shared" si="23"/>
        <v>10.380980945103342</v>
      </c>
      <c r="AF38" s="1254">
        <f t="shared" si="24"/>
        <v>0</v>
      </c>
      <c r="AG38" s="1255">
        <f t="shared" si="25"/>
        <v>10.111692570575936</v>
      </c>
      <c r="AH38" s="1253">
        <f t="shared" si="26"/>
        <v>8.5444945413697049</v>
      </c>
      <c r="AI38" s="1254">
        <f t="shared" si="27"/>
        <v>10.115835057332429</v>
      </c>
      <c r="AJ38" s="1254">
        <f t="shared" si="28"/>
        <v>10.721781141570528</v>
      </c>
      <c r="AK38" s="1254">
        <f t="shared" si="29"/>
        <v>12.072158672367625</v>
      </c>
      <c r="AL38" s="1254">
        <f t="shared" si="30"/>
        <v>15.767051525689942</v>
      </c>
      <c r="AM38" s="1255">
        <f t="shared" si="31"/>
        <v>27.952689269003422</v>
      </c>
      <c r="AN38" s="1178">
        <v>2036</v>
      </c>
      <c r="AO38" s="1324">
        <f t="array" ref="AO38">1/SUMPRODUCT(IFERROR(1/V38:AA38,0),'Mkt Pen Veh-Mi'!B38:G38)</f>
        <v>9.9371021040955458</v>
      </c>
      <c r="AP38" s="1325">
        <f t="array" ref="AP38">1/SUMPRODUCT(IFERROR(1/AB38:AG38,0),'Mkt Pen Veh-Mi'!H38:M38)</f>
        <v>8.6166294080205788</v>
      </c>
      <c r="AQ38" s="1329">
        <f t="array" ref="AQ38">1/SUMPRODUCT(IFERROR(1/AH38:AM38,0),'Mkt Pen Veh-Mi'!N38:S38)</f>
        <v>9.7629467390595686</v>
      </c>
      <c r="AR38" s="1322">
        <v>2036</v>
      </c>
      <c r="AS38" s="1324">
        <f t="shared" si="32"/>
        <v>1.1883029202486735</v>
      </c>
      <c r="AT38" s="1325">
        <f t="shared" si="33"/>
        <v>1.1557959101748465</v>
      </c>
      <c r="AU38" s="1325">
        <f t="shared" si="34"/>
        <v>1.1426008515530683</v>
      </c>
      <c r="AV38" s="1329">
        <v>1.9033105938350969</v>
      </c>
    </row>
    <row r="39" spans="1:48" s="1178" customFormat="1" ht="15" x14ac:dyDescent="0.25">
      <c r="A39" s="1193">
        <v>2037</v>
      </c>
      <c r="B39" s="1247">
        <f>IF('Mkt Pen Veh-Mi'!B39=0,1,1/((1-Fuel2ShrbyTech!B40)/'Inputs 7&amp;8 Sleep'!$N52+Fuel2ShrbyTech!B40/'Inputs 7&amp;8 Sleep'!$T52))</f>
        <v>8.3625978163929613</v>
      </c>
      <c r="C39" s="1248">
        <f>IF('Mkt Pen Veh-Mi'!C39=0,1,1/((1-Fuel2ShrbyTech!C40)/'Inputs 7&amp;8 Sleep'!$O52+Fuel2ShrbyTech!C40/'Inputs 7&amp;8 Sleep'!$U52))</f>
        <v>9.6974063574789806</v>
      </c>
      <c r="D39" s="1248">
        <f>IF('Mkt Pen Veh-Mi'!D39=0,1,1/((1-Fuel2ShrbyTech!D40)/'Inputs 7&amp;8 Sleep'!$P52+Fuel2ShrbyTech!D40/'Inputs 7&amp;8 Sleep'!$V52))</f>
        <v>9.7545172240410114</v>
      </c>
      <c r="E39" s="1248">
        <f>IF('Mkt Pen Veh-Mi'!E39=0,1,1/((1-Fuel2ShrbyTech!E40)/'Inputs 7&amp;8 Sleep'!$Q52+Fuel2ShrbyTech!E40/'Inputs 7&amp;8 Sleep'!$W52))</f>
        <v>10.754855834894046</v>
      </c>
      <c r="F39" s="1248">
        <f>IF('Mkt Pen Veh-Mi'!F39=0,1,1/((1-Fuel2ShrbyTech!F40)/'Inputs 7&amp;8 Sleep'!$R52+Fuel2ShrbyTech!F40/'Inputs 7&amp;8 Sleep'!$X52))</f>
        <v>11.645411762268383</v>
      </c>
      <c r="G39" s="1249">
        <f>IF('Mkt Pen Veh-Mi'!G39=0,1,1/((1-Fuel2ShrbyTech!G40)/'Inputs 7&amp;8 Sleep'!$S52+Fuel2ShrbyTech!G40/'Inputs 7&amp;8 Sleep'!$Y52))</f>
        <v>10.851826960446745</v>
      </c>
      <c r="H39" s="1247">
        <f>IF('Mkt Pen Veh-Mi'!H39=0,1,1/((1-Fuel2ShrbyTech!H40)/'Inputs 7&amp;8 Day'!$N52+Fuel2ShrbyTech!H40/'Inputs 7&amp;8 Day'!$T52))</f>
        <v>7.4551644145974123</v>
      </c>
      <c r="I39" s="1248">
        <f>IF('Mkt Pen Veh-Mi'!I39=0,1,1/((1-Fuel2ShrbyTech!I40)/'Inputs 7&amp;8 Day'!$O52+Fuel2ShrbyTech!I40/'Inputs 7&amp;8 Day'!$U52))</f>
        <v>8.7574810954194149</v>
      </c>
      <c r="J39" s="1248">
        <f>IF('Mkt Pen Veh-Mi'!J39=0,1,1/((1-Fuel2ShrbyTech!J40)/'Inputs 7&amp;8 Day'!$P52+Fuel2ShrbyTech!J40/'Inputs 7&amp;8 Day'!$V52))</f>
        <v>8.8061790453961972</v>
      </c>
      <c r="K39" s="1248">
        <f>IF('Mkt Pen Veh-Mi'!K39=0,1,1/((1-Fuel2ShrbyTech!K40)/'Inputs 7&amp;8 Day'!$Q52+Fuel2ShrbyTech!K40/'Inputs 7&amp;8 Day'!$W52))</f>
        <v>10.489284653009459</v>
      </c>
      <c r="L39" s="1248">
        <f>IF('Mkt Pen Veh-Mi'!L39=0,1,1/((1-Fuel2ShrbyTech!L40)/'Inputs 7&amp;8 Day'!$R52+Fuel2ShrbyTech!L40/'Inputs 7&amp;8 Day'!$X52))</f>
        <v>1</v>
      </c>
      <c r="M39" s="1249">
        <f>IF('Mkt Pen Veh-Mi'!M39=0,1,1/((1-Fuel2ShrbyTech!M40)/'Inputs 7&amp;8 Day'!$S52+Fuel2ShrbyTech!M40/'Inputs 7&amp;8 Day'!$Y52))</f>
        <v>10.214978650102701</v>
      </c>
      <c r="N39" s="1247">
        <f>IF('Mkt Pen Veh-Mi'!N39=0,1,1/((1-Fuel2ShrbyTech!N40)/'Inputs 7&amp;8 SU'!$N52+Fuel2ShrbyTech!N40/'Inputs 7&amp;8 SU'!$T52))</f>
        <v>8.5450857966197695</v>
      </c>
      <c r="O39" s="1248">
        <f>IF('Mkt Pen Veh-Mi'!O39=0,1,1/((1-Fuel2ShrbyTech!O40)/'Inputs 7&amp;8 SU'!$O52+Fuel2ShrbyTech!O40/'Inputs 7&amp;8 SU'!$U52))</f>
        <v>10.116535044974469</v>
      </c>
      <c r="P39" s="1248">
        <f>IF('Mkt Pen Veh-Mi'!P39=0,1,1/((1-Fuel2ShrbyTech!P40)/'Inputs 7&amp;8 SU'!$P52+Fuel2ShrbyTech!P40/'Inputs 7&amp;8 SU'!$V52))</f>
        <v>10.722523058995755</v>
      </c>
      <c r="Q39" s="1248">
        <f>IF('Mkt Pen Veh-Mi'!Q39=0,1,1/((1-Fuel2ShrbyTech!Q40)/'Inputs 7&amp;8 SU'!$Q52+Fuel2ShrbyTech!Q40/'Inputs 7&amp;8 SU'!$W52))</f>
        <v>12.072994032161008</v>
      </c>
      <c r="R39" s="1248">
        <f>IF('Mkt Pen Veh-Mi'!R39=0,1,1/((1-Fuel2ShrbyTech!R40)/'Inputs 7&amp;8 SU'!$R52+Fuel2ShrbyTech!R40/'Inputs 7&amp;8 SU'!$X52))</f>
        <v>15.890789043214964</v>
      </c>
      <c r="S39" s="1249">
        <f>IF('Mkt Pen Veh-Mi'!S39=0,1,1/((1-Fuel2ShrbyTech!S40)/'Inputs 7&amp;8 SU'!$S52+Fuel2ShrbyTech!S40/'Inputs 7&amp;8 SU'!$Y52))</f>
        <v>28.05137907678122</v>
      </c>
      <c r="U39" s="1193">
        <f t="shared" si="13"/>
        <v>2037</v>
      </c>
      <c r="V39" s="1247">
        <f t="shared" si="14"/>
        <v>8.3625978163929613</v>
      </c>
      <c r="W39" s="1248">
        <f t="shared" si="15"/>
        <v>9.6974063574789806</v>
      </c>
      <c r="X39" s="1248">
        <f t="shared" si="16"/>
        <v>9.7545172240410114</v>
      </c>
      <c r="Y39" s="1248">
        <f t="shared" si="17"/>
        <v>10.754855834894046</v>
      </c>
      <c r="Z39" s="1248">
        <f t="shared" si="18"/>
        <v>11.645411762268383</v>
      </c>
      <c r="AA39" s="1249">
        <f t="shared" si="19"/>
        <v>10.851826960446745</v>
      </c>
      <c r="AB39" s="1247">
        <f t="shared" si="20"/>
        <v>7.4551644145974123</v>
      </c>
      <c r="AC39" s="1248">
        <f t="shared" si="21"/>
        <v>8.7574810954194149</v>
      </c>
      <c r="AD39" s="1248">
        <f t="shared" si="22"/>
        <v>8.8061790453961972</v>
      </c>
      <c r="AE39" s="1248">
        <f t="shared" si="23"/>
        <v>10.489284653009459</v>
      </c>
      <c r="AF39" s="1248">
        <f t="shared" si="24"/>
        <v>0</v>
      </c>
      <c r="AG39" s="1249">
        <f t="shared" si="25"/>
        <v>10.214978650102701</v>
      </c>
      <c r="AH39" s="1247">
        <f t="shared" si="26"/>
        <v>8.5450857966197695</v>
      </c>
      <c r="AI39" s="1248">
        <f t="shared" si="27"/>
        <v>10.116535044974469</v>
      </c>
      <c r="AJ39" s="1248">
        <f t="shared" si="28"/>
        <v>10.722523058995755</v>
      </c>
      <c r="AK39" s="1248">
        <f t="shared" si="29"/>
        <v>12.072994032161008</v>
      </c>
      <c r="AL39" s="1248">
        <f t="shared" si="30"/>
        <v>15.890789043214964</v>
      </c>
      <c r="AM39" s="1249">
        <f t="shared" si="31"/>
        <v>28.05137907678122</v>
      </c>
      <c r="AN39" s="1178">
        <v>2037</v>
      </c>
      <c r="AO39" s="1324">
        <f t="array" ref="AO39">1/SUMPRODUCT(IFERROR(1/V39:AA39,0),'Mkt Pen Veh-Mi'!B39:G39)</f>
        <v>9.9512231764827188</v>
      </c>
      <c r="AP39" s="1325">
        <f t="array" ref="AP39">1/SUMPRODUCT(IFERROR(1/AB39:AG39,0),'Mkt Pen Veh-Mi'!H39:M39)</f>
        <v>8.6352925352764345</v>
      </c>
      <c r="AQ39" s="1329">
        <f t="array" ref="AQ39">1/SUMPRODUCT(IFERROR(1/AH39:AM39,0),'Mkt Pen Veh-Mi'!N39:S39)</f>
        <v>9.7668197173367357</v>
      </c>
      <c r="AR39" s="1322">
        <v>2037</v>
      </c>
      <c r="AS39" s="1324">
        <f t="shared" si="32"/>
        <v>1.189967925633781</v>
      </c>
      <c r="AT39" s="1325">
        <f t="shared" si="33"/>
        <v>1.158296726275855</v>
      </c>
      <c r="AU39" s="1325">
        <f t="shared" si="34"/>
        <v>1.1429750326439385</v>
      </c>
      <c r="AV39" s="1329">
        <v>2.0330617296005014</v>
      </c>
    </row>
    <row r="40" spans="1:48" s="1178" customFormat="1" ht="15" x14ac:dyDescent="0.25">
      <c r="A40" s="1193">
        <v>2038</v>
      </c>
      <c r="B40" s="1247">
        <f>IF('Mkt Pen Veh-Mi'!B40=0,1,1/((1-Fuel2ShrbyTech!B41)/'Inputs 7&amp;8 Sleep'!$N53+Fuel2ShrbyTech!B41/'Inputs 7&amp;8 Sleep'!$T53))</f>
        <v>8.362763853171991</v>
      </c>
      <c r="C40" s="1248">
        <f>IF('Mkt Pen Veh-Mi'!C40=0,1,1/((1-Fuel2ShrbyTech!C41)/'Inputs 7&amp;8 Sleep'!$O53+Fuel2ShrbyTech!C41/'Inputs 7&amp;8 Sleep'!$U53))</f>
        <v>9.6975988964664914</v>
      </c>
      <c r="D40" s="1248">
        <f>IF('Mkt Pen Veh-Mi'!D40=0,1,1/((1-Fuel2ShrbyTech!D41)/'Inputs 7&amp;8 Sleep'!$P53+Fuel2ShrbyTech!D41/'Inputs 7&amp;8 Sleep'!$V53))</f>
        <v>9.7547108969470191</v>
      </c>
      <c r="E40" s="1248">
        <f>IF('Mkt Pen Veh-Mi'!E40=0,1,1/((1-Fuel2ShrbyTech!E41)/'Inputs 7&amp;8 Sleep'!$Q53+Fuel2ShrbyTech!E41/'Inputs 7&amp;8 Sleep'!$W53))</f>
        <v>10.815580055325947</v>
      </c>
      <c r="F40" s="1248">
        <f>IF('Mkt Pen Veh-Mi'!F40=0,1,1/((1-Fuel2ShrbyTech!F41)/'Inputs 7&amp;8 Sleep'!$R53+Fuel2ShrbyTech!F41/'Inputs 7&amp;8 Sleep'!$X53))</f>
        <v>11.723105178236445</v>
      </c>
      <c r="G40" s="1249">
        <f>IF('Mkt Pen Veh-Mi'!G40=0,1,1/((1-Fuel2ShrbyTech!G41)/'Inputs 7&amp;8 Sleep'!$S53+Fuel2ShrbyTech!G41/'Inputs 7&amp;8 Sleep'!$Y53))</f>
        <v>10.951448236857571</v>
      </c>
      <c r="H40" s="1247">
        <f>IF('Mkt Pen Veh-Mi'!H40=0,1,1/((1-Fuel2ShrbyTech!H41)/'Inputs 7&amp;8 Day'!$N53+Fuel2ShrbyTech!H41/'Inputs 7&amp;8 Day'!$T53))</f>
        <v>7.4551809677379772</v>
      </c>
      <c r="I40" s="1248">
        <f>IF('Mkt Pen Veh-Mi'!I40=0,1,1/((1-Fuel2ShrbyTech!I41)/'Inputs 7&amp;8 Day'!$O53+Fuel2ShrbyTech!I41/'Inputs 7&amp;8 Day'!$U53))</f>
        <v>8.7575005401703958</v>
      </c>
      <c r="J40" s="1248">
        <f>IF('Mkt Pen Veh-Mi'!J40=0,1,1/((1-Fuel2ShrbyTech!J41)/'Inputs 7&amp;8 Day'!$P53+Fuel2ShrbyTech!J41/'Inputs 7&amp;8 Day'!$V53))</f>
        <v>8.8061985982741025</v>
      </c>
      <c r="K40" s="1248">
        <f>IF('Mkt Pen Veh-Mi'!K40=0,1,1/((1-Fuel2ShrbyTech!K41)/'Inputs 7&amp;8 Day'!$Q53+Fuel2ShrbyTech!K41/'Inputs 7&amp;8 Day'!$W53))</f>
        <v>10.636641623772098</v>
      </c>
      <c r="L40" s="1248">
        <f>IF('Mkt Pen Veh-Mi'!L40=0,1,1/((1-Fuel2ShrbyTech!L41)/'Inputs 7&amp;8 Day'!$R53+Fuel2ShrbyTech!L41/'Inputs 7&amp;8 Day'!$X53))</f>
        <v>1</v>
      </c>
      <c r="M40" s="1249">
        <f>IF('Mkt Pen Veh-Mi'!M40=0,1,1/((1-Fuel2ShrbyTech!M41)/'Inputs 7&amp;8 Day'!$S53+Fuel2ShrbyTech!M41/'Inputs 7&amp;8 Day'!$Y53))</f>
        <v>10.318265188194093</v>
      </c>
      <c r="N40" s="1247">
        <f>IF('Mkt Pen Veh-Mi'!N40=0,1,1/((1-Fuel2ShrbyTech!N41)/'Inputs 7&amp;8 SU'!$N53+Fuel2ShrbyTech!N41/'Inputs 7&amp;8 SU'!$T53))</f>
        <v>8.5458752554962878</v>
      </c>
      <c r="O40" s="1248">
        <f>IF('Mkt Pen Veh-Mi'!O40=0,1,1/((1-Fuel2ShrbyTech!O41)/'Inputs 7&amp;8 SU'!$O53+Fuel2ShrbyTech!O41/'Inputs 7&amp;8 SU'!$U53))</f>
        <v>10.11746968607474</v>
      </c>
      <c r="P40" s="1248">
        <f>IF('Mkt Pen Veh-Mi'!P40=0,1,1/((1-Fuel2ShrbyTech!P41)/'Inputs 7&amp;8 SU'!$P53+Fuel2ShrbyTech!P41/'Inputs 7&amp;8 SU'!$V53))</f>
        <v>10.723513685796828</v>
      </c>
      <c r="Q40" s="1248">
        <f>IF('Mkt Pen Veh-Mi'!Q40=0,1,1/((1-Fuel2ShrbyTech!Q41)/'Inputs 7&amp;8 SU'!$Q53+Fuel2ShrbyTech!Q41/'Inputs 7&amp;8 SU'!$W53))</f>
        <v>12.074109425561577</v>
      </c>
      <c r="R40" s="1248">
        <f>IF('Mkt Pen Veh-Mi'!R40=0,1,1/((1-Fuel2ShrbyTech!R41)/'Inputs 7&amp;8 SU'!$R53+Fuel2ShrbyTech!R41/'Inputs 7&amp;8 SU'!$X53))</f>
        <v>16.143113928870779</v>
      </c>
      <c r="S40" s="1249">
        <f>IF('Mkt Pen Veh-Mi'!S40=0,1,1/((1-Fuel2ShrbyTech!S41)/'Inputs 7&amp;8 SU'!$S53+Fuel2ShrbyTech!S41/'Inputs 7&amp;8 SU'!$Y53))</f>
        <v>28.150735171236917</v>
      </c>
      <c r="U40" s="1193">
        <f t="shared" si="13"/>
        <v>2038</v>
      </c>
      <c r="V40" s="1247">
        <f t="shared" si="14"/>
        <v>8.362763853171991</v>
      </c>
      <c r="W40" s="1248">
        <f t="shared" si="15"/>
        <v>9.6975988964664914</v>
      </c>
      <c r="X40" s="1248">
        <f t="shared" si="16"/>
        <v>9.7547108969470191</v>
      </c>
      <c r="Y40" s="1248">
        <f t="shared" si="17"/>
        <v>10.815580055325947</v>
      </c>
      <c r="Z40" s="1248">
        <f t="shared" si="18"/>
        <v>11.723105178236445</v>
      </c>
      <c r="AA40" s="1249">
        <f t="shared" si="19"/>
        <v>10.951448236857571</v>
      </c>
      <c r="AB40" s="1247">
        <f t="shared" si="20"/>
        <v>7.4551809677379772</v>
      </c>
      <c r="AC40" s="1248">
        <f t="shared" si="21"/>
        <v>8.7575005401703958</v>
      </c>
      <c r="AD40" s="1248">
        <f t="shared" si="22"/>
        <v>8.8061985982741025</v>
      </c>
      <c r="AE40" s="1248">
        <f t="shared" si="23"/>
        <v>10.636641623772098</v>
      </c>
      <c r="AF40" s="1248">
        <f t="shared" si="24"/>
        <v>0</v>
      </c>
      <c r="AG40" s="1249">
        <f t="shared" si="25"/>
        <v>10.318265188194093</v>
      </c>
      <c r="AH40" s="1247">
        <f t="shared" si="26"/>
        <v>8.5458752554962878</v>
      </c>
      <c r="AI40" s="1248">
        <f t="shared" si="27"/>
        <v>10.11746968607474</v>
      </c>
      <c r="AJ40" s="1248">
        <f t="shared" si="28"/>
        <v>10.723513685796828</v>
      </c>
      <c r="AK40" s="1248">
        <f t="shared" si="29"/>
        <v>12.074109425561577</v>
      </c>
      <c r="AL40" s="1248">
        <f t="shared" si="30"/>
        <v>16.143113928870779</v>
      </c>
      <c r="AM40" s="1249">
        <f t="shared" si="31"/>
        <v>28.150735171236917</v>
      </c>
      <c r="AN40" s="1178">
        <v>2038</v>
      </c>
      <c r="AO40" s="1324">
        <f t="array" ref="AO40">1/SUMPRODUCT(IFERROR(1/V40:AA40,0),'Mkt Pen Veh-Mi'!B40:G40)</f>
        <v>9.9669383088958821</v>
      </c>
      <c r="AP40" s="1325">
        <f t="array" ref="AP40">1/SUMPRODUCT(IFERROR(1/AB40:AG40,0),'Mkt Pen Veh-Mi'!H40:M40)</f>
        <v>8.7133836666169646</v>
      </c>
      <c r="AQ40" s="1329">
        <f t="array" ref="AQ40">1/SUMPRODUCT(IFERROR(1/AH40:AM40,0),'Mkt Pen Veh-Mi'!N40:S40)</f>
        <v>9.7754638491309329</v>
      </c>
      <c r="AR40" s="1322">
        <v>2038</v>
      </c>
      <c r="AS40" s="1324">
        <f t="shared" si="32"/>
        <v>1.1918234789226325</v>
      </c>
      <c r="AT40" s="1325">
        <f t="shared" si="33"/>
        <v>1.1687689010265228</v>
      </c>
      <c r="AU40" s="1325">
        <f t="shared" si="34"/>
        <v>1.1438809433643247</v>
      </c>
      <c r="AV40" s="1329">
        <v>2.0837866625663999</v>
      </c>
    </row>
    <row r="41" spans="1:48" s="1178" customFormat="1" ht="15" x14ac:dyDescent="0.25">
      <c r="A41" s="1193">
        <v>2039</v>
      </c>
      <c r="B41" s="1247">
        <f>IF('Mkt Pen Veh-Mi'!B41=0,1,1/((1-Fuel2ShrbyTech!B42)/'Inputs 7&amp;8 Sleep'!$N54+Fuel2ShrbyTech!B42/'Inputs 7&amp;8 Sleep'!$T54))</f>
        <v>8.3629298899510207</v>
      </c>
      <c r="C41" s="1248">
        <f>IF('Mkt Pen Veh-Mi'!C41=0,1,1/((1-Fuel2ShrbyTech!C42)/'Inputs 7&amp;8 Sleep'!$O54+Fuel2ShrbyTech!C42/'Inputs 7&amp;8 Sleep'!$U54))</f>
        <v>9.6977914354540022</v>
      </c>
      <c r="D41" s="1248">
        <f>IF('Mkt Pen Veh-Mi'!D41=0,1,1/((1-Fuel2ShrbyTech!D42)/'Inputs 7&amp;8 Sleep'!$P54+Fuel2ShrbyTech!D42/'Inputs 7&amp;8 Sleep'!$V54))</f>
        <v>9.7549045698530268</v>
      </c>
      <c r="E41" s="1248">
        <f>IF('Mkt Pen Veh-Mi'!E41=0,1,1/((1-Fuel2ShrbyTech!E42)/'Inputs 7&amp;8 Sleep'!$Q54+Fuel2ShrbyTech!E42/'Inputs 7&amp;8 Sleep'!$W54))</f>
        <v>10.876306678551851</v>
      </c>
      <c r="F41" s="1248">
        <f>IF('Mkt Pen Veh-Mi'!F41=0,1,1/((1-Fuel2ShrbyTech!F42)/'Inputs 7&amp;8 Sleep'!$R54+Fuel2ShrbyTech!F42/'Inputs 7&amp;8 Sleep'!$X54))</f>
        <v>11.823155502353675</v>
      </c>
      <c r="G41" s="1249">
        <f>IF('Mkt Pen Veh-Mi'!G41=0,1,1/((1-Fuel2ShrbyTech!G42)/'Inputs 7&amp;8 Sleep'!$S54+Fuel2ShrbyTech!G42/'Inputs 7&amp;8 Sleep'!$Y54))</f>
        <v>11.051073460533186</v>
      </c>
      <c r="H41" s="1247">
        <f>IF('Mkt Pen Veh-Mi'!H41=0,1,1/((1-Fuel2ShrbyTech!H42)/'Inputs 7&amp;8 Day'!$N54+Fuel2ShrbyTech!H42/'Inputs 7&amp;8 Day'!$T54))</f>
        <v>7.4551975208785422</v>
      </c>
      <c r="I41" s="1248">
        <f>IF('Mkt Pen Veh-Mi'!I41=0,1,1/((1-Fuel2ShrbyTech!I42)/'Inputs 7&amp;8 Day'!$O54+Fuel2ShrbyTech!I42/'Inputs 7&amp;8 Day'!$U54))</f>
        <v>8.7575199849213785</v>
      </c>
      <c r="J41" s="1248">
        <f>IF('Mkt Pen Veh-Mi'!J41=0,1,1/((1-Fuel2ShrbyTech!J42)/'Inputs 7&amp;8 Day'!$P54+Fuel2ShrbyTech!J42/'Inputs 7&amp;8 Day'!$V54))</f>
        <v>8.8062181511520112</v>
      </c>
      <c r="K41" s="1248">
        <f>IF('Mkt Pen Veh-Mi'!K41=0,1,1/((1-Fuel2ShrbyTech!K42)/'Inputs 7&amp;8 Day'!$Q54+Fuel2ShrbyTech!K42/'Inputs 7&amp;8 Day'!$W54))</f>
        <v>10.785747184830429</v>
      </c>
      <c r="L41" s="1248">
        <f>IF('Mkt Pen Veh-Mi'!L41=0,1,1/((1-Fuel2ShrbyTech!L42)/'Inputs 7&amp;8 Day'!$R54+Fuel2ShrbyTech!L42/'Inputs 7&amp;8 Day'!$X54))</f>
        <v>1</v>
      </c>
      <c r="M41" s="1249">
        <f>IF('Mkt Pen Veh-Mi'!M41=0,1,1/((1-Fuel2ShrbyTech!M42)/'Inputs 7&amp;8 Day'!$S54+Fuel2ShrbyTech!M42/'Inputs 7&amp;8 Day'!$Y54))</f>
        <v>10.421552184850116</v>
      </c>
      <c r="N41" s="1247">
        <f>IF('Mkt Pen Veh-Mi'!N41=0,1,1/((1-Fuel2ShrbyTech!N42)/'Inputs 7&amp;8 SU'!$N54+Fuel2ShrbyTech!N42/'Inputs 7&amp;8 SU'!$T54))</f>
        <v>8.5469273081410861</v>
      </c>
      <c r="O41" s="1248">
        <f>IF('Mkt Pen Veh-Mi'!O41=0,1,1/((1-Fuel2ShrbyTech!O42)/'Inputs 7&amp;8 SU'!$O54+Fuel2ShrbyTech!O42/'Inputs 7&amp;8 SU'!$U54))</f>
        <v>10.118715212182209</v>
      </c>
      <c r="P41" s="1248">
        <f>IF('Mkt Pen Veh-Mi'!P41=0,1,1/((1-Fuel2ShrbyTech!P42)/'Inputs 7&amp;8 SU'!$P54+Fuel2ShrbyTech!P42/'Inputs 7&amp;8 SU'!$V54))</f>
        <v>10.724833819849501</v>
      </c>
      <c r="Q41" s="1248">
        <f>IF('Mkt Pen Veh-Mi'!Q41=0,1,1/((1-Fuel2ShrbyTech!Q42)/'Inputs 7&amp;8 SU'!$Q54+Fuel2ShrbyTech!Q42/'Inputs 7&amp;8 SU'!$W54))</f>
        <v>12.075595826705401</v>
      </c>
      <c r="R41" s="1248">
        <f>IF('Mkt Pen Veh-Mi'!R41=0,1,1/((1-Fuel2ShrbyTech!R42)/'Inputs 7&amp;8 SU'!$R54+Fuel2ShrbyTech!R42/'Inputs 7&amp;8 SU'!$X54))</f>
        <v>16.422323544697239</v>
      </c>
      <c r="S41" s="1249">
        <f>IF('Mkt Pen Veh-Mi'!S41=0,1,1/((1-Fuel2ShrbyTech!S42)/'Inputs 7&amp;8 SU'!$S54+Fuel2ShrbyTech!S42/'Inputs 7&amp;8 SU'!$Y54))</f>
        <v>28.250977120018931</v>
      </c>
      <c r="U41" s="1193">
        <f t="shared" si="13"/>
        <v>2039</v>
      </c>
      <c r="V41" s="1247">
        <f t="shared" si="14"/>
        <v>8.3629298899510207</v>
      </c>
      <c r="W41" s="1248">
        <f t="shared" si="15"/>
        <v>9.6977914354540022</v>
      </c>
      <c r="X41" s="1248">
        <f t="shared" si="16"/>
        <v>9.7549045698530268</v>
      </c>
      <c r="Y41" s="1248">
        <f t="shared" si="17"/>
        <v>10.876306678551851</v>
      </c>
      <c r="Z41" s="1248">
        <f t="shared" si="18"/>
        <v>11.823155502353675</v>
      </c>
      <c r="AA41" s="1249">
        <f t="shared" si="19"/>
        <v>11.051073460533186</v>
      </c>
      <c r="AB41" s="1247">
        <f t="shared" si="20"/>
        <v>7.4551975208785422</v>
      </c>
      <c r="AC41" s="1248">
        <f t="shared" si="21"/>
        <v>8.7575199849213785</v>
      </c>
      <c r="AD41" s="1248">
        <f t="shared" si="22"/>
        <v>8.8062181511520112</v>
      </c>
      <c r="AE41" s="1248">
        <f t="shared" si="23"/>
        <v>10.785747184830429</v>
      </c>
      <c r="AF41" s="1248">
        <f t="shared" si="24"/>
        <v>0</v>
      </c>
      <c r="AG41" s="1249">
        <f t="shared" si="25"/>
        <v>10.421552184850116</v>
      </c>
      <c r="AH41" s="1247">
        <f t="shared" si="26"/>
        <v>8.5469273081410861</v>
      </c>
      <c r="AI41" s="1248">
        <f t="shared" si="27"/>
        <v>10.118715212182209</v>
      </c>
      <c r="AJ41" s="1248">
        <f t="shared" si="28"/>
        <v>10.724833819849501</v>
      </c>
      <c r="AK41" s="1248">
        <f t="shared" si="29"/>
        <v>12.075595826705401</v>
      </c>
      <c r="AL41" s="1248">
        <f t="shared" si="30"/>
        <v>16.422323544697239</v>
      </c>
      <c r="AM41" s="1249">
        <f t="shared" si="31"/>
        <v>28.250977120018931</v>
      </c>
      <c r="AN41" s="1178">
        <v>2039</v>
      </c>
      <c r="AO41" s="1324">
        <f t="array" ref="AO41">1/SUMPRODUCT(IFERROR(1/V41:AA41,0),'Mkt Pen Veh-Mi'!B41:G41)</f>
        <v>9.9886722029303598</v>
      </c>
      <c r="AP41" s="1325">
        <f t="array" ref="AP41">1/SUMPRODUCT(IFERROR(1/AB41:AG41,0),'Mkt Pen Veh-Mi'!H41:M41)</f>
        <v>8.8107701863773382</v>
      </c>
      <c r="AQ41" s="1329">
        <f t="array" ref="AQ41">1/SUMPRODUCT(IFERROR(1/AH41:AM41,0),'Mkt Pen Veh-Mi'!N41:S41)</f>
        <v>9.8198486906016136</v>
      </c>
      <c r="AR41" s="1322">
        <v>2039</v>
      </c>
      <c r="AS41" s="1324">
        <f t="shared" si="32"/>
        <v>1.1943986538656561</v>
      </c>
      <c r="AT41" s="1325">
        <f t="shared" si="33"/>
        <v>1.1818292086430262</v>
      </c>
      <c r="AU41" s="1325">
        <f t="shared" si="34"/>
        <v>1.1489332173502926</v>
      </c>
      <c r="AV41" s="1329">
        <v>2.111395266587011</v>
      </c>
    </row>
    <row r="42" spans="1:48" s="1178" customFormat="1" ht="15" x14ac:dyDescent="0.25">
      <c r="A42" s="1199">
        <v>2040</v>
      </c>
      <c r="B42" s="1250">
        <f>IF('Mkt Pen Veh-Mi'!B42=0,1,1/((1-Fuel2ShrbyTech!B43)/'Inputs 7&amp;8 Sleep'!$N55+Fuel2ShrbyTech!B43/'Inputs 7&amp;8 Sleep'!$T55))</f>
        <v>8.3630959267300504</v>
      </c>
      <c r="C42" s="1251">
        <f>IF('Mkt Pen Veh-Mi'!C42=0,1,1/((1-Fuel2ShrbyTech!C43)/'Inputs 7&amp;8 Sleep'!$O55+Fuel2ShrbyTech!C43/'Inputs 7&amp;8 Sleep'!$U55))</f>
        <v>9.6979839744415131</v>
      </c>
      <c r="D42" s="1251">
        <f>IF('Mkt Pen Veh-Mi'!D42=0,1,1/((1-Fuel2ShrbyTech!D43)/'Inputs 7&amp;8 Sleep'!$P55+Fuel2ShrbyTech!D43/'Inputs 7&amp;8 Sleep'!$V55))</f>
        <v>9.7550982427590345</v>
      </c>
      <c r="E42" s="1251">
        <f>IF('Mkt Pen Veh-Mi'!E42=0,1,1/((1-Fuel2ShrbyTech!E43)/'Inputs 7&amp;8 Sleep'!$Q55+Fuel2ShrbyTech!E43/'Inputs 7&amp;8 Sleep'!$W55))</f>
        <v>10.937035704571755</v>
      </c>
      <c r="F42" s="1251">
        <f>IF('Mkt Pen Veh-Mi'!F42=0,1,1/((1-Fuel2ShrbyTech!F43)/'Inputs 7&amp;8 Sleep'!$R55+Fuel2ShrbyTech!F43/'Inputs 7&amp;8 Sleep'!$X55))</f>
        <v>11.970960898120268</v>
      </c>
      <c r="G42" s="1252">
        <f>IF('Mkt Pen Veh-Mi'!G42=0,1,1/((1-Fuel2ShrbyTech!G43)/'Inputs 7&amp;8 Sleep'!$S55+Fuel2ShrbyTech!G43/'Inputs 7&amp;8 Sleep'!$Y55))</f>
        <v>11.150702631473582</v>
      </c>
      <c r="H42" s="1256">
        <f>IF('Mkt Pen Veh-Mi'!H42=0,1,1/((1-Fuel2ShrbyTech!H43)/'Inputs 7&amp;8 Day'!$N55+Fuel2ShrbyTech!H43/'Inputs 7&amp;8 Day'!$T55))</f>
        <v>7.4552140740191053</v>
      </c>
      <c r="I42" s="1257">
        <f>IF('Mkt Pen Veh-Mi'!I42=0,1,1/((1-Fuel2ShrbyTech!I43)/'Inputs 7&amp;8 Day'!$O55+Fuel2ShrbyTech!I43/'Inputs 7&amp;8 Day'!$U55))</f>
        <v>8.7575394296723594</v>
      </c>
      <c r="J42" s="1257">
        <f>IF('Mkt Pen Veh-Mi'!J42=0,1,1/((1-Fuel2ShrbyTech!J43)/'Inputs 7&amp;8 Day'!$P55+Fuel2ShrbyTech!J43/'Inputs 7&amp;8 Day'!$V55))</f>
        <v>8.8062377040299182</v>
      </c>
      <c r="K42" s="1257">
        <f>IF('Mkt Pen Veh-Mi'!K42=0,1,1/((1-Fuel2ShrbyTech!K43)/'Inputs 7&amp;8 Day'!$Q55+Fuel2ShrbyTech!K43/'Inputs 7&amp;8 Day'!$W55))</f>
        <v>10.957504382685043</v>
      </c>
      <c r="L42" s="1257">
        <f>IF('Mkt Pen Veh-Mi'!L42=0,1,1/((1-Fuel2ShrbyTech!L43)/'Inputs 7&amp;8 Day'!$R55+Fuel2ShrbyTech!L43/'Inputs 7&amp;8 Day'!$X55))</f>
        <v>1</v>
      </c>
      <c r="M42" s="1258">
        <f>IF('Mkt Pen Veh-Mi'!M42=0,1,1/((1-Fuel2ShrbyTech!M43)/'Inputs 7&amp;8 Day'!$S55+Fuel2ShrbyTech!M43/'Inputs 7&amp;8 Day'!$Y55))</f>
        <v>10.524839640070761</v>
      </c>
      <c r="N42" s="1247">
        <f>IF('Mkt Pen Veh-Mi'!N42=0,1,1/((1-Fuel2ShrbyTech!N43)/'Inputs 7&amp;8 SU'!$N55+Fuel2ShrbyTech!N43/'Inputs 7&amp;8 SU'!$T55))</f>
        <v>8.5484593706521306</v>
      </c>
      <c r="O42" s="1257">
        <f>IF('Mkt Pen Veh-Mi'!O42=0,1,1/((1-Fuel2ShrbyTech!O43)/'Inputs 7&amp;8 SU'!$O55+Fuel2ShrbyTech!O43/'Inputs 7&amp;8 SU'!$U55))</f>
        <v>10.120529022418053</v>
      </c>
      <c r="P42" s="1257">
        <f>IF('Mkt Pen Veh-Mi'!P42=0,1,1/((1-Fuel2ShrbyTech!P43)/'Inputs 7&amp;8 SU'!$P55+Fuel2ShrbyTech!P43/'Inputs 7&amp;8 SU'!$V55))</f>
        <v>10.726756278674783</v>
      </c>
      <c r="Q42" s="1257">
        <f>IF('Mkt Pen Veh-Mi'!Q42=0,1,1/((1-Fuel2ShrbyTech!Q43)/'Inputs 7&amp;8 SU'!$Q55+Fuel2ShrbyTech!Q43/'Inputs 7&amp;8 SU'!$W55))</f>
        <v>12.077760413696447</v>
      </c>
      <c r="R42" s="1257">
        <f>IF('Mkt Pen Veh-Mi'!R42=0,1,1/((1-Fuel2ShrbyTech!R43)/'Inputs 7&amp;8 SU'!$R55+Fuel2ShrbyTech!R43/'Inputs 7&amp;8 SU'!$X55))</f>
        <v>16.785954230064906</v>
      </c>
      <c r="S42" s="1258">
        <f>IF('Mkt Pen Veh-Mi'!S42=0,1,1/((1-Fuel2ShrbyTech!S43)/'Inputs 7&amp;8 SU'!$S55+Fuel2ShrbyTech!S43/'Inputs 7&amp;8 SU'!$Y55))</f>
        <v>28.352834951169029</v>
      </c>
      <c r="U42" s="1199">
        <f t="shared" si="13"/>
        <v>2040</v>
      </c>
      <c r="V42" s="1250">
        <f t="shared" si="14"/>
        <v>8.3630959267300504</v>
      </c>
      <c r="W42" s="1251">
        <f t="shared" si="15"/>
        <v>9.6979839744415131</v>
      </c>
      <c r="X42" s="1251">
        <f t="shared" si="16"/>
        <v>9.7550982427590345</v>
      </c>
      <c r="Y42" s="1251">
        <f t="shared" si="17"/>
        <v>10.937035704571755</v>
      </c>
      <c r="Z42" s="1251">
        <f t="shared" si="18"/>
        <v>11.970960898120268</v>
      </c>
      <c r="AA42" s="1252">
        <f t="shared" si="19"/>
        <v>11.150702631473582</v>
      </c>
      <c r="AB42" s="1256">
        <f t="shared" si="20"/>
        <v>7.4552140740191053</v>
      </c>
      <c r="AC42" s="1257">
        <f t="shared" si="21"/>
        <v>8.7575394296723594</v>
      </c>
      <c r="AD42" s="1257">
        <f t="shared" si="22"/>
        <v>8.8062377040299182</v>
      </c>
      <c r="AE42" s="1257">
        <f t="shared" si="23"/>
        <v>10.957504382685043</v>
      </c>
      <c r="AF42" s="1257">
        <f t="shared" si="24"/>
        <v>0</v>
      </c>
      <c r="AG42" s="1258">
        <f t="shared" si="25"/>
        <v>10.524839640070761</v>
      </c>
      <c r="AH42" s="1247">
        <f t="shared" si="26"/>
        <v>8.5484593706521306</v>
      </c>
      <c r="AI42" s="1257">
        <f t="shared" si="27"/>
        <v>10.120529022418053</v>
      </c>
      <c r="AJ42" s="1257">
        <f t="shared" si="28"/>
        <v>10.726756278674783</v>
      </c>
      <c r="AK42" s="1257">
        <f t="shared" si="29"/>
        <v>12.077760413696447</v>
      </c>
      <c r="AL42" s="1257">
        <f t="shared" si="30"/>
        <v>16.785954230064906</v>
      </c>
      <c r="AM42" s="1258">
        <f t="shared" si="31"/>
        <v>28.352834951169029</v>
      </c>
      <c r="AN42" s="1178">
        <v>2040</v>
      </c>
      <c r="AO42" s="1324">
        <f t="array" ref="AO42">1/SUMPRODUCT(IFERROR(1/V42:AA42,0),'Mkt Pen Veh-Mi'!B42:G42)</f>
        <v>10.024709333113046</v>
      </c>
      <c r="AP42" s="1325">
        <f t="array" ref="AP42">1/SUMPRODUCT(IFERROR(1/AB42:AG42,0),'Mkt Pen Veh-Mi'!H42:M42)</f>
        <v>8.898636328087731</v>
      </c>
      <c r="AQ42" s="1329">
        <f t="array" ref="AQ42">1/SUMPRODUCT(IFERROR(1/AH42:AM42,0),'Mkt Pen Veh-Mi'!N42:S42)</f>
        <v>9.8452396031040461</v>
      </c>
      <c r="AR42" s="1322">
        <v>2040</v>
      </c>
      <c r="AS42" s="1324">
        <f t="shared" si="32"/>
        <v>1.1986840066095812</v>
      </c>
      <c r="AT42" s="1325">
        <f t="shared" si="33"/>
        <v>1.1936124489166382</v>
      </c>
      <c r="AU42" s="1325">
        <f t="shared" si="34"/>
        <v>1.1516975370911764</v>
      </c>
      <c r="AV42" s="1329">
        <v>2.1489389429026087</v>
      </c>
    </row>
    <row r="43" spans="1:48" s="1178" customFormat="1" ht="15" x14ac:dyDescent="0.25">
      <c r="A43" s="1193">
        <v>2041</v>
      </c>
      <c r="B43" s="1253">
        <f>IF('Mkt Pen Veh-Mi'!B43=0,1,1/((1-Fuel2ShrbyTech!B44)/'Inputs 7&amp;8 Sleep'!$N56+Fuel2ShrbyTech!B44/'Inputs 7&amp;8 Sleep'!$T56))</f>
        <v>8.3632619635090801</v>
      </c>
      <c r="C43" s="1254">
        <f>IF('Mkt Pen Veh-Mi'!C43=0,1,1/((1-Fuel2ShrbyTech!C44)/'Inputs 7&amp;8 Sleep'!$O56+Fuel2ShrbyTech!C44/'Inputs 7&amp;8 Sleep'!$U56))</f>
        <v>9.6981765134290239</v>
      </c>
      <c r="D43" s="1254">
        <f>IF('Mkt Pen Veh-Mi'!D43=0,1,1/((1-Fuel2ShrbyTech!D44)/'Inputs 7&amp;8 Sleep'!$P56+Fuel2ShrbyTech!D44/'Inputs 7&amp;8 Sleep'!$V56))</f>
        <v>9.7552919156650404</v>
      </c>
      <c r="E43" s="1254">
        <f>IF('Mkt Pen Veh-Mi'!E43=0,1,1/((1-Fuel2ShrbyTech!E44)/'Inputs 7&amp;8 Sleep'!$Q56+Fuel2ShrbyTech!E44/'Inputs 7&amp;8 Sleep'!$W56))</f>
        <v>10.997767133385665</v>
      </c>
      <c r="F43" s="1254">
        <f>IF('Mkt Pen Veh-Mi'!F43=0,1,1/((1-Fuel2ShrbyTech!F44)/'Inputs 7&amp;8 Sleep'!$R56+Fuel2ShrbyTech!F44/'Inputs 7&amp;8 Sleep'!$X56))</f>
        <v>12.274575813654648</v>
      </c>
      <c r="G43" s="1255">
        <f>IF('Mkt Pen Veh-Mi'!G43=0,1,1/((1-Fuel2ShrbyTech!G44)/'Inputs 7&amp;8 Sleep'!$S56+Fuel2ShrbyTech!G44/'Inputs 7&amp;8 Sleep'!$Y56))</f>
        <v>11.250335749678765</v>
      </c>
      <c r="H43" s="1253">
        <f>IF('Mkt Pen Veh-Mi'!H43=0,1,1/((1-Fuel2ShrbyTech!H44)/'Inputs 7&amp;8 Day'!$N56+Fuel2ShrbyTech!H44/'Inputs 7&amp;8 Day'!$T56))</f>
        <v>7.4552306271596702</v>
      </c>
      <c r="I43" s="1254">
        <f>IF('Mkt Pen Veh-Mi'!I43=0,1,1/((1-Fuel2ShrbyTech!I44)/'Inputs 7&amp;8 Day'!$O56+Fuel2ShrbyTech!I44/'Inputs 7&amp;8 Day'!$U56))</f>
        <v>8.7575588744233404</v>
      </c>
      <c r="J43" s="1254">
        <f>IF('Mkt Pen Veh-Mi'!J43=0,1,1/((1-Fuel2ShrbyTech!J44)/'Inputs 7&amp;8 Day'!$P56+Fuel2ShrbyTech!J44/'Inputs 7&amp;8 Day'!$V56))</f>
        <v>8.8062572569078252</v>
      </c>
      <c r="K43" s="1254">
        <f>IF('Mkt Pen Veh-Mi'!K43=0,1,1/((1-Fuel2ShrbyTech!K44)/'Inputs 7&amp;8 Day'!$Q56+Fuel2ShrbyTech!K44/'Inputs 7&amp;8 Day'!$W56))</f>
        <v>11.142796945553878</v>
      </c>
      <c r="L43" s="1254">
        <f>IF('Mkt Pen Veh-Mi'!L43=0,1,1/((1-Fuel2ShrbyTech!L44)/'Inputs 7&amp;8 Day'!$R56+Fuel2ShrbyTech!L44/'Inputs 7&amp;8 Day'!$X56))</f>
        <v>1</v>
      </c>
      <c r="M43" s="1255">
        <f>IF('Mkt Pen Veh-Mi'!M43=0,1,1/((1-Fuel2ShrbyTech!M44)/'Inputs 7&amp;8 Day'!$S56+Fuel2ShrbyTech!M44/'Inputs 7&amp;8 Day'!$Y56))</f>
        <v>10.628127553856038</v>
      </c>
      <c r="N43" s="1253">
        <f>IF('Mkt Pen Veh-Mi'!N43=0,1,1/((1-Fuel2ShrbyTech!N44)/'Inputs 7&amp;8 SU'!$N56+Fuel2ShrbyTech!N44/'Inputs 7&amp;8 SU'!$T56))</f>
        <v>8.5501630690723598</v>
      </c>
      <c r="O43" s="1254">
        <f>IF('Mkt Pen Veh-Mi'!O43=0,1,1/((1-Fuel2ShrbyTech!O44)/'Inputs 7&amp;8 SU'!$O56+Fuel2ShrbyTech!O44/'Inputs 7&amp;8 SU'!$U56))</f>
        <v>10.122546032566872</v>
      </c>
      <c r="P43" s="1254">
        <f>IF('Mkt Pen Veh-Mi'!P43=0,1,1/((1-Fuel2ShrbyTech!P44)/'Inputs 7&amp;8 SU'!$P56+Fuel2ShrbyTech!P44/'Inputs 7&amp;8 SU'!$V56))</f>
        <v>10.728894109239773</v>
      </c>
      <c r="Q43" s="1254">
        <f>IF('Mkt Pen Veh-Mi'!Q43=0,1,1/((1-Fuel2ShrbyTech!Q44)/'Inputs 7&amp;8 SU'!$Q56+Fuel2ShrbyTech!Q44/'Inputs 7&amp;8 SU'!$W56))</f>
        <v>12.080167497879048</v>
      </c>
      <c r="R43" s="1254">
        <f>IF('Mkt Pen Veh-Mi'!R43=0,1,1/((1-Fuel2ShrbyTech!R44)/'Inputs 7&amp;8 SU'!$R56+Fuel2ShrbyTech!R44/'Inputs 7&amp;8 SU'!$X56))</f>
        <v>17.318316673807892</v>
      </c>
      <c r="S43" s="1255">
        <f>IF('Mkt Pen Veh-Mi'!S43=0,1,1/((1-Fuel2ShrbyTech!S44)/'Inputs 7&amp;8 SU'!$S56+Fuel2ShrbyTech!S44/'Inputs 7&amp;8 SU'!$Y56))</f>
        <v>28.455298688698463</v>
      </c>
      <c r="U43" s="1193">
        <f t="shared" si="13"/>
        <v>2041</v>
      </c>
      <c r="V43" s="1253">
        <f t="shared" si="14"/>
        <v>8.3632619635090801</v>
      </c>
      <c r="W43" s="1254">
        <f t="shared" si="15"/>
        <v>9.6981765134290239</v>
      </c>
      <c r="X43" s="1254">
        <f t="shared" si="16"/>
        <v>9.7552919156650404</v>
      </c>
      <c r="Y43" s="1254">
        <f t="shared" si="17"/>
        <v>10.997767133385665</v>
      </c>
      <c r="Z43" s="1254">
        <f t="shared" si="18"/>
        <v>12.274575813654648</v>
      </c>
      <c r="AA43" s="1255">
        <f t="shared" si="19"/>
        <v>11.250335749678765</v>
      </c>
      <c r="AB43" s="1253">
        <f t="shared" si="20"/>
        <v>7.4552306271596702</v>
      </c>
      <c r="AC43" s="1254">
        <f t="shared" si="21"/>
        <v>8.7575588744233404</v>
      </c>
      <c r="AD43" s="1254">
        <f t="shared" si="22"/>
        <v>8.8062572569078252</v>
      </c>
      <c r="AE43" s="1254">
        <f t="shared" si="23"/>
        <v>11.142796945553878</v>
      </c>
      <c r="AF43" s="1254">
        <f t="shared" si="24"/>
        <v>0</v>
      </c>
      <c r="AG43" s="1255">
        <f t="shared" si="25"/>
        <v>10.628127553856038</v>
      </c>
      <c r="AH43" s="1253">
        <f t="shared" si="26"/>
        <v>8.5501630690723598</v>
      </c>
      <c r="AI43" s="1254">
        <f t="shared" si="27"/>
        <v>10.122546032566872</v>
      </c>
      <c r="AJ43" s="1254">
        <f t="shared" si="28"/>
        <v>10.728894109239773</v>
      </c>
      <c r="AK43" s="1254">
        <f t="shared" si="29"/>
        <v>12.080167497879048</v>
      </c>
      <c r="AL43" s="1254">
        <f t="shared" si="30"/>
        <v>17.318316673807892</v>
      </c>
      <c r="AM43" s="1255">
        <f t="shared" si="31"/>
        <v>28.455298688698463</v>
      </c>
      <c r="AN43" s="1178">
        <v>2041</v>
      </c>
      <c r="AO43" s="1324">
        <f t="array" ref="AO43">1/SUMPRODUCT(IFERROR(1/V43:AA43,0),'Mkt Pen Veh-Mi'!B43:G43)</f>
        <v>10.06393850424713</v>
      </c>
      <c r="AP43" s="1325">
        <f t="array" ref="AP43">1/SUMPRODUCT(IFERROR(1/AB43:AG43,0),'Mkt Pen Veh-Mi'!H43:M43)</f>
        <v>8.9761762268001277</v>
      </c>
      <c r="AQ43" s="1329">
        <f t="array" ref="AQ43">1/SUMPRODUCT(IFERROR(1/AH43:AM43,0),'Mkt Pen Veh-Mi'!N43:S43)</f>
        <v>9.8882365038798827</v>
      </c>
      <c r="AR43" s="1322">
        <v>2041</v>
      </c>
      <c r="AS43" s="1324">
        <f t="shared" si="32"/>
        <v>1.2033508633543359</v>
      </c>
      <c r="AT43" s="1325">
        <f t="shared" si="33"/>
        <v>1.204010536454714</v>
      </c>
      <c r="AU43" s="1325">
        <f t="shared" si="34"/>
        <v>1.1564968321654123</v>
      </c>
      <c r="AV43" s="1329">
        <v>2.1717496436120078</v>
      </c>
    </row>
    <row r="44" spans="1:48" s="1178" customFormat="1" ht="15" x14ac:dyDescent="0.25">
      <c r="A44" s="1193">
        <v>2042</v>
      </c>
      <c r="B44" s="1247">
        <f>IF('Mkt Pen Veh-Mi'!B44=0,1,1/((1-Fuel2ShrbyTech!B45)/'Inputs 7&amp;8 Sleep'!$N57+Fuel2ShrbyTech!B45/'Inputs 7&amp;8 Sleep'!$T57))</f>
        <v>8.3634280002881098</v>
      </c>
      <c r="C44" s="1248">
        <f>IF('Mkt Pen Veh-Mi'!C44=0,1,1/((1-Fuel2ShrbyTech!C45)/'Inputs 7&amp;8 Sleep'!$O57+Fuel2ShrbyTech!C45/'Inputs 7&amp;8 Sleep'!$U57))</f>
        <v>9.6983690524165365</v>
      </c>
      <c r="D44" s="1248">
        <f>IF('Mkt Pen Veh-Mi'!D44=0,1,1/((1-Fuel2ShrbyTech!D45)/'Inputs 7&amp;8 Sleep'!$P57+Fuel2ShrbyTech!D45/'Inputs 7&amp;8 Sleep'!$V57))</f>
        <v>9.7554855885710481</v>
      </c>
      <c r="E44" s="1248">
        <f>IF('Mkt Pen Veh-Mi'!E44=0,1,1/((1-Fuel2ShrbyTech!E45)/'Inputs 7&amp;8 Sleep'!$Q57+Fuel2ShrbyTech!E45/'Inputs 7&amp;8 Sleep'!$W57))</f>
        <v>11.058500964993579</v>
      </c>
      <c r="F44" s="1248">
        <f>IF('Mkt Pen Veh-Mi'!F44=0,1,1/((1-Fuel2ShrbyTech!F45)/'Inputs 7&amp;8 Sleep'!$R57+Fuel2ShrbyTech!F45/'Inputs 7&amp;8 Sleep'!$X57))</f>
        <v>12.958082611113982</v>
      </c>
      <c r="G44" s="1249">
        <f>IF('Mkt Pen Veh-Mi'!G44=0,1,1/((1-Fuel2ShrbyTech!G45)/'Inputs 7&amp;8 Sleep'!$S57+Fuel2ShrbyTech!G45/'Inputs 7&amp;8 Sleep'!$Y57))</f>
        <v>11.349972815148734</v>
      </c>
      <c r="H44" s="1247">
        <f>IF('Mkt Pen Veh-Mi'!H44=0,1,1/((1-Fuel2ShrbyTech!H45)/'Inputs 7&amp;8 Day'!$N57+Fuel2ShrbyTech!H45/'Inputs 7&amp;8 Day'!$T57))</f>
        <v>7.455247180300236</v>
      </c>
      <c r="I44" s="1248">
        <f>IF('Mkt Pen Veh-Mi'!I44=0,1,1/((1-Fuel2ShrbyTech!I45)/'Inputs 7&amp;8 Day'!$O57+Fuel2ShrbyTech!I45/'Inputs 7&amp;8 Day'!$U57))</f>
        <v>8.7575783191743213</v>
      </c>
      <c r="J44" s="1248">
        <f>IF('Mkt Pen Veh-Mi'!J44=0,1,1/((1-Fuel2ShrbyTech!J45)/'Inputs 7&amp;8 Day'!$P57+Fuel2ShrbyTech!J45/'Inputs 7&amp;8 Day'!$V57))</f>
        <v>8.8062768097857322</v>
      </c>
      <c r="K44" s="1248">
        <f>IF('Mkt Pen Veh-Mi'!K44=0,1,1/((1-Fuel2ShrbyTech!K45)/'Inputs 7&amp;8 Day'!$Q57+Fuel2ShrbyTech!K45/'Inputs 7&amp;8 Day'!$W57))</f>
        <v>11.362221268713945</v>
      </c>
      <c r="L44" s="1248">
        <f>IF('Mkt Pen Veh-Mi'!L44=0,1,1/((1-Fuel2ShrbyTech!L45)/'Inputs 7&amp;8 Day'!$R57+Fuel2ShrbyTech!L45/'Inputs 7&amp;8 Day'!$X57))</f>
        <v>19.935600230039654</v>
      </c>
      <c r="M44" s="1249">
        <f>IF('Mkt Pen Veh-Mi'!M44=0,1,1/((1-Fuel2ShrbyTech!M45)/'Inputs 7&amp;8 Day'!$S57+Fuel2ShrbyTech!M45/'Inputs 7&amp;8 Day'!$Y57))</f>
        <v>10.731415926205942</v>
      </c>
      <c r="N44" s="1247">
        <f>IF('Mkt Pen Veh-Mi'!N44=0,1,1/((1-Fuel2ShrbyTech!N45)/'Inputs 7&amp;8 SU'!$N57+Fuel2ShrbyTech!N45/'Inputs 7&amp;8 SU'!$T57))</f>
        <v>8.552006775413572</v>
      </c>
      <c r="O44" s="1248">
        <f>IF('Mkt Pen Veh-Mi'!O44=0,1,1/((1-Fuel2ShrbyTech!O45)/'Inputs 7&amp;8 SU'!$O57+Fuel2ShrbyTech!O45/'Inputs 7&amp;8 SU'!$U57))</f>
        <v>10.124728798223934</v>
      </c>
      <c r="P44" s="1248">
        <f>IF('Mkt Pen Veh-Mi'!P44=0,1,1/((1-Fuel2ShrbyTech!P45)/'Inputs 7&amp;8 SU'!$P57+Fuel2ShrbyTech!P45/'Inputs 7&amp;8 SU'!$V57))</f>
        <v>10.731207624191898</v>
      </c>
      <c r="Q44" s="1248">
        <f>IF('Mkt Pen Veh-Mi'!Q44=0,1,1/((1-Fuel2ShrbyTech!Q45)/'Inputs 7&amp;8 SU'!$Q57+Fuel2ShrbyTech!Q45/'Inputs 7&amp;8 SU'!$W57))</f>
        <v>12.082772393392599</v>
      </c>
      <c r="R44" s="1248">
        <f>IF('Mkt Pen Veh-Mi'!R44=0,1,1/((1-Fuel2ShrbyTech!R45)/'Inputs 7&amp;8 SU'!$R57+Fuel2ShrbyTech!R45/'Inputs 7&amp;8 SU'!$X57))</f>
        <v>18.111591939491369</v>
      </c>
      <c r="S44" s="1249">
        <f>IF('Mkt Pen Veh-Mi'!S44=0,1,1/((1-Fuel2ShrbyTech!S45)/'Inputs 7&amp;8 SU'!$S57+Fuel2ShrbyTech!S45/'Inputs 7&amp;8 SU'!$Y57))</f>
        <v>28.558268545496833</v>
      </c>
      <c r="U44" s="1193">
        <f t="shared" si="13"/>
        <v>2042</v>
      </c>
      <c r="V44" s="1247">
        <f t="shared" si="14"/>
        <v>8.3634280002881098</v>
      </c>
      <c r="W44" s="1248">
        <f t="shared" si="15"/>
        <v>9.6983690524165365</v>
      </c>
      <c r="X44" s="1248">
        <f t="shared" si="16"/>
        <v>9.7554855885710481</v>
      </c>
      <c r="Y44" s="1248">
        <f t="shared" si="17"/>
        <v>11.058500964993579</v>
      </c>
      <c r="Z44" s="1248">
        <f t="shared" si="18"/>
        <v>12.958082611113982</v>
      </c>
      <c r="AA44" s="1249">
        <f t="shared" si="19"/>
        <v>11.349972815148734</v>
      </c>
      <c r="AB44" s="1247">
        <f t="shared" si="20"/>
        <v>7.455247180300236</v>
      </c>
      <c r="AC44" s="1248">
        <f t="shared" si="21"/>
        <v>8.7575783191743213</v>
      </c>
      <c r="AD44" s="1248">
        <f t="shared" si="22"/>
        <v>8.8062768097857322</v>
      </c>
      <c r="AE44" s="1248">
        <f t="shared" si="23"/>
        <v>11.362221268713945</v>
      </c>
      <c r="AF44" s="1248">
        <f t="shared" si="24"/>
        <v>19.935600230039654</v>
      </c>
      <c r="AG44" s="1249">
        <f t="shared" si="25"/>
        <v>10.731415926205942</v>
      </c>
      <c r="AH44" s="1247">
        <f t="shared" si="26"/>
        <v>8.552006775413572</v>
      </c>
      <c r="AI44" s="1248">
        <f t="shared" si="27"/>
        <v>10.124728798223934</v>
      </c>
      <c r="AJ44" s="1248">
        <f t="shared" si="28"/>
        <v>10.731207624191898</v>
      </c>
      <c r="AK44" s="1248">
        <f t="shared" si="29"/>
        <v>12.082772393392599</v>
      </c>
      <c r="AL44" s="1248">
        <f t="shared" si="30"/>
        <v>18.111591939491369</v>
      </c>
      <c r="AM44" s="1249">
        <f t="shared" si="31"/>
        <v>28.558268545496833</v>
      </c>
      <c r="AN44" s="1178">
        <v>2042</v>
      </c>
      <c r="AO44" s="1324">
        <f t="array" ref="AO44">1/SUMPRODUCT(IFERROR(1/V44:AA44,0),'Mkt Pen Veh-Mi'!B44:G44)</f>
        <v>10.121315348010725</v>
      </c>
      <c r="AP44" s="1325">
        <f t="array" ref="AP44">1/SUMPRODUCT(IFERROR(1/AB44:AG44,0),'Mkt Pen Veh-Mi'!H44:M44)</f>
        <v>9.0783414364087864</v>
      </c>
      <c r="AQ44" s="1329">
        <f t="array" ref="AQ44">1/SUMPRODUCT(IFERROR(1/AH44:AM44,0),'Mkt Pen Veh-Mi'!N44:S44)</f>
        <v>9.9710640281091276</v>
      </c>
      <c r="AR44" s="1322">
        <v>2042</v>
      </c>
      <c r="AS44" s="1324">
        <f t="shared" si="32"/>
        <v>1.2101874192809525</v>
      </c>
      <c r="AT44" s="1325">
        <f t="shared" si="33"/>
        <v>1.2177116622501021</v>
      </c>
      <c r="AU44" s="1325">
        <f t="shared" si="34"/>
        <v>1.1659326623518642</v>
      </c>
      <c r="AV44" s="1329">
        <v>2.1924471877980629</v>
      </c>
    </row>
    <row r="45" spans="1:48" s="1178" customFormat="1" ht="15" x14ac:dyDescent="0.25">
      <c r="A45" s="1193">
        <v>2043</v>
      </c>
      <c r="B45" s="1247">
        <f>IF('Mkt Pen Veh-Mi'!B45=0,1,1/((1-Fuel2ShrbyTech!B46)/'Inputs 7&amp;8 Sleep'!$N58+Fuel2ShrbyTech!B46/'Inputs 7&amp;8 Sleep'!$T58))</f>
        <v>8.3635940370671378</v>
      </c>
      <c r="C45" s="1248">
        <f>IF('Mkt Pen Veh-Mi'!C45=0,1,1/((1-Fuel2ShrbyTech!C46)/'Inputs 7&amp;8 Sleep'!$O58+Fuel2ShrbyTech!C46/'Inputs 7&amp;8 Sleep'!$U58))</f>
        <v>9.6985615914040473</v>
      </c>
      <c r="D45" s="1248">
        <f>IF('Mkt Pen Veh-Mi'!D45=0,1,1/((1-Fuel2ShrbyTech!D46)/'Inputs 7&amp;8 Sleep'!$P58+Fuel2ShrbyTech!D46/'Inputs 7&amp;8 Sleep'!$V58))</f>
        <v>9.7556792614770522</v>
      </c>
      <c r="E45" s="1248">
        <f>IF('Mkt Pen Veh-Mi'!E45=0,1,1/((1-Fuel2ShrbyTech!E46)/'Inputs 7&amp;8 Sleep'!$Q58+Fuel2ShrbyTech!E46/'Inputs 7&amp;8 Sleep'!$W58))</f>
        <v>11.11923719939549</v>
      </c>
      <c r="F45" s="1248">
        <f>IF('Mkt Pen Veh-Mi'!F45=0,1,1/((1-Fuel2ShrbyTech!F46)/'Inputs 7&amp;8 Sleep'!$R58+Fuel2ShrbyTech!F46/'Inputs 7&amp;8 Sleep'!$X58))</f>
        <v>13.674228209845564</v>
      </c>
      <c r="G45" s="1249">
        <f>IF('Mkt Pen Veh-Mi'!G45=0,1,1/((1-Fuel2ShrbyTech!G46)/'Inputs 7&amp;8 Sleep'!$S58+Fuel2ShrbyTech!G46/'Inputs 7&amp;8 Sleep'!$Y58))</f>
        <v>11.449613827883484</v>
      </c>
      <c r="H45" s="1247">
        <f>IF('Mkt Pen Veh-Mi'!H45=0,1,1/((1-Fuel2ShrbyTech!H46)/'Inputs 7&amp;8 Day'!$N58+Fuel2ShrbyTech!H46/'Inputs 7&amp;8 Day'!$T58))</f>
        <v>7.4552637334407992</v>
      </c>
      <c r="I45" s="1248">
        <f>IF('Mkt Pen Veh-Mi'!I45=0,1,1/((1-Fuel2ShrbyTech!I46)/'Inputs 7&amp;8 Day'!$O58+Fuel2ShrbyTech!I46/'Inputs 7&amp;8 Day'!$U58))</f>
        <v>8.757597763925304</v>
      </c>
      <c r="J45" s="1248">
        <f>IF('Mkt Pen Veh-Mi'!J45=0,1,1/((1-Fuel2ShrbyTech!J46)/'Inputs 7&amp;8 Day'!$P58+Fuel2ShrbyTech!J46/'Inputs 7&amp;8 Day'!$V58))</f>
        <v>8.8062963626636392</v>
      </c>
      <c r="K45" s="1248">
        <f>IF('Mkt Pen Veh-Mi'!K45=0,1,1/((1-Fuel2ShrbyTech!K46)/'Inputs 7&amp;8 Day'!$Q58+Fuel2ShrbyTech!K46/'Inputs 7&amp;8 Day'!$W58))</f>
        <v>11.621337178521928</v>
      </c>
      <c r="L45" s="1248">
        <f>IF('Mkt Pen Veh-Mi'!L45=0,1,1/((1-Fuel2ShrbyTech!L46)/'Inputs 7&amp;8 Day'!$R58+Fuel2ShrbyTech!L46/'Inputs 7&amp;8 Day'!$X58))</f>
        <v>20.01574261553893</v>
      </c>
      <c r="M45" s="1249">
        <f>IF('Mkt Pen Veh-Mi'!M45=0,1,1/((1-Fuel2ShrbyTech!M46)/'Inputs 7&amp;8 Day'!$S58+Fuel2ShrbyTech!M46/'Inputs 7&amp;8 Day'!$Y58))</f>
        <v>10.834704757120475</v>
      </c>
      <c r="N45" s="1247">
        <f>IF('Mkt Pen Veh-Mi'!N45=0,1,1/((1-Fuel2ShrbyTech!N46)/'Inputs 7&amp;8 SU'!$N58+Fuel2ShrbyTech!N46/'Inputs 7&amp;8 SU'!$T58))</f>
        <v>8.5541625159132924</v>
      </c>
      <c r="O45" s="1248">
        <f>IF('Mkt Pen Veh-Mi'!O45=0,1,1/((1-Fuel2ShrbyTech!O46)/'Inputs 7&amp;8 SU'!$O58+Fuel2ShrbyTech!O46/'Inputs 7&amp;8 SU'!$U58))</f>
        <v>10.127280981412301</v>
      </c>
      <c r="P45" s="1248">
        <f>IF('Mkt Pen Veh-Mi'!P45=0,1,1/((1-Fuel2ShrbyTech!P46)/'Inputs 7&amp;8 SU'!$P58+Fuel2ShrbyTech!P46/'Inputs 7&amp;8 SU'!$V58))</f>
        <v>10.733912685061691</v>
      </c>
      <c r="Q45" s="1248">
        <f>IF('Mkt Pen Veh-Mi'!Q45=0,1,1/((1-Fuel2ShrbyTech!Q46)/'Inputs 7&amp;8 SU'!$Q58+Fuel2ShrbyTech!Q46/'Inputs 7&amp;8 SU'!$W58))</f>
        <v>12.085818148907224</v>
      </c>
      <c r="R45" s="1248">
        <f>IF('Mkt Pen Veh-Mi'!R45=0,1,1/((1-Fuel2ShrbyTech!R46)/'Inputs 7&amp;8 SU'!$R58+Fuel2ShrbyTech!R46/'Inputs 7&amp;8 SU'!$X58))</f>
        <v>19.125176074892806</v>
      </c>
      <c r="S45" s="1249">
        <f>IF('Mkt Pen Veh-Mi'!S45=0,1,1/((1-Fuel2ShrbyTech!S46)/'Inputs 7&amp;8 SU'!$S58+Fuel2ShrbyTech!S46/'Inputs 7&amp;8 SU'!$Y58))</f>
        <v>28.662325683640397</v>
      </c>
      <c r="U45" s="1193">
        <f t="shared" si="13"/>
        <v>2043</v>
      </c>
      <c r="V45" s="1247">
        <f t="shared" si="14"/>
        <v>8.3635940370671378</v>
      </c>
      <c r="W45" s="1248">
        <f t="shared" si="15"/>
        <v>9.6985615914040473</v>
      </c>
      <c r="X45" s="1248">
        <f t="shared" si="16"/>
        <v>9.7556792614770522</v>
      </c>
      <c r="Y45" s="1248">
        <f t="shared" si="17"/>
        <v>11.11923719939549</v>
      </c>
      <c r="Z45" s="1248">
        <f t="shared" si="18"/>
        <v>13.674228209845564</v>
      </c>
      <c r="AA45" s="1249">
        <f t="shared" si="19"/>
        <v>11.449613827883484</v>
      </c>
      <c r="AB45" s="1247">
        <f t="shared" si="20"/>
        <v>7.4552637334407992</v>
      </c>
      <c r="AC45" s="1248">
        <f t="shared" si="21"/>
        <v>8.757597763925304</v>
      </c>
      <c r="AD45" s="1248">
        <f t="shared" si="22"/>
        <v>8.8062963626636392</v>
      </c>
      <c r="AE45" s="1248">
        <f t="shared" si="23"/>
        <v>11.621337178521928</v>
      </c>
      <c r="AF45" s="1248">
        <f t="shared" si="24"/>
        <v>20.01574261553893</v>
      </c>
      <c r="AG45" s="1249">
        <f t="shared" si="25"/>
        <v>10.834704757120475</v>
      </c>
      <c r="AH45" s="1247">
        <f t="shared" si="26"/>
        <v>8.5541625159132924</v>
      </c>
      <c r="AI45" s="1248">
        <f t="shared" si="27"/>
        <v>10.127280981412301</v>
      </c>
      <c r="AJ45" s="1248">
        <f t="shared" si="28"/>
        <v>10.733912685061691</v>
      </c>
      <c r="AK45" s="1248">
        <f t="shared" si="29"/>
        <v>12.085818148907224</v>
      </c>
      <c r="AL45" s="1248">
        <f t="shared" si="30"/>
        <v>19.125176074892806</v>
      </c>
      <c r="AM45" s="1249">
        <f t="shared" si="31"/>
        <v>28.662325683640397</v>
      </c>
      <c r="AN45" s="1178">
        <v>2043</v>
      </c>
      <c r="AO45" s="1324">
        <f t="array" ref="AO45">1/SUMPRODUCT(IFERROR(1/V45:AA45,0),'Mkt Pen Veh-Mi'!B45:G45)</f>
        <v>10.227354193808415</v>
      </c>
      <c r="AP45" s="1325">
        <f t="array" ref="AP45">1/SUMPRODUCT(IFERROR(1/AB45:AG45,0),'Mkt Pen Veh-Mi'!H45:M45)</f>
        <v>9.2465048888121757</v>
      </c>
      <c r="AQ45" s="1329">
        <f t="array" ref="AQ45">1/SUMPRODUCT(IFERROR(1/AH45:AM45,0),'Mkt Pen Veh-Mi'!N45:S45)</f>
        <v>10.088090950780092</v>
      </c>
      <c r="AR45" s="1322">
        <v>2043</v>
      </c>
      <c r="AS45" s="1324">
        <f t="shared" si="32"/>
        <v>1.2228420160616549</v>
      </c>
      <c r="AT45" s="1325">
        <f t="shared" si="33"/>
        <v>1.2402652970325803</v>
      </c>
      <c r="AU45" s="1325">
        <f t="shared" si="34"/>
        <v>1.1793195338542184</v>
      </c>
      <c r="AV45" s="1329">
        <v>2.2174143154278179</v>
      </c>
    </row>
    <row r="46" spans="1:48" s="1178" customFormat="1" ht="15" x14ac:dyDescent="0.25">
      <c r="A46" s="1193">
        <v>2044</v>
      </c>
      <c r="B46" s="1247">
        <f>IF('Mkt Pen Veh-Mi'!B46=0,1,1/((1-Fuel2ShrbyTech!B47)/'Inputs 7&amp;8 Sleep'!$N59+Fuel2ShrbyTech!B47/'Inputs 7&amp;8 Sleep'!$T59))</f>
        <v>8.3637600738461675</v>
      </c>
      <c r="C46" s="1248">
        <f>IF('Mkt Pen Veh-Mi'!C46=0,1,1/((1-Fuel2ShrbyTech!C47)/'Inputs 7&amp;8 Sleep'!$O59+Fuel2ShrbyTech!C47/'Inputs 7&amp;8 Sleep'!$U59))</f>
        <v>9.6987541303915581</v>
      </c>
      <c r="D46" s="1248">
        <f>IF('Mkt Pen Veh-Mi'!D46=0,1,1/((1-Fuel2ShrbyTech!D47)/'Inputs 7&amp;8 Sleep'!$P59+Fuel2ShrbyTech!D47/'Inputs 7&amp;8 Sleep'!$V59))</f>
        <v>9.7558729343830581</v>
      </c>
      <c r="E46" s="1248">
        <f>IF('Mkt Pen Veh-Mi'!E46=0,1,1/((1-Fuel2ShrbyTech!E47)/'Inputs 7&amp;8 Sleep'!$Q59+Fuel2ShrbyTech!E47/'Inputs 7&amp;8 Sleep'!$W59))</f>
        <v>11.179975836591412</v>
      </c>
      <c r="F46" s="1248">
        <f>IF('Mkt Pen Veh-Mi'!F46=0,1,1/((1-Fuel2ShrbyTech!F47)/'Inputs 7&amp;8 Sleep'!$R59+Fuel2ShrbyTech!F47/'Inputs 7&amp;8 Sleep'!$X59))</f>
        <v>14.136397357599527</v>
      </c>
      <c r="G46" s="1249">
        <f>IF('Mkt Pen Veh-Mi'!G46=0,1,1/((1-Fuel2ShrbyTech!G47)/'Inputs 7&amp;8 Sleep'!$S59+Fuel2ShrbyTech!G47/'Inputs 7&amp;8 Sleep'!$Y59))</f>
        <v>11.549258787883021</v>
      </c>
      <c r="H46" s="1247">
        <f>IF('Mkt Pen Veh-Mi'!H46=0,1,1/((1-Fuel2ShrbyTech!H47)/'Inputs 7&amp;8 Day'!$N59+Fuel2ShrbyTech!H47/'Inputs 7&amp;8 Day'!$T59))</f>
        <v>7.4552802865813641</v>
      </c>
      <c r="I46" s="1248">
        <f>IF('Mkt Pen Veh-Mi'!I46=0,1,1/((1-Fuel2ShrbyTech!I47)/'Inputs 7&amp;8 Day'!$O59+Fuel2ShrbyTech!I47/'Inputs 7&amp;8 Day'!$U59))</f>
        <v>8.7576172086762831</v>
      </c>
      <c r="J46" s="1248">
        <f>IF('Mkt Pen Veh-Mi'!J46=0,1,1/((1-Fuel2ShrbyTech!J47)/'Inputs 7&amp;8 Day'!$P59+Fuel2ShrbyTech!J47/'Inputs 7&amp;8 Day'!$V59))</f>
        <v>8.8063159155415462</v>
      </c>
      <c r="K46" s="1248">
        <f>IF('Mkt Pen Veh-Mi'!K46=0,1,1/((1-Fuel2ShrbyTech!K47)/'Inputs 7&amp;8 Day'!$Q59+Fuel2ShrbyTech!K47/'Inputs 7&amp;8 Day'!$W59))</f>
        <v>11.849402916091428</v>
      </c>
      <c r="L46" s="1248">
        <f>IF('Mkt Pen Veh-Mi'!L46=0,1,1/((1-Fuel2ShrbyTech!L47)/'Inputs 7&amp;8 Day'!$R59+Fuel2ShrbyTech!L47/'Inputs 7&amp;8 Day'!$X59))</f>
        <v>20.095885356726619</v>
      </c>
      <c r="M46" s="1249">
        <f>IF('Mkt Pen Veh-Mi'!M46=0,1,1/((1-Fuel2ShrbyTech!M47)/'Inputs 7&amp;8 Day'!$S59+Fuel2ShrbyTech!M47/'Inputs 7&amp;8 Day'!$Y59))</f>
        <v>10.937994046599632</v>
      </c>
      <c r="N46" s="1247">
        <f>IF('Mkt Pen Veh-Mi'!N46=0,1,1/((1-Fuel2ShrbyTech!N47)/'Inputs 7&amp;8 SU'!$N59+Fuel2ShrbyTech!N47/'Inputs 7&amp;8 SU'!$T59))</f>
        <v>8.5564345191960758</v>
      </c>
      <c r="O46" s="1248">
        <f>IF('Mkt Pen Veh-Mi'!O46=0,1,1/((1-Fuel2ShrbyTech!O47)/'Inputs 7&amp;8 SU'!$O59+Fuel2ShrbyTech!O47/'Inputs 7&amp;8 SU'!$U59))</f>
        <v>10.12997080821798</v>
      </c>
      <c r="P46" s="1248">
        <f>IF('Mkt Pen Veh-Mi'!P46=0,1,1/((1-Fuel2ShrbyTech!P47)/'Inputs 7&amp;8 SU'!$P59+Fuel2ShrbyTech!P47/'Inputs 7&amp;8 SU'!$V59))</f>
        <v>10.736763634504399</v>
      </c>
      <c r="Q46" s="1248">
        <f>IF('Mkt Pen Veh-Mi'!Q46=0,1,1/((1-Fuel2ShrbyTech!Q47)/'Inputs 7&amp;8 SU'!$Q59+Fuel2ShrbyTech!Q47/'Inputs 7&amp;8 SU'!$W59))</f>
        <v>12.089028167241382</v>
      </c>
      <c r="R46" s="1248">
        <f>IF('Mkt Pen Veh-Mi'!R46=0,1,1/((1-Fuel2ShrbyTech!R47)/'Inputs 7&amp;8 SU'!$R59+Fuel2ShrbyTech!R47/'Inputs 7&amp;8 SU'!$X59))</f>
        <v>20.19456434605571</v>
      </c>
      <c r="S46" s="1249">
        <f>IF('Mkt Pen Veh-Mi'!S46=0,1,1/((1-Fuel2ShrbyTech!S47)/'Inputs 7&amp;8 SU'!$S59+Fuel2ShrbyTech!S47/'Inputs 7&amp;8 SU'!$Y59))</f>
        <v>28.766822517152747</v>
      </c>
      <c r="U46" s="1193">
        <f t="shared" si="13"/>
        <v>2044</v>
      </c>
      <c r="V46" s="1247">
        <f t="shared" si="14"/>
        <v>8.3637600738461675</v>
      </c>
      <c r="W46" s="1248">
        <f t="shared" si="15"/>
        <v>9.6987541303915581</v>
      </c>
      <c r="X46" s="1248">
        <f t="shared" si="16"/>
        <v>9.7558729343830581</v>
      </c>
      <c r="Y46" s="1248">
        <f t="shared" si="17"/>
        <v>11.179975836591412</v>
      </c>
      <c r="Z46" s="1248">
        <f t="shared" si="18"/>
        <v>14.136397357599527</v>
      </c>
      <c r="AA46" s="1249">
        <f t="shared" si="19"/>
        <v>11.549258787883021</v>
      </c>
      <c r="AB46" s="1247">
        <f t="shared" si="20"/>
        <v>7.4552802865813641</v>
      </c>
      <c r="AC46" s="1248">
        <f t="shared" si="21"/>
        <v>8.7576172086762831</v>
      </c>
      <c r="AD46" s="1248">
        <f t="shared" si="22"/>
        <v>8.8063159155415462</v>
      </c>
      <c r="AE46" s="1248">
        <f t="shared" si="23"/>
        <v>11.849402916091428</v>
      </c>
      <c r="AF46" s="1248">
        <f t="shared" si="24"/>
        <v>20.095885356726619</v>
      </c>
      <c r="AG46" s="1249">
        <f t="shared" si="25"/>
        <v>10.937994046599632</v>
      </c>
      <c r="AH46" s="1247">
        <f t="shared" si="26"/>
        <v>8.5564345191960758</v>
      </c>
      <c r="AI46" s="1248">
        <f t="shared" si="27"/>
        <v>10.12997080821798</v>
      </c>
      <c r="AJ46" s="1248">
        <f t="shared" si="28"/>
        <v>10.736763634504399</v>
      </c>
      <c r="AK46" s="1248">
        <f t="shared" si="29"/>
        <v>12.089028167241382</v>
      </c>
      <c r="AL46" s="1248">
        <f t="shared" si="30"/>
        <v>20.19456434605571</v>
      </c>
      <c r="AM46" s="1249">
        <f t="shared" si="31"/>
        <v>28.766822517152747</v>
      </c>
      <c r="AN46" s="1178">
        <v>2044</v>
      </c>
      <c r="AO46" s="1324">
        <f t="array" ref="AO46">1/SUMPRODUCT(IFERROR(1/V46:AA46,0),'Mkt Pen Veh-Mi'!B46:G46)</f>
        <v>10.358590670782773</v>
      </c>
      <c r="AP46" s="1325">
        <f t="array" ref="AP46">1/SUMPRODUCT(IFERROR(1/AB46:AG46,0),'Mkt Pen Veh-Mi'!H46:M46)</f>
        <v>9.4007165858761148</v>
      </c>
      <c r="AQ46" s="1329">
        <f t="array" ref="AQ46">1/SUMPRODUCT(IFERROR(1/AH46:AM46,0),'Mkt Pen Veh-Mi'!N46:S46)</f>
        <v>10.227674685161443</v>
      </c>
      <c r="AR46" s="1322">
        <v>2044</v>
      </c>
      <c r="AS46" s="1324">
        <f t="shared" si="32"/>
        <v>1.2385088260930064</v>
      </c>
      <c r="AT46" s="1325">
        <f t="shared" si="33"/>
        <v>1.2609474391990747</v>
      </c>
      <c r="AU46" s="1325">
        <f t="shared" si="34"/>
        <v>1.1953196932923398</v>
      </c>
      <c r="AV46" s="1329">
        <v>2.2420204999328672</v>
      </c>
    </row>
    <row r="47" spans="1:48" s="1178" customFormat="1" ht="15" x14ac:dyDescent="0.25">
      <c r="A47" s="1199">
        <v>2045</v>
      </c>
      <c r="B47" s="1250">
        <f>IF('Mkt Pen Veh-Mi'!B47=0,1,1/((1-Fuel2ShrbyTech!B48)/'Inputs 7&amp;8 Sleep'!$N60+Fuel2ShrbyTech!B48/'Inputs 7&amp;8 Sleep'!$T60))</f>
        <v>8.3639261106251972</v>
      </c>
      <c r="C47" s="1251">
        <f>IF('Mkt Pen Veh-Mi'!C47=0,1,1/((1-Fuel2ShrbyTech!C48)/'Inputs 7&amp;8 Sleep'!$O60+Fuel2ShrbyTech!C48/'Inputs 7&amp;8 Sleep'!$U60))</f>
        <v>9.6989466693790707</v>
      </c>
      <c r="D47" s="1251">
        <f>IF('Mkt Pen Veh-Mi'!D47=0,1,1/((1-Fuel2ShrbyTech!D48)/'Inputs 7&amp;8 Sleep'!$P60+Fuel2ShrbyTech!D48/'Inputs 7&amp;8 Sleep'!$V60))</f>
        <v>9.7560666072890641</v>
      </c>
      <c r="E47" s="1251">
        <f>IF('Mkt Pen Veh-Mi'!E47=0,1,1/((1-Fuel2ShrbyTech!E48)/'Inputs 7&amp;8 Sleep'!$Q60+Fuel2ShrbyTech!E48/'Inputs 7&amp;8 Sleep'!$W60))</f>
        <v>11.240716876581335</v>
      </c>
      <c r="F47" s="1251">
        <f>IF('Mkt Pen Veh-Mi'!F47=0,1,1/((1-Fuel2ShrbyTech!F48)/'Inputs 7&amp;8 Sleep'!$R60+Fuel2ShrbyTech!F48/'Inputs 7&amp;8 Sleep'!$X60))</f>
        <v>14.468238224017</v>
      </c>
      <c r="G47" s="1252">
        <f>IF('Mkt Pen Veh-Mi'!G47=0,1,1/((1-Fuel2ShrbyTech!G48)/'Inputs 7&amp;8 Sleep'!$S60+Fuel2ShrbyTech!G48/'Inputs 7&amp;8 Sleep'!$Y60))</f>
        <v>11.648907695147345</v>
      </c>
      <c r="H47" s="1250">
        <f>IF('Mkt Pen Veh-Mi'!H47=0,1,1/((1-Fuel2ShrbyTech!H48)/'Inputs 7&amp;8 Day'!$N60+Fuel2ShrbyTech!H48/'Inputs 7&amp;8 Day'!$T60))</f>
        <v>7.455296839721929</v>
      </c>
      <c r="I47" s="1251">
        <f>IF('Mkt Pen Veh-Mi'!I47=0,1,1/((1-Fuel2ShrbyTech!I48)/'Inputs 7&amp;8 Day'!$O60+Fuel2ShrbyTech!I48/'Inputs 7&amp;8 Day'!$U60))</f>
        <v>8.7576366534272641</v>
      </c>
      <c r="J47" s="1251">
        <f>IF('Mkt Pen Veh-Mi'!J47=0,1,1/((1-Fuel2ShrbyTech!J48)/'Inputs 7&amp;8 Day'!$P60+Fuel2ShrbyTech!J48/'Inputs 7&amp;8 Day'!$V60))</f>
        <v>8.8063354684194532</v>
      </c>
      <c r="K47" s="1251">
        <f>IF('Mkt Pen Veh-Mi'!K47=0,1,1/((1-Fuel2ShrbyTech!K48)/'Inputs 7&amp;8 Day'!$Q60+Fuel2ShrbyTech!K48/'Inputs 7&amp;8 Day'!$W60))</f>
        <v>12.044200311359473</v>
      </c>
      <c r="L47" s="1251">
        <f>IF('Mkt Pen Veh-Mi'!L47=0,1,1/((1-Fuel2ShrbyTech!L48)/'Inputs 7&amp;8 Day'!$R60+Fuel2ShrbyTech!L48/'Inputs 7&amp;8 Day'!$X60))</f>
        <v>20.176028453602722</v>
      </c>
      <c r="M47" s="1252">
        <f>IF('Mkt Pen Veh-Mi'!M47=0,1,1/((1-Fuel2ShrbyTech!M48)/'Inputs 7&amp;8 Day'!$S60+Fuel2ShrbyTech!M48/'Inputs 7&amp;8 Day'!$Y60))</f>
        <v>11.041283794643421</v>
      </c>
      <c r="N47" s="1250">
        <f>IF('Mkt Pen Veh-Mi'!N47=0,1,1/((1-Fuel2ShrbyTech!N48)/'Inputs 7&amp;8 SU'!$N60+Fuel2ShrbyTech!N48/'Inputs 7&amp;8 SU'!$T60))</f>
        <v>8.5588402101966423</v>
      </c>
      <c r="O47" s="1251">
        <f>IF('Mkt Pen Veh-Mi'!O47=0,1,1/((1-Fuel2ShrbyTech!O48)/'Inputs 7&amp;8 SU'!$O60+Fuel2ShrbyTech!O48/'Inputs 7&amp;8 SU'!$U60))</f>
        <v>10.132818908037438</v>
      </c>
      <c r="P47" s="1251">
        <f>IF('Mkt Pen Veh-Mi'!P47=0,1,1/((1-Fuel2ShrbyTech!P48)/'Inputs 7&amp;8 SU'!$P60+Fuel2ShrbyTech!P48/'Inputs 7&amp;8 SU'!$V60))</f>
        <v>10.739782337632763</v>
      </c>
      <c r="Q47" s="1251">
        <f>IF('Mkt Pen Veh-Mi'!Q47=0,1,1/((1-Fuel2ShrbyTech!Q48)/'Inputs 7&amp;8 SU'!$Q60+Fuel2ShrbyTech!Q48/'Inputs 7&amp;8 SU'!$W60))</f>
        <v>12.092427067355944</v>
      </c>
      <c r="R47" s="1251">
        <f>IF('Mkt Pen Veh-Mi'!R47=0,1,1/((1-Fuel2ShrbyTech!R48)/'Inputs 7&amp;8 SU'!$R60+Fuel2ShrbyTech!R48/'Inputs 7&amp;8 SU'!$X60))</f>
        <v>21.171854546439935</v>
      </c>
      <c r="S47" s="1252">
        <f>IF('Mkt Pen Veh-Mi'!S47=0,1,1/((1-Fuel2ShrbyTech!S48)/'Inputs 7&amp;8 SU'!$S60+Fuel2ShrbyTech!S48/'Inputs 7&amp;8 SU'!$Y60))</f>
        <v>28.871821775460866</v>
      </c>
      <c r="U47" s="1199">
        <f t="shared" si="13"/>
        <v>2045</v>
      </c>
      <c r="V47" s="1250">
        <f t="shared" si="14"/>
        <v>8.3639261106251972</v>
      </c>
      <c r="W47" s="1251">
        <f t="shared" si="15"/>
        <v>9.6989466693790707</v>
      </c>
      <c r="X47" s="1251">
        <f t="shared" si="16"/>
        <v>9.7560666072890641</v>
      </c>
      <c r="Y47" s="1251">
        <f t="shared" si="17"/>
        <v>11.240716876581335</v>
      </c>
      <c r="Z47" s="1251">
        <f t="shared" si="18"/>
        <v>14.468238224017</v>
      </c>
      <c r="AA47" s="1252">
        <f t="shared" si="19"/>
        <v>11.648907695147345</v>
      </c>
      <c r="AB47" s="1250">
        <f t="shared" si="20"/>
        <v>7.455296839721929</v>
      </c>
      <c r="AC47" s="1251">
        <f t="shared" si="21"/>
        <v>8.7576366534272641</v>
      </c>
      <c r="AD47" s="1251">
        <f t="shared" si="22"/>
        <v>8.8063354684194532</v>
      </c>
      <c r="AE47" s="1251">
        <f t="shared" si="23"/>
        <v>12.044200311359473</v>
      </c>
      <c r="AF47" s="1251">
        <f t="shared" si="24"/>
        <v>20.176028453602722</v>
      </c>
      <c r="AG47" s="1252">
        <f t="shared" si="25"/>
        <v>11.041283794643421</v>
      </c>
      <c r="AH47" s="1250">
        <f t="shared" si="26"/>
        <v>8.5588402101966423</v>
      </c>
      <c r="AI47" s="1251">
        <f t="shared" si="27"/>
        <v>10.132818908037438</v>
      </c>
      <c r="AJ47" s="1251">
        <f t="shared" si="28"/>
        <v>10.739782337632763</v>
      </c>
      <c r="AK47" s="1251">
        <f t="shared" si="29"/>
        <v>12.092427067355944</v>
      </c>
      <c r="AL47" s="1251">
        <f t="shared" si="30"/>
        <v>21.171854546439935</v>
      </c>
      <c r="AM47" s="1252">
        <f t="shared" si="31"/>
        <v>28.871821775460866</v>
      </c>
      <c r="AN47" s="1178">
        <v>2045</v>
      </c>
      <c r="AO47" s="1324">
        <f t="array" ref="AO47">1/SUMPRODUCT(IFERROR(1/V47:AA47,0),'Mkt Pen Veh-Mi'!B47:G47)</f>
        <v>10.498484989826125</v>
      </c>
      <c r="AP47" s="1325">
        <f t="array" ref="AP47">1/SUMPRODUCT(IFERROR(1/AB47:AG47,0),'Mkt Pen Veh-Mi'!H47:M47)</f>
        <v>9.5495189608320512</v>
      </c>
      <c r="AQ47" s="1329">
        <f t="array" ref="AQ47">1/SUMPRODUCT(IFERROR(1/AH47:AM47,0),'Mkt Pen Veh-Mi'!N47:S47)</f>
        <v>10.392155258749943</v>
      </c>
      <c r="AR47" s="1322">
        <v>2045</v>
      </c>
      <c r="AS47" s="1324">
        <f t="shared" si="32"/>
        <v>1.255210155011923</v>
      </c>
      <c r="AT47" s="1325">
        <f t="shared" si="33"/>
        <v>1.2809039218870637</v>
      </c>
      <c r="AU47" s="1325">
        <f t="shared" si="34"/>
        <v>1.2142013407808649</v>
      </c>
      <c r="AV47" s="1329">
        <v>2.2603379864801605</v>
      </c>
    </row>
    <row r="48" spans="1:48" s="1178" customFormat="1" ht="15" x14ac:dyDescent="0.25">
      <c r="A48" s="1193">
        <v>2046</v>
      </c>
      <c r="B48" s="1253">
        <f>IF('Mkt Pen Veh-Mi'!B48=0,1,1/((1-Fuel2ShrbyTech!B49)/'Inputs 7&amp;8 Sleep'!$N61+Fuel2ShrbyTech!B49/'Inputs 7&amp;8 Sleep'!$T61))</f>
        <v>8.3640921474042251</v>
      </c>
      <c r="C48" s="1254">
        <f>IF('Mkt Pen Veh-Mi'!C48=0,1,1/((1-Fuel2ShrbyTech!C49)/'Inputs 7&amp;8 Sleep'!$O61+Fuel2ShrbyTech!C49/'Inputs 7&amp;8 Sleep'!$U61))</f>
        <v>9.6991392083665797</v>
      </c>
      <c r="D48" s="1254">
        <f>IF('Mkt Pen Veh-Mi'!D48=0,1,1/((1-Fuel2ShrbyTech!D49)/'Inputs 7&amp;8 Sleep'!$P61+Fuel2ShrbyTech!D49/'Inputs 7&amp;8 Sleep'!$V61))</f>
        <v>9.7562602801950682</v>
      </c>
      <c r="E48" s="1254">
        <f>IF('Mkt Pen Veh-Mi'!E48=0,1,1/((1-Fuel2ShrbyTech!E49)/'Inputs 7&amp;8 Sleep'!$Q61+Fuel2ShrbyTech!E49/'Inputs 7&amp;8 Sleep'!$W61))</f>
        <v>11.301460319365258</v>
      </c>
      <c r="F48" s="1254">
        <f>IF('Mkt Pen Veh-Mi'!F48=0,1,1/((1-Fuel2ShrbyTech!F49)/'Inputs 7&amp;8 Sleep'!$R61+Fuel2ShrbyTech!F49/'Inputs 7&amp;8 Sleep'!$X61))</f>
        <v>14.669806002697861</v>
      </c>
      <c r="G48" s="1255">
        <f>IF('Mkt Pen Veh-Mi'!G48=0,1,1/((1-Fuel2ShrbyTech!G49)/'Inputs 7&amp;8 Sleep'!$S61+Fuel2ShrbyTech!G49/'Inputs 7&amp;8 Sleep'!$Y61))</f>
        <v>11.748560549676451</v>
      </c>
      <c r="H48" s="1253">
        <f>IF('Mkt Pen Veh-Mi'!H48=0,1,1/((1-Fuel2ShrbyTech!H49)/'Inputs 7&amp;8 Day'!$N61+Fuel2ShrbyTech!H49/'Inputs 7&amp;8 Day'!$T61))</f>
        <v>7.4553133928624931</v>
      </c>
      <c r="I48" s="1254">
        <f>IF('Mkt Pen Veh-Mi'!I48=0,1,1/((1-Fuel2ShrbyTech!I49)/'Inputs 7&amp;8 Day'!$O61+Fuel2ShrbyTech!I49/'Inputs 7&amp;8 Day'!$U61))</f>
        <v>8.757656098178245</v>
      </c>
      <c r="J48" s="1254">
        <f>IF('Mkt Pen Veh-Mi'!J48=0,1,1/((1-Fuel2ShrbyTech!J49)/'Inputs 7&amp;8 Day'!$P61+Fuel2ShrbyTech!J49/'Inputs 7&amp;8 Day'!$V61))</f>
        <v>8.8063550212973603</v>
      </c>
      <c r="K48" s="1254">
        <f>IF('Mkt Pen Veh-Mi'!K48=0,1,1/((1-Fuel2ShrbyTech!K49)/'Inputs 7&amp;8 Day'!$Q61+Fuel2ShrbyTech!K49/'Inputs 7&amp;8 Day'!$W61))</f>
        <v>12.201267536158785</v>
      </c>
      <c r="L48" s="1254">
        <f>IF('Mkt Pen Veh-Mi'!L48=0,1,1/((1-Fuel2ShrbyTech!L49)/'Inputs 7&amp;8 Day'!$R61+Fuel2ShrbyTech!L49/'Inputs 7&amp;8 Day'!$X61))</f>
        <v>20.256171906167243</v>
      </c>
      <c r="M48" s="1255">
        <f>IF('Mkt Pen Veh-Mi'!M48=0,1,1/((1-Fuel2ShrbyTech!M49)/'Inputs 7&amp;8 Day'!$S61+Fuel2ShrbyTech!M49/'Inputs 7&amp;8 Day'!$Y61))</f>
        <v>11.144574001251836</v>
      </c>
      <c r="N48" s="1253">
        <f>IF('Mkt Pen Veh-Mi'!N48=0,1,1/((1-Fuel2ShrbyTech!N49)/'Inputs 7&amp;8 SU'!$N61+Fuel2ShrbyTech!N49/'Inputs 7&amp;8 SU'!$T61))</f>
        <v>8.5606020112770658</v>
      </c>
      <c r="O48" s="1254">
        <f>IF('Mkt Pen Veh-Mi'!O48=0,1,1/((1-Fuel2ShrbyTech!O49)/'Inputs 7&amp;8 SU'!$O61+Fuel2ShrbyTech!O49/'Inputs 7&amp;8 SU'!$U61))</f>
        <v>10.134904705979856</v>
      </c>
      <c r="P48" s="1254">
        <f>IF('Mkt Pen Veh-Mi'!P48=0,1,1/((1-Fuel2ShrbyTech!P49)/'Inputs 7&amp;8 SU'!$P61+Fuel2ShrbyTech!P49/'Inputs 7&amp;8 SU'!$V61))</f>
        <v>10.741993076431626</v>
      </c>
      <c r="Q48" s="1254">
        <f>IF('Mkt Pen Veh-Mi'!Q48=0,1,1/((1-Fuel2ShrbyTech!Q49)/'Inputs 7&amp;8 SU'!$Q61+Fuel2ShrbyTech!Q49/'Inputs 7&amp;8 SU'!$W61))</f>
        <v>12.094916242355009</v>
      </c>
      <c r="R48" s="1254">
        <f>IF('Mkt Pen Veh-Mi'!R48=0,1,1/((1-Fuel2ShrbyTech!R49)/'Inputs 7&amp;8 SU'!$R61+Fuel2ShrbyTech!R49/'Inputs 7&amp;8 SU'!$X61))</f>
        <v>21.777417418682731</v>
      </c>
      <c r="S48" s="1255">
        <f>IF('Mkt Pen Veh-Mi'!S48=0,1,1/((1-Fuel2ShrbyTech!S49)/'Inputs 7&amp;8 SU'!$S61+Fuel2ShrbyTech!S49/'Inputs 7&amp;8 SU'!$Y61))</f>
        <v>28.974696166673031</v>
      </c>
      <c r="U48" s="1193">
        <f t="shared" si="13"/>
        <v>2046</v>
      </c>
      <c r="V48" s="1253">
        <f t="shared" si="14"/>
        <v>8.3640921474042251</v>
      </c>
      <c r="W48" s="1254">
        <f t="shared" si="15"/>
        <v>9.6991392083665797</v>
      </c>
      <c r="X48" s="1254">
        <f t="shared" si="16"/>
        <v>9.7562602801950682</v>
      </c>
      <c r="Y48" s="1254">
        <f t="shared" si="17"/>
        <v>11.301460319365258</v>
      </c>
      <c r="Z48" s="1254">
        <f t="shared" si="18"/>
        <v>14.669806002697861</v>
      </c>
      <c r="AA48" s="1255">
        <f t="shared" si="19"/>
        <v>11.748560549676451</v>
      </c>
      <c r="AB48" s="1253">
        <f t="shared" si="20"/>
        <v>7.4553133928624931</v>
      </c>
      <c r="AC48" s="1254">
        <f t="shared" si="21"/>
        <v>8.757656098178245</v>
      </c>
      <c r="AD48" s="1254">
        <f t="shared" si="22"/>
        <v>8.8063550212973603</v>
      </c>
      <c r="AE48" s="1254">
        <f t="shared" si="23"/>
        <v>12.201267536158785</v>
      </c>
      <c r="AF48" s="1254">
        <f t="shared" si="24"/>
        <v>20.256171906167243</v>
      </c>
      <c r="AG48" s="1255">
        <f t="shared" si="25"/>
        <v>11.144574001251836</v>
      </c>
      <c r="AH48" s="1253">
        <f t="shared" si="26"/>
        <v>8.5606020112770658</v>
      </c>
      <c r="AI48" s="1254">
        <f t="shared" si="27"/>
        <v>10.134904705979856</v>
      </c>
      <c r="AJ48" s="1254">
        <f t="shared" si="28"/>
        <v>10.741993076431626</v>
      </c>
      <c r="AK48" s="1254">
        <f t="shared" si="29"/>
        <v>12.094916242355009</v>
      </c>
      <c r="AL48" s="1254">
        <f t="shared" si="30"/>
        <v>21.777417418682731</v>
      </c>
      <c r="AM48" s="1255">
        <f t="shared" si="31"/>
        <v>28.974696166673031</v>
      </c>
      <c r="AN48" s="1178">
        <v>2046</v>
      </c>
      <c r="AO48" s="1324">
        <f t="array" ref="AO48">1/SUMPRODUCT(IFERROR(1/V48:AA48,0),'Mkt Pen Veh-Mi'!B48:G48)</f>
        <v>10.586970044936534</v>
      </c>
      <c r="AP48" s="1325">
        <f t="array" ref="AP48">1/SUMPRODUCT(IFERROR(1/AB48:AG48,0),'Mkt Pen Veh-Mi'!H48:M48)</f>
        <v>9.6609635126759095</v>
      </c>
      <c r="AQ48" s="1329">
        <f t="array" ref="AQ48">1/SUMPRODUCT(IFERROR(1/AH48:AM48,0),'Mkt Pen Veh-Mi'!N48:S48)</f>
        <v>10.511214372675367</v>
      </c>
      <c r="AR48" s="1322">
        <v>2046</v>
      </c>
      <c r="AS48" s="1324">
        <f t="shared" si="32"/>
        <v>1.2657643959867388</v>
      </c>
      <c r="AT48" s="1325">
        <f t="shared" si="33"/>
        <v>1.2958494168635544</v>
      </c>
      <c r="AU48" s="1325">
        <f t="shared" si="34"/>
        <v>1.2278592508831407</v>
      </c>
      <c r="AV48" s="1329">
        <v>2.2751084089886593</v>
      </c>
    </row>
    <row r="49" spans="1:48" s="1178" customFormat="1" ht="15" x14ac:dyDescent="0.25">
      <c r="A49" s="1193">
        <v>2047</v>
      </c>
      <c r="B49" s="1247">
        <f>IF('Mkt Pen Veh-Mi'!B49=0,1,1/((1-Fuel2ShrbyTech!B50)/'Inputs 7&amp;8 Sleep'!$N62+Fuel2ShrbyTech!B50/'Inputs 7&amp;8 Sleep'!$T62))</f>
        <v>8.3642581841832531</v>
      </c>
      <c r="C49" s="1248">
        <f>IF('Mkt Pen Veh-Mi'!C49=0,1,1/((1-Fuel2ShrbyTech!C50)/'Inputs 7&amp;8 Sleep'!$O62+Fuel2ShrbyTech!C50/'Inputs 7&amp;8 Sleep'!$U62))</f>
        <v>9.6993317473540888</v>
      </c>
      <c r="D49" s="1248">
        <f>IF('Mkt Pen Veh-Mi'!D49=0,1,1/((1-Fuel2ShrbyTech!D50)/'Inputs 7&amp;8 Sleep'!$P62+Fuel2ShrbyTech!D50/'Inputs 7&amp;8 Sleep'!$V62))</f>
        <v>9.7564539531010741</v>
      </c>
      <c r="E49" s="1248">
        <f>IF('Mkt Pen Veh-Mi'!E49=0,1,1/((1-Fuel2ShrbyTech!E50)/'Inputs 7&amp;8 Sleep'!$Q62+Fuel2ShrbyTech!E50/'Inputs 7&amp;8 Sleep'!$W62))</f>
        <v>11.362206164943187</v>
      </c>
      <c r="F49" s="1248">
        <f>IF('Mkt Pen Veh-Mi'!F49=0,1,1/((1-Fuel2ShrbyTech!F50)/'Inputs 7&amp;8 Sleep'!$R62+Fuel2ShrbyTech!F50/'Inputs 7&amp;8 Sleep'!$X62))</f>
        <v>14.796917595781151</v>
      </c>
      <c r="G49" s="1249">
        <f>IF('Mkt Pen Veh-Mi'!G49=0,1,1/((1-Fuel2ShrbyTech!G50)/'Inputs 7&amp;8 Sleep'!$S62+Fuel2ShrbyTech!G50/'Inputs 7&amp;8 Sleep'!$Y62))</f>
        <v>11.848217351470343</v>
      </c>
      <c r="H49" s="1247">
        <f>IF('Mkt Pen Veh-Mi'!H49=0,1,1/((1-Fuel2ShrbyTech!H50)/'Inputs 7&amp;8 Day'!$N62+Fuel2ShrbyTech!H50/'Inputs 7&amp;8 Day'!$T62))</f>
        <v>7.4553299460030589</v>
      </c>
      <c r="I49" s="1248">
        <f>IF('Mkt Pen Veh-Mi'!I49=0,1,1/((1-Fuel2ShrbyTech!I50)/'Inputs 7&amp;8 Day'!$O62+Fuel2ShrbyTech!I50/'Inputs 7&amp;8 Day'!$U62))</f>
        <v>8.7576755429292259</v>
      </c>
      <c r="J49" s="1248">
        <f>IF('Mkt Pen Veh-Mi'!J49=0,1,1/((1-Fuel2ShrbyTech!J50)/'Inputs 7&amp;8 Day'!$P62+Fuel2ShrbyTech!J50/'Inputs 7&amp;8 Day'!$V62))</f>
        <v>8.8063745741752673</v>
      </c>
      <c r="K49" s="1248">
        <f>IF('Mkt Pen Veh-Mi'!K49=0,1,1/((1-Fuel2ShrbyTech!K50)/'Inputs 7&amp;8 Day'!$Q62+Fuel2ShrbyTech!K50/'Inputs 7&amp;8 Day'!$W62))</f>
        <v>12.316326444468627</v>
      </c>
      <c r="L49" s="1248">
        <f>IF('Mkt Pen Veh-Mi'!L49=0,1,1/((1-Fuel2ShrbyTech!L50)/'Inputs 7&amp;8 Day'!$R62+Fuel2ShrbyTech!L50/'Inputs 7&amp;8 Day'!$X62))</f>
        <v>20.336315714420177</v>
      </c>
      <c r="M49" s="1249">
        <f>IF('Mkt Pen Veh-Mi'!M49=0,1,1/((1-Fuel2ShrbyTech!M50)/'Inputs 7&amp;8 Day'!$S62+Fuel2ShrbyTech!M50/'Inputs 7&amp;8 Day'!$Y62))</f>
        <v>11.24786466642488</v>
      </c>
      <c r="N49" s="1247">
        <f>IF('Mkt Pen Veh-Mi'!N49=0,1,1/((1-Fuel2ShrbyTech!N50)/'Inputs 7&amp;8 SU'!$N62+Fuel2ShrbyTech!N50/'Inputs 7&amp;8 SU'!$T62))</f>
        <v>8.5625313997551658</v>
      </c>
      <c r="O49" s="1248">
        <f>IF('Mkt Pen Veh-Mi'!O49=0,1,1/((1-Fuel2ShrbyTech!O50)/'Inputs 7&amp;8 SU'!$O62+Fuel2ShrbyTech!O50/'Inputs 7&amp;8 SU'!$U62))</f>
        <v>10.137188910798701</v>
      </c>
      <c r="P49" s="1248">
        <f>IF('Mkt Pen Veh-Mi'!P49=0,1,1/((1-Fuel2ShrbyTech!P50)/'Inputs 7&amp;8 SU'!$P62+Fuel2ShrbyTech!P50/'Inputs 7&amp;8 SU'!$V62))</f>
        <v>10.744414106827175</v>
      </c>
      <c r="Q49" s="1248">
        <f>IF('Mkt Pen Veh-Mi'!Q49=0,1,1/((1-Fuel2ShrbyTech!Q50)/'Inputs 7&amp;8 SU'!$Q62+Fuel2ShrbyTech!Q50/'Inputs 7&amp;8 SU'!$W62))</f>
        <v>12.097642194573186</v>
      </c>
      <c r="R49" s="1248">
        <f>IF('Mkt Pen Veh-Mi'!R49=0,1,1/((1-Fuel2ShrbyTech!R50)/'Inputs 7&amp;8 SU'!$R62+Fuel2ShrbyTech!R50/'Inputs 7&amp;8 SU'!$X62))</f>
        <v>21.956274476690684</v>
      </c>
      <c r="S49" s="1249">
        <f>IF('Mkt Pen Veh-Mi'!S49=0,1,1/((1-Fuel2ShrbyTech!S50)/'Inputs 7&amp;8 SU'!$S62+Fuel2ShrbyTech!S50/'Inputs 7&amp;8 SU'!$Y62))</f>
        <v>29.078179578785278</v>
      </c>
      <c r="U49" s="1193">
        <f t="shared" si="13"/>
        <v>2047</v>
      </c>
      <c r="V49" s="1247">
        <f t="shared" si="14"/>
        <v>8.3642581841832531</v>
      </c>
      <c r="W49" s="1248">
        <f t="shared" si="15"/>
        <v>9.6993317473540888</v>
      </c>
      <c r="X49" s="1248">
        <f t="shared" si="16"/>
        <v>9.7564539531010741</v>
      </c>
      <c r="Y49" s="1248">
        <f t="shared" si="17"/>
        <v>11.362206164943187</v>
      </c>
      <c r="Z49" s="1248">
        <f t="shared" si="18"/>
        <v>14.796917595781151</v>
      </c>
      <c r="AA49" s="1249">
        <f t="shared" si="19"/>
        <v>11.848217351470343</v>
      </c>
      <c r="AB49" s="1247">
        <f t="shared" si="20"/>
        <v>7.4553299460030589</v>
      </c>
      <c r="AC49" s="1248">
        <f t="shared" si="21"/>
        <v>8.7576755429292259</v>
      </c>
      <c r="AD49" s="1248">
        <f t="shared" si="22"/>
        <v>8.8063745741752673</v>
      </c>
      <c r="AE49" s="1248">
        <f t="shared" si="23"/>
        <v>12.316326444468627</v>
      </c>
      <c r="AF49" s="1248">
        <f t="shared" si="24"/>
        <v>20.336315714420177</v>
      </c>
      <c r="AG49" s="1249">
        <f t="shared" si="25"/>
        <v>11.24786466642488</v>
      </c>
      <c r="AH49" s="1247">
        <f t="shared" si="26"/>
        <v>8.5625313997551658</v>
      </c>
      <c r="AI49" s="1248">
        <f t="shared" si="27"/>
        <v>10.137188910798701</v>
      </c>
      <c r="AJ49" s="1248">
        <f t="shared" si="28"/>
        <v>10.744414106827175</v>
      </c>
      <c r="AK49" s="1248">
        <f t="shared" si="29"/>
        <v>12.097642194573186</v>
      </c>
      <c r="AL49" s="1248">
        <f t="shared" si="30"/>
        <v>21.956274476690684</v>
      </c>
      <c r="AM49" s="1249">
        <f t="shared" si="31"/>
        <v>29.078179578785278</v>
      </c>
      <c r="AN49" s="1178">
        <v>2047</v>
      </c>
      <c r="AO49" s="1324">
        <f t="array" ref="AO49">1/SUMPRODUCT(IFERROR(1/V49:AA49,0),'Mkt Pen Veh-Mi'!B49:G49)</f>
        <v>10.657254905919444</v>
      </c>
      <c r="AP49" s="1325">
        <f t="array" ref="AP49">1/SUMPRODUCT(IFERROR(1/AB49:AG49,0),'Mkt Pen Veh-Mi'!H49:M49)</f>
        <v>9.7406113801890228</v>
      </c>
      <c r="AQ49" s="1329">
        <f t="array" ref="AQ49">1/SUMPRODUCT(IFERROR(1/AH49:AM49,0),'Mkt Pen Veh-Mi'!N49:S49)</f>
        <v>10.530485977793017</v>
      </c>
      <c r="AR49" s="1322">
        <v>2047</v>
      </c>
      <c r="AS49" s="1324">
        <f t="shared" si="32"/>
        <v>1.2741422695526341</v>
      </c>
      <c r="AT49" s="1325">
        <f t="shared" si="33"/>
        <v>1.3065298854293024</v>
      </c>
      <c r="AU49" s="1325">
        <f t="shared" si="34"/>
        <v>1.229833268476437</v>
      </c>
      <c r="AV49" s="1329">
        <v>2.2883161082475314</v>
      </c>
    </row>
    <row r="50" spans="1:48" s="1178" customFormat="1" ht="15" x14ac:dyDescent="0.25">
      <c r="A50" s="1193">
        <v>2048</v>
      </c>
      <c r="B50" s="1247">
        <f>IF('Mkt Pen Veh-Mi'!B50=0,1,1/((1-Fuel2ShrbyTech!B51)/'Inputs 7&amp;8 Sleep'!$N63+Fuel2ShrbyTech!B51/'Inputs 7&amp;8 Sleep'!$T63))</f>
        <v>8.3644242209622828</v>
      </c>
      <c r="C50" s="1248">
        <f>IF('Mkt Pen Veh-Mi'!C50=0,1,1/((1-Fuel2ShrbyTech!C51)/'Inputs 7&amp;8 Sleep'!$O63+Fuel2ShrbyTech!C51/'Inputs 7&amp;8 Sleep'!$U63))</f>
        <v>9.6995242863415996</v>
      </c>
      <c r="D50" s="1248">
        <f>IF('Mkt Pen Veh-Mi'!D50=0,1,1/((1-Fuel2ShrbyTech!D51)/'Inputs 7&amp;8 Sleep'!$P63+Fuel2ShrbyTech!D51/'Inputs 7&amp;8 Sleep'!$V63))</f>
        <v>9.75664762600708</v>
      </c>
      <c r="E50" s="1248">
        <f>IF('Mkt Pen Veh-Mi'!E50=0,1,1/((1-Fuel2ShrbyTech!E51)/'Inputs 7&amp;8 Sleep'!$Q63+Fuel2ShrbyTech!E51/'Inputs 7&amp;8 Sleep'!$W63))</f>
        <v>11.42295441331512</v>
      </c>
      <c r="F50" s="1248">
        <f>IF('Mkt Pen Veh-Mi'!F50=0,1,1/((1-Fuel2ShrbyTech!F51)/'Inputs 7&amp;8 Sleep'!$R63+Fuel2ShrbyTech!F51/'Inputs 7&amp;8 Sleep'!$X63))</f>
        <v>14.915744118201069</v>
      </c>
      <c r="G50" s="1249">
        <f>IF('Mkt Pen Veh-Mi'!G50=0,1,1/((1-Fuel2ShrbyTech!G51)/'Inputs 7&amp;8 Sleep'!$S63+Fuel2ShrbyTech!G51/'Inputs 7&amp;8 Sleep'!$Y63))</f>
        <v>11.947878100529021</v>
      </c>
      <c r="H50" s="1247">
        <f>IF('Mkt Pen Veh-Mi'!H50=0,1,1/((1-Fuel2ShrbyTech!H51)/'Inputs 7&amp;8 Day'!$N63+Fuel2ShrbyTech!H51/'Inputs 7&amp;8 Day'!$T63))</f>
        <v>7.455346499143622</v>
      </c>
      <c r="I50" s="1248">
        <f>IF('Mkt Pen Veh-Mi'!I50=0,1,1/((1-Fuel2ShrbyTech!I51)/'Inputs 7&amp;8 Day'!$O63+Fuel2ShrbyTech!I51/'Inputs 7&amp;8 Day'!$U63))</f>
        <v>8.7576949876802068</v>
      </c>
      <c r="J50" s="1248">
        <f>IF('Mkt Pen Veh-Mi'!J50=0,1,1/((1-Fuel2ShrbyTech!J51)/'Inputs 7&amp;8 Day'!$P63+Fuel2ShrbyTech!J51/'Inputs 7&amp;8 Day'!$V63))</f>
        <v>8.8063941270531743</v>
      </c>
      <c r="K50" s="1248">
        <f>IF('Mkt Pen Veh-Mi'!K50=0,1,1/((1-Fuel2ShrbyTech!K51)/'Inputs 7&amp;8 Day'!$Q63+Fuel2ShrbyTech!K51/'Inputs 7&amp;8 Day'!$W63))</f>
        <v>12.420839548418829</v>
      </c>
      <c r="L50" s="1248">
        <f>IF('Mkt Pen Veh-Mi'!L50=0,1,1/((1-Fuel2ShrbyTech!L51)/'Inputs 7&amp;8 Day'!$R63+Fuel2ShrbyTech!L51/'Inputs 7&amp;8 Day'!$X63))</f>
        <v>20.416459878361525</v>
      </c>
      <c r="M50" s="1249">
        <f>IF('Mkt Pen Veh-Mi'!M50=0,1,1/((1-Fuel2ShrbyTech!M51)/'Inputs 7&amp;8 Day'!$S63+Fuel2ShrbyTech!M51/'Inputs 7&amp;8 Day'!$Y63))</f>
        <v>11.351155790162549</v>
      </c>
      <c r="N50" s="1247">
        <f>IF('Mkt Pen Veh-Mi'!N50=0,1,1/((1-Fuel2ShrbyTech!N51)/'Inputs 7&amp;8 SU'!$N63+Fuel2ShrbyTech!N51/'Inputs 7&amp;8 SU'!$T63))</f>
        <v>8.562689035627594</v>
      </c>
      <c r="O50" s="1248">
        <f>IF('Mkt Pen Veh-Mi'!O50=0,1,1/((1-Fuel2ShrbyTech!O51)/'Inputs 7&amp;8 SU'!$O63+Fuel2ShrbyTech!O51/'Inputs 7&amp;8 SU'!$U63))</f>
        <v>10.137375536055101</v>
      </c>
      <c r="P50" s="1248">
        <f>IF('Mkt Pen Veh-Mi'!P50=0,1,1/((1-Fuel2ShrbyTech!P51)/'Inputs 7&amp;8 SU'!$P63+Fuel2ShrbyTech!P51/'Inputs 7&amp;8 SU'!$V63))</f>
        <v>10.744611911075987</v>
      </c>
      <c r="Q50" s="1248">
        <f>IF('Mkt Pen Veh-Mi'!Q50=0,1,1/((1-Fuel2ShrbyTech!Q51)/'Inputs 7&amp;8 SU'!$Q63+Fuel2ShrbyTech!Q51/'Inputs 7&amp;8 SU'!$W63))</f>
        <v>12.097864911698839</v>
      </c>
      <c r="R50" s="1248">
        <f>IF('Mkt Pen Veh-Mi'!R50=0,1,1/((1-Fuel2ShrbyTech!R51)/'Inputs 7&amp;8 SU'!$R63+Fuel2ShrbyTech!R51/'Inputs 7&amp;8 SU'!$X63))</f>
        <v>22.186900180672616</v>
      </c>
      <c r="S50" s="1249">
        <f>IF('Mkt Pen Veh-Mi'!S50=0,1,1/((1-Fuel2ShrbyTech!S51)/'Inputs 7&amp;8 SU'!$S63+Fuel2ShrbyTech!S51/'Inputs 7&amp;8 SU'!$Y63))</f>
        <v>29.175669786952263</v>
      </c>
      <c r="U50" s="1193">
        <f t="shared" si="13"/>
        <v>2048</v>
      </c>
      <c r="V50" s="1247">
        <f t="shared" si="14"/>
        <v>8.3644242209622828</v>
      </c>
      <c r="W50" s="1248">
        <f t="shared" si="15"/>
        <v>9.6995242863415996</v>
      </c>
      <c r="X50" s="1248">
        <f t="shared" si="16"/>
        <v>9.75664762600708</v>
      </c>
      <c r="Y50" s="1248">
        <f t="shared" si="17"/>
        <v>11.42295441331512</v>
      </c>
      <c r="Z50" s="1248">
        <f t="shared" si="18"/>
        <v>14.915744118201069</v>
      </c>
      <c r="AA50" s="1249">
        <f t="shared" si="19"/>
        <v>11.947878100529021</v>
      </c>
      <c r="AB50" s="1247">
        <f t="shared" si="20"/>
        <v>7.455346499143622</v>
      </c>
      <c r="AC50" s="1248">
        <f t="shared" si="21"/>
        <v>8.7576949876802068</v>
      </c>
      <c r="AD50" s="1248">
        <f t="shared" si="22"/>
        <v>8.8063941270531743</v>
      </c>
      <c r="AE50" s="1248">
        <f t="shared" si="23"/>
        <v>12.420839548418829</v>
      </c>
      <c r="AF50" s="1248">
        <f t="shared" si="24"/>
        <v>20.416459878361525</v>
      </c>
      <c r="AG50" s="1249">
        <f t="shared" si="25"/>
        <v>11.351155790162549</v>
      </c>
      <c r="AH50" s="1247">
        <f t="shared" si="26"/>
        <v>8.562689035627594</v>
      </c>
      <c r="AI50" s="1248">
        <f t="shared" si="27"/>
        <v>10.137375536055101</v>
      </c>
      <c r="AJ50" s="1248">
        <f t="shared" si="28"/>
        <v>10.744611911075987</v>
      </c>
      <c r="AK50" s="1248">
        <f t="shared" si="29"/>
        <v>12.097864911698839</v>
      </c>
      <c r="AL50" s="1248">
        <f t="shared" si="30"/>
        <v>22.186900180672616</v>
      </c>
      <c r="AM50" s="1249">
        <f t="shared" si="31"/>
        <v>29.175669786952263</v>
      </c>
      <c r="AN50" s="1178">
        <v>2048</v>
      </c>
      <c r="AO50" s="1324">
        <f t="array" ref="AO50">1/SUMPRODUCT(IFERROR(1/V50:AA50,0),'Mkt Pen Veh-Mi'!B50:G50)</f>
        <v>10.713900206944473</v>
      </c>
      <c r="AP50" s="1325">
        <f t="array" ref="AP50">1/SUMPRODUCT(IFERROR(1/AB50:AG50,0),'Mkt Pen Veh-Mi'!H50:M50)</f>
        <v>9.8257032680299705</v>
      </c>
      <c r="AQ50" s="1329">
        <f t="array" ref="AQ50">1/SUMPRODUCT(IFERROR(1/AH50:AM50,0),'Mkt Pen Veh-Mi'!N50:S50)</f>
        <v>10.585596679859499</v>
      </c>
      <c r="AR50" s="1322">
        <v>2048</v>
      </c>
      <c r="AS50" s="1324">
        <f t="shared" si="32"/>
        <v>1.2808891471685657</v>
      </c>
      <c r="AT50" s="1325">
        <f t="shared" si="33"/>
        <v>1.3179405235100241</v>
      </c>
      <c r="AU50" s="1325">
        <f t="shared" si="34"/>
        <v>1.236246771991252</v>
      </c>
      <c r="AV50" s="1329">
        <v>2.2967875867465612</v>
      </c>
    </row>
    <row r="51" spans="1:48" s="1178" customFormat="1" ht="15" x14ac:dyDescent="0.25">
      <c r="A51" s="1193">
        <v>2049</v>
      </c>
      <c r="B51" s="1247">
        <f>IF('Mkt Pen Veh-Mi'!B51=0,1,1/((1-Fuel2ShrbyTech!B52)/'Inputs 7&amp;8 Sleep'!$N64+Fuel2ShrbyTech!B52/'Inputs 7&amp;8 Sleep'!$T64))</f>
        <v>8.3646097808412847</v>
      </c>
      <c r="C51" s="1248">
        <f>IF('Mkt Pen Veh-Mi'!C51=0,1,1/((1-Fuel2ShrbyTech!C52)/'Inputs 7&amp;8 Sleep'!$O64+Fuel2ShrbyTech!C52/'Inputs 7&amp;8 Sleep'!$U64))</f>
        <v>9.6997394646378456</v>
      </c>
      <c r="D51" s="1248">
        <f>IF('Mkt Pen Veh-Mi'!D51=0,1,1/((1-Fuel2ShrbyTech!D52)/'Inputs 7&amp;8 Sleep'!$P64+Fuel2ShrbyTech!D52/'Inputs 7&amp;8 Sleep'!$V64))</f>
        <v>9.7568640715513428</v>
      </c>
      <c r="E51" s="1248">
        <f>IF('Mkt Pen Veh-Mi'!E51=0,1,1/((1-Fuel2ShrbyTech!E52)/'Inputs 7&amp;8 Sleep'!$Q64+Fuel2ShrbyTech!E52/'Inputs 7&amp;8 Sleep'!$W64))</f>
        <v>11.483731867649546</v>
      </c>
      <c r="F51" s="1248">
        <f>IF('Mkt Pen Veh-Mi'!F51=0,1,1/((1-Fuel2ShrbyTech!F52)/'Inputs 7&amp;8 Sleep'!$R64+Fuel2ShrbyTech!F52/'Inputs 7&amp;8 Sleep'!$X64))</f>
        <v>15.018199502420304</v>
      </c>
      <c r="G51" s="1249">
        <f>IF('Mkt Pen Veh-Mi'!G51=0,1,1/((1-Fuel2ShrbyTech!G52)/'Inputs 7&amp;8 Sleep'!$S64+Fuel2ShrbyTech!G52/'Inputs 7&amp;8 Sleep'!$Y64))</f>
        <v>12.047570916028107</v>
      </c>
      <c r="H51" s="1247">
        <f>IF('Mkt Pen Veh-Mi'!H51=0,1,1/((1-Fuel2ShrbyTech!H52)/'Inputs 7&amp;8 Day'!$N64+Fuel2ShrbyTech!H52/'Inputs 7&amp;8 Day'!$T64))</f>
        <v>7.4553630522841869</v>
      </c>
      <c r="I51" s="1248">
        <f>IF('Mkt Pen Veh-Mi'!I51=0,1,1/((1-Fuel2ShrbyTech!I52)/'Inputs 7&amp;8 Day'!$O64+Fuel2ShrbyTech!I52/'Inputs 7&amp;8 Day'!$U64))</f>
        <v>8.7577144324311877</v>
      </c>
      <c r="J51" s="1248">
        <f>IF('Mkt Pen Veh-Mi'!J51=0,1,1/((1-Fuel2ShrbyTech!J52)/'Inputs 7&amp;8 Day'!$P64+Fuel2ShrbyTech!J52/'Inputs 7&amp;8 Day'!$V64))</f>
        <v>8.8064136799310795</v>
      </c>
      <c r="K51" s="1248">
        <f>IF('Mkt Pen Veh-Mi'!K51=0,1,1/((1-Fuel2ShrbyTech!K52)/'Inputs 7&amp;8 Day'!$Q64+Fuel2ShrbyTech!K52/'Inputs 7&amp;8 Day'!$W64))</f>
        <v>12.513441247942984</v>
      </c>
      <c r="L51" s="1248">
        <f>IF('Mkt Pen Veh-Mi'!L51=0,1,1/((1-Fuel2ShrbyTech!L52)/'Inputs 7&amp;8 Day'!$R64+Fuel2ShrbyTech!L52/'Inputs 7&amp;8 Day'!$X64))</f>
        <v>20.496604397991288</v>
      </c>
      <c r="M51" s="1249">
        <f>IF('Mkt Pen Veh-Mi'!M51=0,1,1/((1-Fuel2ShrbyTech!M52)/'Inputs 7&amp;8 Day'!$S64+Fuel2ShrbyTech!M52/'Inputs 7&amp;8 Day'!$Y64))</f>
        <v>11.454447372464848</v>
      </c>
      <c r="N51" s="1247">
        <f>IF('Mkt Pen Veh-Mi'!N51=0,1,1/((1-Fuel2ShrbyTech!N52)/'Inputs 7&amp;8 SU'!$N64+Fuel2ShrbyTech!N52/'Inputs 7&amp;8 SU'!$T64))</f>
        <v>8.5628466715000222</v>
      </c>
      <c r="O51" s="1248">
        <f>IF('Mkt Pen Veh-Mi'!O51=0,1,1/((1-Fuel2ShrbyTech!O52)/'Inputs 7&amp;8 SU'!$O64+Fuel2ShrbyTech!O52/'Inputs 7&amp;8 SU'!$U64))</f>
        <v>10.137562161311502</v>
      </c>
      <c r="P51" s="1248">
        <f>IF('Mkt Pen Veh-Mi'!P51=0,1,1/((1-Fuel2ShrbyTech!P52)/'Inputs 7&amp;8 SU'!$P64+Fuel2ShrbyTech!P52/'Inputs 7&amp;8 SU'!$V64))</f>
        <v>10.7448097153248</v>
      </c>
      <c r="Q51" s="1248">
        <f>IF('Mkt Pen Veh-Mi'!Q51=0,1,1/((1-Fuel2ShrbyTech!Q52)/'Inputs 7&amp;8 SU'!$Q64+Fuel2ShrbyTech!Q52/'Inputs 7&amp;8 SU'!$W64))</f>
        <v>12.098087628824493</v>
      </c>
      <c r="R51" s="1248">
        <f>IF('Mkt Pen Veh-Mi'!R51=0,1,1/((1-Fuel2ShrbyTech!R52)/'Inputs 7&amp;8 SU'!$R64+Fuel2ShrbyTech!R52/'Inputs 7&amp;8 SU'!$X64))</f>
        <v>22.275780046505137</v>
      </c>
      <c r="S51" s="1249">
        <f>IF('Mkt Pen Veh-Mi'!S51=0,1,1/((1-Fuel2ShrbyTech!S52)/'Inputs 7&amp;8 SU'!$S64+Fuel2ShrbyTech!S52/'Inputs 7&amp;8 SU'!$Y64))</f>
        <v>29.273163564924715</v>
      </c>
      <c r="U51" s="1193">
        <f t="shared" si="13"/>
        <v>2049</v>
      </c>
      <c r="V51" s="1247">
        <f t="shared" si="14"/>
        <v>8.3646097808412847</v>
      </c>
      <c r="W51" s="1248">
        <f t="shared" si="15"/>
        <v>9.6997394646378456</v>
      </c>
      <c r="X51" s="1248">
        <f t="shared" si="16"/>
        <v>9.7568640715513428</v>
      </c>
      <c r="Y51" s="1248">
        <f t="shared" si="17"/>
        <v>11.483731867649546</v>
      </c>
      <c r="Z51" s="1248">
        <f t="shared" si="18"/>
        <v>15.018199502420304</v>
      </c>
      <c r="AA51" s="1249">
        <f t="shared" si="19"/>
        <v>12.047570916028107</v>
      </c>
      <c r="AB51" s="1247">
        <f t="shared" si="20"/>
        <v>7.4553630522841869</v>
      </c>
      <c r="AC51" s="1248">
        <f t="shared" si="21"/>
        <v>8.7577144324311877</v>
      </c>
      <c r="AD51" s="1248">
        <f t="shared" si="22"/>
        <v>8.8064136799310795</v>
      </c>
      <c r="AE51" s="1248">
        <f t="shared" si="23"/>
        <v>12.513441247942984</v>
      </c>
      <c r="AF51" s="1248">
        <f t="shared" si="24"/>
        <v>20.496604397991288</v>
      </c>
      <c r="AG51" s="1249">
        <f t="shared" si="25"/>
        <v>11.454447372464848</v>
      </c>
      <c r="AH51" s="1247">
        <f t="shared" si="26"/>
        <v>8.5628466715000222</v>
      </c>
      <c r="AI51" s="1248">
        <f t="shared" si="27"/>
        <v>10.137562161311502</v>
      </c>
      <c r="AJ51" s="1248">
        <f t="shared" si="28"/>
        <v>10.7448097153248</v>
      </c>
      <c r="AK51" s="1248">
        <f t="shared" si="29"/>
        <v>12.098087628824493</v>
      </c>
      <c r="AL51" s="1248">
        <f t="shared" si="30"/>
        <v>22.275780046505137</v>
      </c>
      <c r="AM51" s="1249">
        <f t="shared" si="31"/>
        <v>29.273163564924715</v>
      </c>
      <c r="AN51" s="1178">
        <v>2049</v>
      </c>
      <c r="AO51" s="1324">
        <f t="array" ref="AO51">1/SUMPRODUCT(IFERROR(1/V51:AA51,0),'Mkt Pen Veh-Mi'!B51:G51)</f>
        <v>10.764977940689501</v>
      </c>
      <c r="AP51" s="1325">
        <f t="array" ref="AP51">1/SUMPRODUCT(IFERROR(1/AB51:AG51,0),'Mkt Pen Veh-Mi'!H51:M51)</f>
        <v>9.8927163961295026</v>
      </c>
      <c r="AQ51" s="1329">
        <f t="array" ref="AQ51">1/SUMPRODUCT(IFERROR(1/AH51:AM51,0),'Mkt Pen Veh-Mi'!N51:S51)</f>
        <v>10.604019058818865</v>
      </c>
      <c r="AR51" s="1322">
        <v>2049</v>
      </c>
      <c r="AS51" s="1324">
        <f t="shared" si="32"/>
        <v>1.2869671416526971</v>
      </c>
      <c r="AT51" s="1325">
        <f t="shared" si="33"/>
        <v>1.3269261774044063</v>
      </c>
      <c r="AU51" s="1325">
        <f t="shared" si="34"/>
        <v>1.2383754451790592</v>
      </c>
      <c r="AV51" s="1329">
        <v>2.3322687300900027</v>
      </c>
    </row>
    <row r="52" spans="1:48" s="1178" customFormat="1" ht="15.75" thickBot="1" x14ac:dyDescent="0.3">
      <c r="A52" s="1206">
        <v>2050</v>
      </c>
      <c r="B52" s="1259">
        <f>IF('Mkt Pen Veh-Mi'!B52=0,1,1/((1-Fuel2ShrbyTech!B53)/'Inputs 7&amp;8 Sleep'!$N65+Fuel2ShrbyTech!B53/'Inputs 7&amp;8 Sleep'!$T65))</f>
        <v>8.3647562945203404</v>
      </c>
      <c r="C52" s="1260">
        <f>IF('Mkt Pen Veh-Mi'!C52=0,1,1/((1-Fuel2ShrbyTech!C53)/'Inputs 7&amp;8 Sleep'!$O65+Fuel2ShrbyTech!C53/'Inputs 7&amp;8 Sleep'!$U65))</f>
        <v>9.6999093643166212</v>
      </c>
      <c r="D52" s="1260">
        <f>IF('Mkt Pen Veh-Mi'!D52=0,1,1/((1-Fuel2ShrbyTech!D53)/'Inputs 7&amp;8 Sleep'!$P65+Fuel2ShrbyTech!D53/'Inputs 7&amp;8 Sleep'!$V65))</f>
        <v>9.7570349718190919</v>
      </c>
      <c r="E52" s="1260">
        <f>IF('Mkt Pen Veh-Mi'!E52=0,1,1/((1-Fuel2ShrbyTech!E53)/'Inputs 7&amp;8 Sleep'!$Q65+Fuel2ShrbyTech!E53/'Inputs 7&amp;8 Sleep'!$W65))</f>
        <v>11.544458118440996</v>
      </c>
      <c r="F52" s="1260">
        <f>IF('Mkt Pen Veh-Mi'!F52=0,1,1/((1-Fuel2ShrbyTech!F53)/'Inputs 7&amp;8 Sleep'!$R65+Fuel2ShrbyTech!F53/'Inputs 7&amp;8 Sleep'!$X65))</f>
        <v>15.117937431802332</v>
      </c>
      <c r="G52" s="1261">
        <f>IF('Mkt Pen Veh-Mi'!G52=0,1,1/((1-Fuel2ShrbyTech!G53)/'Inputs 7&amp;8 Sleep'!$S65+Fuel2ShrbyTech!G53/'Inputs 7&amp;8 Sleep'!$Y65))</f>
        <v>12.147211440440723</v>
      </c>
      <c r="H52" s="1259">
        <f>IF('Mkt Pen Veh-Mi'!H52=0,1,1/((1-Fuel2ShrbyTech!H53)/'Inputs 7&amp;8 Day'!$N65+Fuel2ShrbyTech!H53/'Inputs 7&amp;8 Day'!$T65))</f>
        <v>7.455379605424751</v>
      </c>
      <c r="I52" s="1260">
        <f>IF('Mkt Pen Veh-Mi'!I52=0,1,1/((1-Fuel2ShrbyTech!I53)/'Inputs 7&amp;8 Day'!$O65+Fuel2ShrbyTech!I53/'Inputs 7&amp;8 Day'!$U65))</f>
        <v>8.7577338771821687</v>
      </c>
      <c r="J52" s="1260">
        <f>IF('Mkt Pen Veh-Mi'!J52=0,1,1/((1-Fuel2ShrbyTech!J53)/'Inputs 7&amp;8 Day'!$P65+Fuel2ShrbyTech!J53/'Inputs 7&amp;8 Day'!$V65))</f>
        <v>8.8064332328089865</v>
      </c>
      <c r="K52" s="1260">
        <f>IF('Mkt Pen Veh-Mi'!K52=0,1,1/((1-Fuel2ShrbyTech!K53)/'Inputs 7&amp;8 Day'!$Q65+Fuel2ShrbyTech!K53/'Inputs 7&amp;8 Day'!$W65))</f>
        <v>12.600172029070837</v>
      </c>
      <c r="L52" s="1260">
        <f>IF('Mkt Pen Veh-Mi'!L52=0,1,1/((1-Fuel2ShrbyTech!L53)/'Inputs 7&amp;8 Day'!$R65+Fuel2ShrbyTech!L53/'Inputs 7&amp;8 Day'!$X65))</f>
        <v>20.576749273309449</v>
      </c>
      <c r="M52" s="1261">
        <f>IF('Mkt Pen Veh-Mi'!M52=0,1,1/((1-Fuel2ShrbyTech!M53)/'Inputs 7&amp;8 Day'!$S65+Fuel2ShrbyTech!M53/'Inputs 7&amp;8 Day'!$Y65))</f>
        <v>11.557739413331781</v>
      </c>
      <c r="N52" s="1259">
        <f>IF('Mkt Pen Veh-Mi'!N52=0,1,1/((1-Fuel2ShrbyTech!N53)/'Inputs 7&amp;8 SU'!$N65+Fuel2ShrbyTech!N53/'Inputs 7&amp;8 SU'!$T65))</f>
        <v>8.5630043073724504</v>
      </c>
      <c r="O52" s="1260">
        <f>IF('Mkt Pen Veh-Mi'!O52=0,1,1/((1-Fuel2ShrbyTech!O53)/'Inputs 7&amp;8 SU'!$O65+Fuel2ShrbyTech!O53/'Inputs 7&amp;8 SU'!$U65))</f>
        <v>10.137748786567903</v>
      </c>
      <c r="P52" s="1260">
        <f>IF('Mkt Pen Veh-Mi'!P52=0,1,1/((1-Fuel2ShrbyTech!P53)/'Inputs 7&amp;8 SU'!$P65+Fuel2ShrbyTech!P53/'Inputs 7&amp;8 SU'!$V65))</f>
        <v>10.745007519573612</v>
      </c>
      <c r="Q52" s="1260">
        <f>IF('Mkt Pen Veh-Mi'!Q52=0,1,1/((1-Fuel2ShrbyTech!Q53)/'Inputs 7&amp;8 SU'!$Q65+Fuel2ShrbyTech!Q53/'Inputs 7&amp;8 SU'!$W65))</f>
        <v>12.098310345950145</v>
      </c>
      <c r="R52" s="1260">
        <f>IF('Mkt Pen Veh-Mi'!R52=0,1,1/((1-Fuel2ShrbyTech!R53)/'Inputs 7&amp;8 SU'!$R65+Fuel2ShrbyTech!R53/'Inputs 7&amp;8 SU'!$X65))</f>
        <v>22.415002776595514</v>
      </c>
      <c r="S52" s="1261">
        <f>IF('Mkt Pen Veh-Mi'!S52=0,1,1/((1-Fuel2ShrbyTech!S53)/'Inputs 7&amp;8 SU'!$S65+Fuel2ShrbyTech!S53/'Inputs 7&amp;8 SU'!$Y65))</f>
        <v>29.370660912702636</v>
      </c>
      <c r="U52" s="1206">
        <f t="shared" si="13"/>
        <v>2050</v>
      </c>
      <c r="V52" s="1259">
        <f t="shared" si="14"/>
        <v>8.3647562945203404</v>
      </c>
      <c r="W52" s="1260">
        <f t="shared" si="15"/>
        <v>9.6999093643166212</v>
      </c>
      <c r="X52" s="1260">
        <f t="shared" si="16"/>
        <v>9.7570349718190919</v>
      </c>
      <c r="Y52" s="1260">
        <f t="shared" si="17"/>
        <v>11.544458118440996</v>
      </c>
      <c r="Z52" s="1260">
        <f t="shared" si="18"/>
        <v>15.117937431802332</v>
      </c>
      <c r="AA52" s="1261">
        <f t="shared" si="19"/>
        <v>12.147211440440723</v>
      </c>
      <c r="AB52" s="1259">
        <f t="shared" si="20"/>
        <v>7.455379605424751</v>
      </c>
      <c r="AC52" s="1260">
        <f t="shared" si="21"/>
        <v>8.7577338771821687</v>
      </c>
      <c r="AD52" s="1260">
        <f t="shared" si="22"/>
        <v>8.8064332328089865</v>
      </c>
      <c r="AE52" s="1260">
        <f t="shared" si="23"/>
        <v>12.600172029070837</v>
      </c>
      <c r="AF52" s="1260">
        <f t="shared" si="24"/>
        <v>20.576749273309449</v>
      </c>
      <c r="AG52" s="1261">
        <f t="shared" si="25"/>
        <v>11.557739413331781</v>
      </c>
      <c r="AH52" s="1259">
        <f t="shared" si="26"/>
        <v>8.5630043073724504</v>
      </c>
      <c r="AI52" s="1260">
        <f t="shared" si="27"/>
        <v>10.137748786567903</v>
      </c>
      <c r="AJ52" s="1260">
        <f t="shared" si="28"/>
        <v>10.745007519573612</v>
      </c>
      <c r="AK52" s="1260">
        <f t="shared" si="29"/>
        <v>12.098310345950145</v>
      </c>
      <c r="AL52" s="1260">
        <f t="shared" si="30"/>
        <v>22.415002776595514</v>
      </c>
      <c r="AM52" s="1261">
        <f t="shared" si="31"/>
        <v>29.370660912702636</v>
      </c>
      <c r="AN52" s="1178">
        <v>2050</v>
      </c>
      <c r="AO52" s="1326">
        <f t="array" ref="AO52">1/SUMPRODUCT(IFERROR(1/V52:AA52,0),'Mkt Pen Veh-Mi'!B52:G52)</f>
        <v>10.810144746962495</v>
      </c>
      <c r="AP52" s="1327">
        <f t="array" ref="AP52">1/SUMPRODUCT(IFERROR(1/AB52:AG52,0),'Mkt Pen Veh-Mi'!H52:M52)</f>
        <v>9.9509695648765497</v>
      </c>
      <c r="AQ52" s="1336">
        <f t="array" ref="AQ52">1/SUMPRODUCT(IFERROR(1/AH52:AM52,0),'Mkt Pen Veh-Mi'!N52:S52)</f>
        <v>10.624722574820369</v>
      </c>
      <c r="AR52" s="1322">
        <v>2050</v>
      </c>
      <c r="AS52" s="1333">
        <f t="shared" si="32"/>
        <v>1.2923442556293123</v>
      </c>
      <c r="AT52" s="1334">
        <f t="shared" si="33"/>
        <v>1.3347368063774963</v>
      </c>
      <c r="AU52" s="1334">
        <f t="shared" si="34"/>
        <v>1.2407704344692261</v>
      </c>
      <c r="AV52" s="1335">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5" priority="4">
      <formula>B$7="not used"</formula>
    </cfRule>
  </conditionalFormatting>
  <conditionalFormatting sqref="V9:AM52">
    <cfRule type="expression" dxfId="14" priority="1">
      <formula>V$7="not used"</formula>
    </cfRule>
  </conditionalFormatting>
  <conditionalFormatting sqref="V6:AM8">
    <cfRule type="expression" dxfId="13" priority="2">
      <formula>V$7="not used"</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defaultColWidth="14.7109375" defaultRowHeight="12.75" x14ac:dyDescent="0.2"/>
  <cols>
    <col min="1" max="12" width="14.7109375" style="48"/>
    <col min="13" max="13" width="19.140625" style="48" bestFit="1" customWidth="1"/>
    <col min="14" max="15" width="14.7109375" style="48"/>
    <col min="16" max="16" width="15.7109375" style="48" customWidth="1"/>
    <col min="17" max="16384" width="14.7109375" style="48"/>
  </cols>
  <sheetData>
    <row r="1" spans="1:30" ht="23.25" x14ac:dyDescent="0.35">
      <c r="A1" s="71" t="s">
        <v>236</v>
      </c>
      <c r="K1" s="71" t="s">
        <v>237</v>
      </c>
      <c r="U1" s="71" t="s">
        <v>156</v>
      </c>
    </row>
    <row r="2" spans="1:30" x14ac:dyDescent="0.2">
      <c r="A2" s="50" t="s">
        <v>9</v>
      </c>
      <c r="K2" s="50" t="s">
        <v>9</v>
      </c>
      <c r="U2" s="50" t="s">
        <v>9</v>
      </c>
    </row>
    <row r="3" spans="1:30" x14ac:dyDescent="0.2">
      <c r="A3" s="49" t="s">
        <v>238</v>
      </c>
      <c r="K3" s="49" t="s">
        <v>238</v>
      </c>
      <c r="U3" s="49" t="s">
        <v>239</v>
      </c>
    </row>
    <row r="4" spans="1:30" ht="13.5" thickBot="1" x14ac:dyDescent="0.25"/>
    <row r="5" spans="1:30" ht="18.75" x14ac:dyDescent="0.3">
      <c r="A5" s="72"/>
      <c r="B5" s="1629" t="s">
        <v>10</v>
      </c>
      <c r="C5" s="1628"/>
      <c r="D5" s="1628"/>
      <c r="E5" s="1630"/>
      <c r="F5" s="1629" t="s">
        <v>11</v>
      </c>
      <c r="G5" s="1628"/>
      <c r="H5" s="1628"/>
      <c r="I5" s="1630"/>
      <c r="J5" s="74"/>
      <c r="K5" s="72"/>
      <c r="L5" s="1629" t="s">
        <v>10</v>
      </c>
      <c r="M5" s="1628"/>
      <c r="N5" s="1628"/>
      <c r="O5" s="1630"/>
      <c r="P5" s="1629" t="s">
        <v>11</v>
      </c>
      <c r="Q5" s="1628"/>
      <c r="R5" s="1628"/>
      <c r="S5" s="1630"/>
      <c r="T5" s="74">
        <v>1</v>
      </c>
      <c r="U5" s="72"/>
      <c r="V5" s="1628" t="s">
        <v>10</v>
      </c>
      <c r="W5" s="1628"/>
      <c r="X5" s="1628"/>
      <c r="Y5" s="1628"/>
      <c r="Z5" s="1629" t="s">
        <v>11</v>
      </c>
      <c r="AA5" s="1628"/>
      <c r="AB5" s="1630"/>
      <c r="AC5" s="73"/>
    </row>
    <row r="6" spans="1:30" s="1301" customFormat="1" ht="45" customHeight="1" thickBot="1" x14ac:dyDescent="0.25">
      <c r="A6" s="1290" t="s">
        <v>12</v>
      </c>
      <c r="B6" s="1291" t="s">
        <v>13</v>
      </c>
      <c r="C6" s="1292" t="s">
        <v>363</v>
      </c>
      <c r="D6" s="1293" t="s">
        <v>15</v>
      </c>
      <c r="E6" s="1294" t="s">
        <v>362</v>
      </c>
      <c r="F6" s="1291" t="s">
        <v>13</v>
      </c>
      <c r="G6" s="1292" t="s">
        <v>363</v>
      </c>
      <c r="H6" s="1293" t="s">
        <v>15</v>
      </c>
      <c r="I6" s="1294" t="s">
        <v>362</v>
      </c>
      <c r="J6" s="1295" t="s">
        <v>364</v>
      </c>
      <c r="K6" s="1290" t="s">
        <v>12</v>
      </c>
      <c r="L6" s="1291" t="s">
        <v>13</v>
      </c>
      <c r="M6" s="1292" t="s">
        <v>363</v>
      </c>
      <c r="N6" s="1293" t="s">
        <v>15</v>
      </c>
      <c r="O6" s="1294" t="s">
        <v>362</v>
      </c>
      <c r="P6" s="1291" t="s">
        <v>13</v>
      </c>
      <c r="Q6" s="1292" t="s">
        <v>363</v>
      </c>
      <c r="R6" s="1293" t="s">
        <v>15</v>
      </c>
      <c r="S6" s="1294" t="s">
        <v>362</v>
      </c>
      <c r="T6" s="1295"/>
      <c r="U6" s="1290" t="s">
        <v>12</v>
      </c>
      <c r="V6" s="1296" t="s">
        <v>13</v>
      </c>
      <c r="W6" s="1297" t="s">
        <v>14</v>
      </c>
      <c r="X6" s="1296" t="s">
        <v>15</v>
      </c>
      <c r="Y6" s="1297" t="s">
        <v>16</v>
      </c>
      <c r="Z6" s="1298" t="s">
        <v>13</v>
      </c>
      <c r="AA6" s="1297" t="s">
        <v>14</v>
      </c>
      <c r="AB6" s="1299" t="s">
        <v>15</v>
      </c>
      <c r="AC6" s="1300" t="s">
        <v>16</v>
      </c>
    </row>
    <row r="7" spans="1:30" ht="18.75" x14ac:dyDescent="0.3">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8.75" x14ac:dyDescent="0.3">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8.75" x14ac:dyDescent="0.3">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8.75" x14ac:dyDescent="0.3">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8.75" x14ac:dyDescent="0.3">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8.75" x14ac:dyDescent="0.3">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8.75" x14ac:dyDescent="0.3">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8.75" x14ac:dyDescent="0.3">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8.75" x14ac:dyDescent="0.3">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8.75" x14ac:dyDescent="0.3">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8.75" x14ac:dyDescent="0.3">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8.75" x14ac:dyDescent="0.3">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8.75" x14ac:dyDescent="0.3">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8.75" x14ac:dyDescent="0.3">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8.75" x14ac:dyDescent="0.3">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8.75" x14ac:dyDescent="0.3">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8.75" x14ac:dyDescent="0.3">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8.75" x14ac:dyDescent="0.3">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8.75" x14ac:dyDescent="0.3">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8.75" x14ac:dyDescent="0.3">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8.75" x14ac:dyDescent="0.3">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8.75" x14ac:dyDescent="0.3">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8.75" x14ac:dyDescent="0.3">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2">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8.75" x14ac:dyDescent="0.3">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8.75" x14ac:dyDescent="0.3">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8.75" x14ac:dyDescent="0.3">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8.75" x14ac:dyDescent="0.3">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8.75" x14ac:dyDescent="0.3">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8.75" x14ac:dyDescent="0.3">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8.75" x14ac:dyDescent="0.3">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8.75" x14ac:dyDescent="0.3">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8.75" x14ac:dyDescent="0.3">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8.75" x14ac:dyDescent="0.3">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8.75" x14ac:dyDescent="0.3">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8.75" x14ac:dyDescent="0.3">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8.75" x14ac:dyDescent="0.3">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8.75" x14ac:dyDescent="0.3">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8.75" x14ac:dyDescent="0.3">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8.75" x14ac:dyDescent="0.3">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8.75" x14ac:dyDescent="0.3">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8.75" x14ac:dyDescent="0.3">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19.5" thickBot="1" x14ac:dyDescent="0.35">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0.25" thickTop="1" thickBot="1" x14ac:dyDescent="0.35">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8.75" x14ac:dyDescent="0.3">
      <c r="A50" s="106"/>
      <c r="B50" s="107"/>
      <c r="C50" s="108" t="s">
        <v>10</v>
      </c>
      <c r="D50" s="109"/>
      <c r="E50" s="108" t="s">
        <v>17</v>
      </c>
      <c r="F50" s="110"/>
      <c r="G50" s="111" t="s">
        <v>368</v>
      </c>
      <c r="H50" s="112">
        <f>(E51*1000)/C51</f>
        <v>114290.39175651137</v>
      </c>
      <c r="I50" s="110"/>
      <c r="J50" s="117">
        <f>SUM(C7:C28,E7:E28)/E51</f>
        <v>0.28193734312603552</v>
      </c>
      <c r="K50" s="106"/>
      <c r="L50" s="107"/>
      <c r="M50" s="108" t="s">
        <v>10</v>
      </c>
      <c r="N50" s="109"/>
      <c r="O50" s="108" t="s">
        <v>17</v>
      </c>
      <c r="P50" s="110"/>
      <c r="Q50" s="111" t="s">
        <v>368</v>
      </c>
      <c r="R50" s="112">
        <f>(O51*1000)/M51</f>
        <v>76984.800905352895</v>
      </c>
      <c r="S50" s="110"/>
      <c r="T50" s="48">
        <f>(AB50-H50)/H50</f>
        <v>-0.76147582411578907</v>
      </c>
      <c r="U50" s="106"/>
      <c r="V50" s="107"/>
      <c r="W50" s="108" t="s">
        <v>10</v>
      </c>
      <c r="X50" s="109"/>
      <c r="Y50" s="108" t="s">
        <v>17</v>
      </c>
      <c r="Z50" s="110"/>
      <c r="AA50" s="111" t="s">
        <v>368</v>
      </c>
      <c r="AB50" s="112">
        <f>(Y51*1000)/W51</f>
        <v>27261.021505205488</v>
      </c>
      <c r="AC50" s="110"/>
    </row>
    <row r="51" spans="1:29" ht="15.75" x14ac:dyDescent="0.25">
      <c r="A51" s="111" t="s">
        <v>18</v>
      </c>
      <c r="C51" s="112">
        <f>B49+D49</f>
        <v>137873.22849999985</v>
      </c>
      <c r="E51" s="112">
        <f>C49+E49</f>
        <v>15757585.297999991</v>
      </c>
      <c r="G51" s="111" t="s">
        <v>367</v>
      </c>
      <c r="H51" s="215">
        <f>H50/OPDAYS_Cls1</f>
        <v>457.16156702604547</v>
      </c>
      <c r="I51" s="113"/>
      <c r="K51" s="111" t="s">
        <v>18</v>
      </c>
      <c r="M51" s="112">
        <f>+L49+N49</f>
        <v>74071.53689999989</v>
      </c>
      <c r="O51" s="112">
        <f>+M49+O49</f>
        <v>5702382.5209999923</v>
      </c>
      <c r="Q51" s="111" t="s">
        <v>367</v>
      </c>
      <c r="R51" s="215">
        <f>R50/OPDAYS_Cls1</f>
        <v>307.93920362141159</v>
      </c>
      <c r="S51" s="113"/>
      <c r="U51" s="111" t="s">
        <v>18</v>
      </c>
      <c r="W51" s="112">
        <f>+V49+X49</f>
        <v>77549.675199999983</v>
      </c>
      <c r="Y51" s="112">
        <f>W49+Y49</f>
        <v>2114083.3633489003</v>
      </c>
      <c r="AA51" s="111" t="s">
        <v>367</v>
      </c>
      <c r="AB51" s="215">
        <f>AB50/OPDAYS_Cls1</f>
        <v>109.04408602082195</v>
      </c>
      <c r="AC51" s="113"/>
    </row>
    <row r="52" spans="1:29" ht="15.75" x14ac:dyDescent="0.25">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4" thickBot="1" x14ac:dyDescent="0.4">
      <c r="A53" s="71" t="s">
        <v>236</v>
      </c>
      <c r="K53" s="71" t="s">
        <v>237</v>
      </c>
      <c r="L53" s="117"/>
      <c r="M53" s="91"/>
      <c r="U53" s="71" t="s">
        <v>156</v>
      </c>
      <c r="V53" s="117"/>
      <c r="W53" s="91"/>
    </row>
    <row r="54" spans="1:29" s="113" customFormat="1" ht="18.75" customHeight="1" x14ac:dyDescent="0.25">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25.5"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5.75" x14ac:dyDescent="0.25">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5.75" x14ac:dyDescent="0.25">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5.75" x14ac:dyDescent="0.25">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6.5" thickBot="1" x14ac:dyDescent="0.3">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6.5" thickTop="1" x14ac:dyDescent="0.25">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5.75" x14ac:dyDescent="0.25">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5.75" x14ac:dyDescent="0.25">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5.75" x14ac:dyDescent="0.25">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5.75" x14ac:dyDescent="0.25">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6.5" thickBot="1" x14ac:dyDescent="0.3">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6.5" thickTop="1" x14ac:dyDescent="0.25">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5.75" x14ac:dyDescent="0.25">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5.75" x14ac:dyDescent="0.25">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5.75" x14ac:dyDescent="0.25">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5.75" x14ac:dyDescent="0.25">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6.5" thickBot="1" x14ac:dyDescent="0.3">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6.5" thickTop="1" x14ac:dyDescent="0.25">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5.75" x14ac:dyDescent="0.25">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5.75" x14ac:dyDescent="0.25">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5.75" x14ac:dyDescent="0.25">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5.75" x14ac:dyDescent="0.25">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6.5" thickBot="1" x14ac:dyDescent="0.3">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6.5" thickTop="1" x14ac:dyDescent="0.25">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5.75" x14ac:dyDescent="0.25">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5.75" x14ac:dyDescent="0.25">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5.75" x14ac:dyDescent="0.25">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5.75" x14ac:dyDescent="0.25">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6.5" thickBot="1" x14ac:dyDescent="0.3">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6.5" thickTop="1" x14ac:dyDescent="0.25">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5.75" x14ac:dyDescent="0.25">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5.75" x14ac:dyDescent="0.25">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5.75" x14ac:dyDescent="0.25">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5.75" x14ac:dyDescent="0.25">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6.5" thickBot="1" x14ac:dyDescent="0.3">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6.5" thickTop="1" x14ac:dyDescent="0.25">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5.75" x14ac:dyDescent="0.25">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5.75" x14ac:dyDescent="0.25">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5.75" x14ac:dyDescent="0.25">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5.75" x14ac:dyDescent="0.25">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6.5" thickBot="1" x14ac:dyDescent="0.3">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6.5" thickTop="1" x14ac:dyDescent="0.25">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5.75" x14ac:dyDescent="0.25">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5.75" x14ac:dyDescent="0.25">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5.75" x14ac:dyDescent="0.25">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5.75" x14ac:dyDescent="0.25">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6.5" thickBot="1" x14ac:dyDescent="0.3">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6.5" thickTop="1" x14ac:dyDescent="0.25">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5.75" x14ac:dyDescent="0.25">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5.75" x14ac:dyDescent="0.25">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5.75" x14ac:dyDescent="0.25">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5.75" x14ac:dyDescent="0.25">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6.5" thickBot="1" x14ac:dyDescent="0.3">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6.5" thickTop="1" x14ac:dyDescent="0.25">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5.75" x14ac:dyDescent="0.25">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5.75" x14ac:dyDescent="0.25">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5.75" x14ac:dyDescent="0.25">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5.75" x14ac:dyDescent="0.25">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6.5" thickBot="1" x14ac:dyDescent="0.3">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6.5" thickTop="1" x14ac:dyDescent="0.25">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5.75" x14ac:dyDescent="0.25">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5.75" x14ac:dyDescent="0.25">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6.5" thickBot="1" x14ac:dyDescent="0.3">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6.5" thickTop="1" x14ac:dyDescent="0.25">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3.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3.25" x14ac:dyDescent="0.35">
      <c r="A122" s="71" t="s">
        <v>236</v>
      </c>
      <c r="K122" s="71" t="s">
        <v>237</v>
      </c>
      <c r="L122" s="117"/>
      <c r="M122" s="91"/>
      <c r="U122" s="71" t="s">
        <v>156</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47.25" x14ac:dyDescent="0.25">
      <c r="A125" s="148" t="s">
        <v>25</v>
      </c>
      <c r="B125" s="149" t="s">
        <v>26</v>
      </c>
      <c r="C125" s="959" t="s">
        <v>270</v>
      </c>
      <c r="D125" s="149" t="s">
        <v>27</v>
      </c>
      <c r="E125" s="959" t="s">
        <v>271</v>
      </c>
      <c r="F125" s="149" t="s">
        <v>277</v>
      </c>
      <c r="G125" s="149" t="s">
        <v>278</v>
      </c>
      <c r="H125" s="149" t="s">
        <v>279</v>
      </c>
      <c r="I125" s="149" t="s">
        <v>280</v>
      </c>
      <c r="J125" s="150" t="s">
        <v>281</v>
      </c>
      <c r="K125" s="148" t="s">
        <v>25</v>
      </c>
      <c r="L125" s="149" t="s">
        <v>26</v>
      </c>
      <c r="M125" s="959" t="s">
        <v>270</v>
      </c>
      <c r="N125" s="149" t="s">
        <v>27</v>
      </c>
      <c r="O125" s="959" t="s">
        <v>271</v>
      </c>
      <c r="P125" s="149" t="s">
        <v>272</v>
      </c>
      <c r="Q125" s="149" t="s">
        <v>273</v>
      </c>
      <c r="R125" s="149" t="s">
        <v>274</v>
      </c>
      <c r="S125" s="149" t="s">
        <v>275</v>
      </c>
      <c r="T125" s="150" t="s">
        <v>276</v>
      </c>
      <c r="U125" s="148" t="s">
        <v>25</v>
      </c>
      <c r="V125" s="149" t="s">
        <v>26</v>
      </c>
      <c r="W125" s="959" t="s">
        <v>270</v>
      </c>
      <c r="X125" s="149" t="s">
        <v>27</v>
      </c>
      <c r="Y125" s="959" t="s">
        <v>271</v>
      </c>
      <c r="Z125" s="149" t="s">
        <v>157</v>
      </c>
      <c r="AA125" s="149" t="s">
        <v>158</v>
      </c>
      <c r="AB125" s="149" t="s">
        <v>159</v>
      </c>
      <c r="AC125" s="149" t="s">
        <v>160</v>
      </c>
      <c r="AD125" s="150" t="s">
        <v>161</v>
      </c>
    </row>
    <row r="126" spans="1:30" s="155" customFormat="1" ht="18.75" x14ac:dyDescent="0.3">
      <c r="A126" s="151" t="s">
        <v>173</v>
      </c>
      <c r="B126" s="152">
        <f>IF(SUM(B7:B10)=0,1000*($A11+$A7)/2,1000*SUM(C7:C10)/SUM(B7:B10))</f>
        <v>12910.741902308606</v>
      </c>
      <c r="C126" s="956">
        <f t="shared" ref="C126:C136" si="21">B126/OPDAYS_Cls1</f>
        <v>51.642967609234425</v>
      </c>
      <c r="D126" s="152">
        <f>IF(SUM(D7:D10)=0,1000*($A11+$A7)/2,1000*SUM(E7:E10)/SUM(D7:D10))</f>
        <v>11981.137158378011</v>
      </c>
      <c r="E126" s="956">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173</v>
      </c>
      <c r="L126" s="152">
        <f>IF(SUM(L7:L10)=0,1000*($A11+$A7)/2,1000*SUM(M7:M10)/SUM(L7:L10))</f>
        <v>12333.113317998816</v>
      </c>
      <c r="M126" s="956">
        <f t="shared" ref="M126:M136" si="23">L126/OPDAYS_Cls2</f>
        <v>49.332453271995263</v>
      </c>
      <c r="N126" s="152">
        <f>IF(SUM(N7:N10)=0,1000*($A11+$A7)/2,1000*SUM(O7:O10)/SUM(N7:N10))</f>
        <v>13578.656537381032</v>
      </c>
      <c r="O126" s="956">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173</v>
      </c>
      <c r="V126" s="152">
        <f>IF(SUM(V7:V10)=0,1000*($A11+$A7)/2,1000*SUM(W7:W10)/SUM(V7:V10))</f>
        <v>12300.701290506642</v>
      </c>
      <c r="W126" s="956">
        <f t="shared" ref="W126:W136" si="25">V126/OPDAYS_Cls3</f>
        <v>49.202805162026571</v>
      </c>
      <c r="X126" s="152">
        <f>IF(SUM(X7:X10)=0,1000*($A11+$A7)/2,1000*SUM(Y7:Y10)/SUM(X7:X10))</f>
        <v>11455.131977377026</v>
      </c>
      <c r="Y126" s="956">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8.75" x14ac:dyDescent="0.3">
      <c r="A127" s="156" t="s">
        <v>174</v>
      </c>
      <c r="B127" s="157">
        <f>IF(SUM(B11:B14)=0,1000*($A11+$A15)/2,1000*SUM(C11:C14)/SUM(B11:B14))</f>
        <v>27744.333544620586</v>
      </c>
      <c r="C127" s="957">
        <f t="shared" si="21"/>
        <v>110.97733417848234</v>
      </c>
      <c r="D127" s="157">
        <f>IF(SUM(D11:D14)=0,1000*($A11+$A15)/2,1000*SUM(E11:E14)/SUM(D11:D14))</f>
        <v>28140.973034656869</v>
      </c>
      <c r="E127" s="957">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174</v>
      </c>
      <c r="L127" s="157">
        <f>IF(SUM(L11:L14)=0,1000*($A11+$A15)/2,1000*SUM(M11:M14)/SUM(L11:L14))</f>
        <v>30028.602619475849</v>
      </c>
      <c r="M127" s="957">
        <f t="shared" si="23"/>
        <v>120.11441047790339</v>
      </c>
      <c r="N127" s="157">
        <f>IF(SUM(N11:N14)=0,1000*($A11+$A15)/2,1000*SUM(O11:O14)/SUM(N11:N14))</f>
        <v>31655.779111861659</v>
      </c>
      <c r="O127" s="957">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174</v>
      </c>
      <c r="V127" s="157">
        <f>IF(SUM(V11:V14)=0,1000*($A11+$A15)/2,1000*SUM(W11:W14)/SUM(V11:V14))</f>
        <v>28999.059232210555</v>
      </c>
      <c r="W127" s="957">
        <f t="shared" si="25"/>
        <v>115.99623692884222</v>
      </c>
      <c r="X127" s="157">
        <f>IF(SUM(X11:X14)=0,1000*($A11+$A15)/2,1000*SUM(Y11:Y14)/SUM(X11:X14))</f>
        <v>28726.510858795609</v>
      </c>
      <c r="Y127" s="957">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8.75" x14ac:dyDescent="0.3">
      <c r="A128" s="156" t="s">
        <v>175</v>
      </c>
      <c r="B128" s="157">
        <f>IF(SUM(B15:B18)=0,1000*($A15+$A19)/2,1000*SUM(C15:C18)/SUM(B15:B18))</f>
        <v>51100.561458878678</v>
      </c>
      <c r="C128" s="957">
        <f t="shared" si="21"/>
        <v>204.40224583551472</v>
      </c>
      <c r="D128" s="157">
        <f>IF(SUM(D15:D18)=0,1000*($A15+$A19)/2,1000*SUM(E15:E18)/SUM(D15:D18))</f>
        <v>53668.200550595066</v>
      </c>
      <c r="E128" s="957">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175</v>
      </c>
      <c r="L128" s="157">
        <f>IF(SUM(L15:L18)=0,1000*($A15+$A19)/2,1000*SUM(M15:M18)/SUM(L15:L18))</f>
        <v>50247.894924517714</v>
      </c>
      <c r="M128" s="957">
        <f t="shared" si="23"/>
        <v>200.99157969807086</v>
      </c>
      <c r="N128" s="157">
        <f>IF(SUM(N15:N18)=0,1000*($A15+$A19)/2,1000*SUM(O15:O18)/SUM(N15:N18))</f>
        <v>51742.06587894004</v>
      </c>
      <c r="O128" s="957">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175</v>
      </c>
      <c r="V128" s="157">
        <f>IF(SUM(V15:V18)=0,1000*($A15+$A19)/2,1000*SUM(W15:W18)/SUM(V15:V18))</f>
        <v>47735.351895067091</v>
      </c>
      <c r="W128" s="957">
        <f t="shared" si="25"/>
        <v>190.94140758026836</v>
      </c>
      <c r="X128" s="157">
        <f>IF(SUM(X15:X18)=0,1000*($A15+$A19)/2,1000*SUM(Y15:Y18)/SUM(X15:X18))</f>
        <v>49073.514839852294</v>
      </c>
      <c r="Y128" s="957">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8.75" x14ac:dyDescent="0.3">
      <c r="A129" s="156" t="s">
        <v>176</v>
      </c>
      <c r="B129" s="157">
        <f>IF(SUM(B19:B22)=0,1000*($A19+$A23)/2,1000*SUM(C19:C22)/SUM(B19:B22))</f>
        <v>72561.526432118029</v>
      </c>
      <c r="C129" s="957">
        <f t="shared" si="21"/>
        <v>290.24610572847212</v>
      </c>
      <c r="D129" s="157">
        <f>IF(SUM(D19:D22)=0,1000*($A19+$A23)/2,1000*SUM(E19:E22)/SUM(D19:D22))</f>
        <v>72075.466860657005</v>
      </c>
      <c r="E129" s="957">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176</v>
      </c>
      <c r="L129" s="157">
        <f>IF(SUM(L19:L22)=0,1000*($A19+$A23)/2,1000*SUM(M19:M22)/SUM(L19:L22))</f>
        <v>70246.053560314816</v>
      </c>
      <c r="M129" s="957">
        <f t="shared" si="23"/>
        <v>280.98421424125928</v>
      </c>
      <c r="N129" s="157">
        <f>IF(SUM(N19:N22)=0,1000*($A19+$A23)/2,1000*SUM(O19:O22)/SUM(N19:N22))</f>
        <v>71616.500328747949</v>
      </c>
      <c r="O129" s="957">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176</v>
      </c>
      <c r="V129" s="157">
        <f>IF(SUM(V19:V22)=0,1000*($A19+$A23)/2,1000*SUM(W19:W22)/SUM(V19:V22))</f>
        <v>70682.061428958856</v>
      </c>
      <c r="W129" s="957">
        <f t="shared" si="25"/>
        <v>282.72824571583544</v>
      </c>
      <c r="X129" s="157">
        <f>IF(SUM(X19:X22)=0,1000*($A19+$A23)/2,1000*SUM(Y19:Y22)/SUM(X19:X22))</f>
        <v>71616.08895539795</v>
      </c>
      <c r="Y129" s="957">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8.75" x14ac:dyDescent="0.3">
      <c r="A130" s="156" t="s">
        <v>177</v>
      </c>
      <c r="B130" s="157">
        <f>IF(SUM(B23:B26)=0,1000*($A23+$A27)/2,1000*SUM(C23:C26)/SUM(B23:B26))</f>
        <v>91189.376048162099</v>
      </c>
      <c r="C130" s="957">
        <f t="shared" si="21"/>
        <v>364.75750419264841</v>
      </c>
      <c r="D130" s="157">
        <f>IF(SUM(D23:D26)=0,1000*($A23+$A27)/2,1000*SUM(E23:E26)/SUM(D23:D26))</f>
        <v>92150.223026373118</v>
      </c>
      <c r="E130" s="957">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177</v>
      </c>
      <c r="L130" s="157">
        <f>IF(SUM(L23:L26)=0,1000*($A23+$A27)/2,1000*SUM(M23:M26)/SUM(L23:L26))</f>
        <v>89551.611312238136</v>
      </c>
      <c r="M130" s="957">
        <f t="shared" si="23"/>
        <v>358.20644524895255</v>
      </c>
      <c r="N130" s="157">
        <f>IF(SUM(N23:N26)=0,1000*($A23+$A27)/2,1000*SUM(O23:O26)/SUM(N23:N26))</f>
        <v>89740.972704267871</v>
      </c>
      <c r="O130" s="957">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177</v>
      </c>
      <c r="V130" s="157">
        <f>IF(SUM(V23:V26)=0,1000*($A23+$A27)/2,1000*SUM(W23:W26)/SUM(V23:V26))</f>
        <v>87276.442894282722</v>
      </c>
      <c r="W130" s="957">
        <f t="shared" si="25"/>
        <v>349.10577157713089</v>
      </c>
      <c r="X130" s="157">
        <f>IF(SUM(X23:X26)=0,1000*($A23+$A27)/2,1000*SUM(Y23:Y26)/SUM(X23:X26))</f>
        <v>88060.84854827018</v>
      </c>
      <c r="Y130" s="957">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8.75" x14ac:dyDescent="0.3">
      <c r="A131" s="156" t="s">
        <v>178</v>
      </c>
      <c r="B131" s="157">
        <f>IF(SUM(B27:B30)=0,1000*($A27+$A31)/2,1000*SUM(C27:C30)/SUM(B27:B30))</f>
        <v>110907.81722277345</v>
      </c>
      <c r="C131" s="957">
        <f t="shared" si="21"/>
        <v>443.63126889109378</v>
      </c>
      <c r="D131" s="157">
        <f>IF(SUM(D27:D30)=0,1000*($A27+$A31)/2,1000*SUM(E27:E30)/SUM(D27:D30))</f>
        <v>111828.89697483131</v>
      </c>
      <c r="E131" s="957">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178</v>
      </c>
      <c r="L131" s="157">
        <f>IF(SUM(L27:L30)=0,1000*($A27+$A31)/2,1000*SUM(M27:M30)/SUM(L27:L30))</f>
        <v>108207.01367942672</v>
      </c>
      <c r="M131" s="957">
        <f t="shared" si="23"/>
        <v>432.82805471770689</v>
      </c>
      <c r="N131" s="157">
        <f>IF(SUM(N27:N30)=0,1000*($A27+$A31)/2,1000*SUM(O27:O30)/SUM(N27:N30))</f>
        <v>112638.86454910832</v>
      </c>
      <c r="O131" s="957">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178</v>
      </c>
      <c r="V131" s="157">
        <f>IF(SUM(V27:V30)=0,1000*($A27+$A31)/2,1000*SUM(W27:W30)/SUM(V27:V30))</f>
        <v>102231</v>
      </c>
      <c r="W131" s="957">
        <f t="shared" si="25"/>
        <v>408.92399999999998</v>
      </c>
      <c r="X131" s="157">
        <f>IF(SUM(X27:X30)=0,1000*($A27+$A31)/2,1000*SUM(Y27:Y30)/SUM(X27:X30))</f>
        <v>106769.51106158529</v>
      </c>
      <c r="Y131" s="957">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8.75" x14ac:dyDescent="0.3">
      <c r="A132" s="156" t="s">
        <v>179</v>
      </c>
      <c r="B132" s="157">
        <f>IF(SUM(B31:B34)=0,1000*($A31+$A35)/2,1000*SUM(C31:C34)/SUM(B31:B34))</f>
        <v>126695.33557343495</v>
      </c>
      <c r="C132" s="957">
        <f t="shared" si="21"/>
        <v>506.78134229373978</v>
      </c>
      <c r="D132" s="157">
        <f>IF(SUM(D31:D34)=0,1000*($A31+$A35)/2,1000*SUM(E31:E34)/SUM(D31:D34))</f>
        <v>127822.07987524466</v>
      </c>
      <c r="E132" s="957">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179</v>
      </c>
      <c r="L132" s="157">
        <f>IF(SUM(L31:L34)=0,1000*($A31+$A35)/2,1000*SUM(M31:M34)/SUM(L31:L34))</f>
        <v>129276.53779524955</v>
      </c>
      <c r="M132" s="957">
        <f t="shared" si="23"/>
        <v>517.10615118099815</v>
      </c>
      <c r="N132" s="157">
        <f>IF(SUM(N31:N34)=0,1000*($A31+$A35)/2,1000*SUM(O31:O34)/SUM(N31:N34))</f>
        <v>127982.74620603543</v>
      </c>
      <c r="O132" s="957">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179</v>
      </c>
      <c r="V132" s="157">
        <f>IF(SUM(V31:V34)=0,1000*($A31+$A35)/2,1000*SUM(W31:W34)/SUM(V31:V34))</f>
        <v>135079.81709212752</v>
      </c>
      <c r="W132" s="957">
        <f t="shared" si="25"/>
        <v>540.31926836851005</v>
      </c>
      <c r="X132" s="157">
        <f>IF(SUM(X31:X34)=0,1000*($A31+$A35)/2,1000*SUM(Y31:Y34)/SUM(X31:X34))</f>
        <v>129899.70060269146</v>
      </c>
      <c r="Y132" s="957">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8.75" x14ac:dyDescent="0.3">
      <c r="A133" s="156" t="s">
        <v>180</v>
      </c>
      <c r="B133" s="157">
        <f>IF(SUM(B35:B38)=0,1000*($A35+$A39)/2,1000*SUM(C35:C38)/SUM(B35:B38))</f>
        <v>148928.20853402285</v>
      </c>
      <c r="C133" s="957">
        <f t="shared" si="21"/>
        <v>595.71283413609137</v>
      </c>
      <c r="D133" s="157">
        <f>IF(SUM(D35:D38)=0,1000*($A35+$A39)/2,1000*SUM(E35:E38)/SUM(D35:D38))</f>
        <v>148934.3166459057</v>
      </c>
      <c r="E133" s="957">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180</v>
      </c>
      <c r="L133" s="157">
        <f>IF(SUM(L35:L38)=0,1000*($A35+$A39)/2,1000*SUM(M35:M38)/SUM(L35:L38))</f>
        <v>149452.17659597393</v>
      </c>
      <c r="M133" s="957">
        <f t="shared" si="23"/>
        <v>597.8087063838957</v>
      </c>
      <c r="N133" s="157">
        <f>IF(SUM(N35:N38)=0,1000*($A35+$A39)/2,1000*SUM(O35:O38)/SUM(N35:N38))</f>
        <v>144807.33408023277</v>
      </c>
      <c r="O133" s="957">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180</v>
      </c>
      <c r="V133" s="157">
        <f>IF(SUM(V35:V38)=0,1000*($A35+$A39)/2,1000*SUM(W35:W38)/SUM(V35:V38))</f>
        <v>150000</v>
      </c>
      <c r="W133" s="957">
        <f t="shared" si="25"/>
        <v>600</v>
      </c>
      <c r="X133" s="157">
        <f>IF(SUM(X35:X38)=0,1000*($A35+$A39)/2,1000*SUM(Y35:Y38)/SUM(X35:X38))</f>
        <v>152108.66705176356</v>
      </c>
      <c r="Y133" s="957">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8.75" x14ac:dyDescent="0.3">
      <c r="A134" s="156" t="s">
        <v>181</v>
      </c>
      <c r="B134" s="157">
        <f>IF(SUM(B39:B42)=0,1000*($A39+$A43)/2,1000*SUM(C39:C42)/SUM(B39:B42))</f>
        <v>170557.72479022425</v>
      </c>
      <c r="C134" s="957">
        <f t="shared" si="21"/>
        <v>682.23089916089702</v>
      </c>
      <c r="D134" s="157">
        <f>IF(SUM(D39:D42)=0,1000*($A39+$A43)/2,1000*SUM(E39:E42)/SUM(D39:D42))</f>
        <v>168027.74798810174</v>
      </c>
      <c r="E134" s="957">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181</v>
      </c>
      <c r="L134" s="157">
        <f>IF(SUM(L39:L42)=0,1000*($A39+$A43)/2,1000*SUM(M39:M42)/SUM(L39:L42))</f>
        <v>169233.54852390054</v>
      </c>
      <c r="M134" s="957">
        <f t="shared" si="23"/>
        <v>676.93419409560215</v>
      </c>
      <c r="N134" s="157">
        <f>IF(SUM(N39:N42)=0,1000*($A39+$A43)/2,1000*SUM(O39:O42)/SUM(N39:N42))</f>
        <v>173814.16392403719</v>
      </c>
      <c r="O134" s="957">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181</v>
      </c>
      <c r="V134" s="157">
        <f>IF(SUM(V39:V42)=0,1000*($A39+$A43)/2,1000*SUM(W39:W42)/SUM(V39:V42))</f>
        <v>170000</v>
      </c>
      <c r="W134" s="957">
        <f t="shared" si="25"/>
        <v>680</v>
      </c>
      <c r="X134" s="157">
        <f>IF(SUM(X39:X42)=0,1000*($A39+$A43)/2,1000*SUM(Y39:Y42)/SUM(X39:X42))</f>
        <v>175800</v>
      </c>
      <c r="Y134" s="957">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8.75" x14ac:dyDescent="0.3">
      <c r="A135" s="156" t="s">
        <v>182</v>
      </c>
      <c r="B135" s="157">
        <f>IF(SUM(B43:B46)=0,1000*($A43+$A47)/2,1000*SUM(C43:C46)/SUM(B43:B46))</f>
        <v>191316.0970688317</v>
      </c>
      <c r="C135" s="957">
        <f t="shared" si="21"/>
        <v>765.26438827532684</v>
      </c>
      <c r="D135" s="157">
        <f>IF(SUM(D43:D46)=0,1000*($A43+$A47)/2,1000*SUM(E43:E46)/SUM(D43:D46))</f>
        <v>189269.82544746815</v>
      </c>
      <c r="E135" s="957">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182</v>
      </c>
      <c r="L135" s="157">
        <f>IF(SUM(L43:L46)=0,1000*($A43+$A47)/2,1000*SUM(M43:M46)/SUM(L43:L46))</f>
        <v>186705.61306581408</v>
      </c>
      <c r="M135" s="957">
        <f t="shared" si="23"/>
        <v>746.82245226325631</v>
      </c>
      <c r="N135" s="157">
        <f>IF(SUM(N43:N46)=0,1000*($A43+$A47)/2,1000*SUM(O43:O46)/SUM(N43:N46))</f>
        <v>189951.70582690198</v>
      </c>
      <c r="O135" s="957">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182</v>
      </c>
      <c r="V135" s="157">
        <f>IF(SUM(V43:V46)=0,1000*($A43+$A47)/2,1000*SUM(W43:W46)/SUM(V43:V46))</f>
        <v>200000.00000000003</v>
      </c>
      <c r="W135" s="957">
        <f t="shared" si="25"/>
        <v>800.00000000000011</v>
      </c>
      <c r="X135" s="157">
        <f>IF(SUM(X43:X46)=0,1000*($A43+$A47)/2,1000*SUM(Y43:Y46)/SUM(X43:X46))</f>
        <v>190000</v>
      </c>
      <c r="Y135" s="957">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19.5" thickBot="1" x14ac:dyDescent="0.35">
      <c r="A136" s="160" t="s">
        <v>183</v>
      </c>
      <c r="B136" s="161">
        <f>IF(B47=0,200000,1000*C47/B47)</f>
        <v>242569.67756827583</v>
      </c>
      <c r="C136" s="958">
        <f t="shared" si="21"/>
        <v>970.27871027310334</v>
      </c>
      <c r="D136" s="161">
        <f>IF(D47=0,200000,1000*E47/D47)</f>
        <v>224042.00197938742</v>
      </c>
      <c r="E136" s="958">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183</v>
      </c>
      <c r="L136" s="161">
        <f>IF(L47=0,200000,1000*M47/L47)</f>
        <v>223982.06595211086</v>
      </c>
      <c r="M136" s="958">
        <f t="shared" si="23"/>
        <v>895.92826380844349</v>
      </c>
      <c r="N136" s="161">
        <f>IF(N47=0,200000,1000*O47/N47)</f>
        <v>220702.9179341534</v>
      </c>
      <c r="O136" s="958">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183</v>
      </c>
      <c r="V136" s="161">
        <f>IF(V47=0,200000,1000*W47/V47)</f>
        <v>200000</v>
      </c>
      <c r="W136" s="958">
        <f t="shared" si="25"/>
        <v>800</v>
      </c>
      <c r="X136" s="161">
        <f>IF(X47=0,200000,1000*Y47/X47)</f>
        <v>225000</v>
      </c>
      <c r="Y136" s="958">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6.5" thickTop="1" x14ac:dyDescent="0.25">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3.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45">
      <c r="J139" s="170" t="s">
        <v>40</v>
      </c>
      <c r="K139" s="1631"/>
      <c r="L139" s="1632"/>
      <c r="M139" s="1635" t="s">
        <v>41</v>
      </c>
      <c r="N139" s="1636"/>
      <c r="O139" s="1636"/>
      <c r="P139" s="1636"/>
      <c r="Q139" s="1636"/>
      <c r="R139" s="1636"/>
      <c r="S139" s="1636"/>
      <c r="T139" s="1637"/>
    </row>
    <row r="140" spans="1:30" s="171" customFormat="1" ht="54" customHeight="1" thickBot="1" x14ac:dyDescent="0.45">
      <c r="B140" s="1638" t="s">
        <v>42</v>
      </c>
      <c r="C140" s="1639"/>
      <c r="D140" s="173" t="s">
        <v>10</v>
      </c>
      <c r="E140" s="174" t="s">
        <v>43</v>
      </c>
      <c r="F140" s="174" t="s">
        <v>44</v>
      </c>
      <c r="G140" s="174" t="s">
        <v>45</v>
      </c>
      <c r="H140" s="175" t="s">
        <v>46</v>
      </c>
      <c r="I140" s="176"/>
      <c r="J140" s="51"/>
      <c r="K140" s="1633"/>
      <c r="L140" s="1634"/>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5.75" x14ac:dyDescent="0.25">
      <c r="B141" s="180"/>
      <c r="C141" s="181" t="s">
        <v>162</v>
      </c>
      <c r="D141" s="182">
        <f>+B49</f>
        <v>32726.047499999982</v>
      </c>
      <c r="E141" s="183">
        <f>+D141/$D$153</f>
        <v>0.11304551283324372</v>
      </c>
      <c r="F141" s="182">
        <f>+C49</f>
        <v>3630255.7699999958</v>
      </c>
      <c r="G141" s="184">
        <f>IF(F141=0,0,+F141/D141)</f>
        <v>110.92863475187457</v>
      </c>
      <c r="H141" s="185"/>
      <c r="I141" s="186"/>
      <c r="J141" s="48"/>
      <c r="K141" s="1640"/>
      <c r="L141" s="1641"/>
      <c r="M141" s="1642">
        <v>2007</v>
      </c>
      <c r="N141" s="1643"/>
      <c r="O141" s="1642">
        <v>2010</v>
      </c>
      <c r="P141" s="1643"/>
      <c r="Q141" s="1642">
        <v>2015</v>
      </c>
      <c r="R141" s="1643"/>
      <c r="S141" s="1642">
        <v>2020</v>
      </c>
      <c r="T141" s="1643"/>
    </row>
    <row r="142" spans="1:30" s="115" customFormat="1" ht="16.5" thickBot="1" x14ac:dyDescent="0.3">
      <c r="B142" s="410"/>
      <c r="C142" s="187" t="s">
        <v>163</v>
      </c>
      <c r="D142" s="188">
        <f>+D49</f>
        <v>105147.18099999987</v>
      </c>
      <c r="E142" s="189">
        <f>+D142/$D$153</f>
        <v>0.36320967263507431</v>
      </c>
      <c r="F142" s="188">
        <f>+E49</f>
        <v>12127329.527999995</v>
      </c>
      <c r="G142" s="190">
        <f>IF(F142=0,0,+F142/D142)</f>
        <v>115.33670624988045</v>
      </c>
      <c r="H142" s="191"/>
      <c r="I142" s="186"/>
      <c r="J142" s="48"/>
      <c r="K142" s="1646" t="s">
        <v>164</v>
      </c>
      <c r="L142" s="1647"/>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7.25" thickTop="1" thickBot="1" x14ac:dyDescent="0.3">
      <c r="B143" s="1644" t="s">
        <v>164</v>
      </c>
      <c r="C143" s="1645"/>
      <c r="D143" s="192">
        <f>+D142+D141</f>
        <v>137873.22849999985</v>
      </c>
      <c r="E143" s="193">
        <f>+D143/$D$153</f>
        <v>0.47625518546831802</v>
      </c>
      <c r="F143" s="192">
        <f>+F141+F142</f>
        <v>15757585.297999991</v>
      </c>
      <c r="G143" s="194">
        <f>IF(F143=0,0,+F143/D143)</f>
        <v>114.29039175651137</v>
      </c>
      <c r="H143" s="195">
        <f>F143/F153</f>
        <v>0.66842924773992651</v>
      </c>
      <c r="I143" s="196"/>
      <c r="J143" s="48"/>
      <c r="K143" s="1646" t="s">
        <v>167</v>
      </c>
      <c r="L143" s="1647"/>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6.5" thickBot="1" x14ac:dyDescent="0.3">
      <c r="B144" s="197"/>
      <c r="C144" s="198"/>
      <c r="D144" s="199"/>
      <c r="E144" s="200"/>
      <c r="F144" s="199"/>
      <c r="G144" s="201"/>
      <c r="H144" s="202"/>
      <c r="I144" s="196"/>
      <c r="J144" s="48"/>
      <c r="K144" s="1648" t="s">
        <v>170</v>
      </c>
      <c r="L144" s="1649"/>
      <c r="M144" s="203">
        <v>0</v>
      </c>
      <c r="N144" s="414">
        <v>0</v>
      </c>
      <c r="O144" s="203">
        <v>0</v>
      </c>
      <c r="P144" s="414">
        <v>0</v>
      </c>
      <c r="Q144" s="203">
        <v>0</v>
      </c>
      <c r="R144" s="414">
        <v>0</v>
      </c>
      <c r="S144" s="203">
        <v>0</v>
      </c>
      <c r="T144" s="414">
        <v>0</v>
      </c>
    </row>
    <row r="145" spans="2:30" s="115" customFormat="1" ht="16.5" thickBot="1" x14ac:dyDescent="0.3">
      <c r="B145" s="204"/>
      <c r="C145" s="411" t="s">
        <v>165</v>
      </c>
      <c r="D145" s="192">
        <f>+L49</f>
        <v>43665.595499999908</v>
      </c>
      <c r="E145" s="193">
        <f>+D145/$D$153</f>
        <v>0.15083396907208155</v>
      </c>
      <c r="F145" s="192">
        <f>+M49</f>
        <v>3504237.7709999941</v>
      </c>
      <c r="G145" s="194">
        <f>IF(F145=0,0,+F145/D145)</f>
        <v>80.251688563367964</v>
      </c>
      <c r="H145" s="205"/>
      <c r="I145" s="186"/>
      <c r="J145" s="48"/>
      <c r="K145" s="1650" t="s">
        <v>49</v>
      </c>
      <c r="L145" s="1651"/>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6.5" thickBot="1" x14ac:dyDescent="0.3">
      <c r="B146" s="410"/>
      <c r="C146" s="187" t="s">
        <v>166</v>
      </c>
      <c r="D146" s="188">
        <f>+N49</f>
        <v>30405.941399999985</v>
      </c>
      <c r="E146" s="189">
        <f>+D146/$D$153</f>
        <v>0.10503117551059463</v>
      </c>
      <c r="F146" s="188">
        <f>+O49</f>
        <v>2198144.7499999986</v>
      </c>
      <c r="G146" s="190">
        <f>IF(F146=0,0,+F146/D146)</f>
        <v>72.293264039507747</v>
      </c>
      <c r="H146" s="191"/>
      <c r="I146" s="186"/>
      <c r="J146" s="48"/>
      <c r="K146" s="1653"/>
      <c r="L146" s="1654"/>
      <c r="M146" s="1642">
        <v>2025</v>
      </c>
      <c r="N146" s="1652"/>
      <c r="O146" s="1642">
        <v>2030</v>
      </c>
      <c r="P146" s="1643"/>
      <c r="Q146" s="1642">
        <v>2035</v>
      </c>
      <c r="R146" s="1643"/>
      <c r="S146" s="1642">
        <v>2040</v>
      </c>
      <c r="T146" s="1643"/>
    </row>
    <row r="147" spans="2:30" s="115" customFormat="1" ht="17.25" thickTop="1" thickBot="1" x14ac:dyDescent="0.3">
      <c r="B147" s="1644" t="s">
        <v>167</v>
      </c>
      <c r="C147" s="1645"/>
      <c r="D147" s="192">
        <f>+D146+D145</f>
        <v>74071.53689999989</v>
      </c>
      <c r="E147" s="193">
        <f>+D147/$D$153</f>
        <v>0.25586514458267617</v>
      </c>
      <c r="F147" s="192">
        <f>+F146+F145</f>
        <v>5702382.5209999923</v>
      </c>
      <c r="G147" s="194">
        <f>IF(F147=0,0,+F147/D147)</f>
        <v>76.984800905352898</v>
      </c>
      <c r="H147" s="195">
        <f>F147/F153</f>
        <v>0.24189234497249509</v>
      </c>
      <c r="I147" s="196"/>
      <c r="J147" s="48"/>
      <c r="K147" s="1646" t="s">
        <v>164</v>
      </c>
      <c r="L147" s="1647"/>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6.5" thickBot="1" x14ac:dyDescent="0.3">
      <c r="B148" s="197"/>
      <c r="C148" s="198"/>
      <c r="D148" s="199"/>
      <c r="E148" s="200"/>
      <c r="F148" s="199"/>
      <c r="G148" s="201"/>
      <c r="H148" s="202"/>
      <c r="I148" s="196"/>
      <c r="J148" s="48"/>
      <c r="K148" s="1646" t="s">
        <v>167</v>
      </c>
      <c r="L148" s="1647"/>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6.5" thickBot="1" x14ac:dyDescent="0.3">
      <c r="B149" s="204"/>
      <c r="C149" s="411" t="s">
        <v>168</v>
      </c>
      <c r="D149" s="192">
        <f>+V49</f>
        <v>29850.964499999998</v>
      </c>
      <c r="E149" s="193">
        <f>+D149/$D$153</f>
        <v>0.10311412004365801</v>
      </c>
      <c r="F149" s="192">
        <f>+W49</f>
        <v>844213.30735720019</v>
      </c>
      <c r="G149" s="194">
        <f>IF(F149=0,0,+F149/D149)</f>
        <v>28.280939041591111</v>
      </c>
      <c r="H149" s="205"/>
      <c r="I149" s="186"/>
      <c r="J149" s="48"/>
      <c r="K149" s="1648" t="s">
        <v>170</v>
      </c>
      <c r="L149" s="1649"/>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7.25" thickTop="1" thickBot="1" x14ac:dyDescent="0.3">
      <c r="B150" s="410"/>
      <c r="C150" s="187" t="s">
        <v>169</v>
      </c>
      <c r="D150" s="188">
        <f>+X49</f>
        <v>47698.710699999989</v>
      </c>
      <c r="E150" s="189">
        <f>+D150/$D$153</f>
        <v>0.16476554990534775</v>
      </c>
      <c r="F150" s="208">
        <f>+Y49</f>
        <v>1269870.0559916999</v>
      </c>
      <c r="G150" s="190">
        <f>IF(F150=0,0,+F150/D150)</f>
        <v>26.622733347626944</v>
      </c>
      <c r="H150" s="191"/>
      <c r="I150" s="186"/>
      <c r="J150" s="48"/>
      <c r="K150" s="1650" t="s">
        <v>49</v>
      </c>
      <c r="L150" s="1651"/>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7.25" thickTop="1" thickBot="1" x14ac:dyDescent="0.3">
      <c r="B151" s="1644" t="s">
        <v>170</v>
      </c>
      <c r="C151" s="1645"/>
      <c r="D151" s="192">
        <f>+D150+D149</f>
        <v>77549.675199999983</v>
      </c>
      <c r="E151" s="193">
        <f>+D151/$D$153</f>
        <v>0.26787966994900575</v>
      </c>
      <c r="F151" s="192">
        <f>+F149+F150</f>
        <v>2114083.3633489003</v>
      </c>
      <c r="G151" s="194">
        <f>IF(F151=0,0,+F151/D151)</f>
        <v>27.261021505205488</v>
      </c>
      <c r="H151" s="195">
        <f>F151/F153</f>
        <v>8.967840728757831E-2</v>
      </c>
      <c r="I151" s="196"/>
      <c r="J151" s="48"/>
      <c r="K151" s="1653"/>
      <c r="L151" s="1654"/>
      <c r="M151" s="1642">
        <v>2045</v>
      </c>
      <c r="N151" s="1652"/>
      <c r="O151" s="1642">
        <v>2050</v>
      </c>
      <c r="P151" s="1652"/>
      <c r="Q151" s="48"/>
      <c r="R151" s="48"/>
      <c r="S151" s="48"/>
      <c r="T151" s="48"/>
      <c r="U151" s="48"/>
      <c r="V151" s="48"/>
      <c r="W151" s="48"/>
      <c r="X151" s="48"/>
      <c r="Y151" s="48"/>
      <c r="Z151" s="48"/>
      <c r="AA151" s="48"/>
      <c r="AB151" s="48"/>
      <c r="AC151" s="48"/>
      <c r="AD151" s="48"/>
    </row>
    <row r="152" spans="2:30" s="115" customFormat="1" ht="16.5" thickBot="1" x14ac:dyDescent="0.3">
      <c r="B152" s="197"/>
      <c r="C152" s="198"/>
      <c r="D152" s="199"/>
      <c r="E152" s="200"/>
      <c r="F152" s="199"/>
      <c r="G152" s="201"/>
      <c r="H152" s="202"/>
      <c r="I152" s="196"/>
      <c r="J152" s="48"/>
      <c r="K152" s="1646" t="s">
        <v>164</v>
      </c>
      <c r="L152" s="1647"/>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6.5" thickBot="1" x14ac:dyDescent="0.3">
      <c r="B153" s="1655" t="s">
        <v>49</v>
      </c>
      <c r="C153" s="1656"/>
      <c r="D153" s="209">
        <f>D143+D147+D151</f>
        <v>289494.44059999974</v>
      </c>
      <c r="E153" s="210">
        <f>+D153/$D$153</f>
        <v>1</v>
      </c>
      <c r="F153" s="209">
        <f>F143+F147+F151</f>
        <v>23574051.182348885</v>
      </c>
      <c r="G153" s="211">
        <f>IF(F153=0,0,+F153/D153)</f>
        <v>81.431792380847909</v>
      </c>
      <c r="H153" s="212">
        <f>SUM(H143:H152)</f>
        <v>1</v>
      </c>
      <c r="I153" s="213"/>
      <c r="J153" s="48"/>
      <c r="K153" s="1646" t="s">
        <v>167</v>
      </c>
      <c r="L153" s="1647"/>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6.5" thickBot="1" x14ac:dyDescent="0.3">
      <c r="G154" s="215"/>
      <c r="J154" s="48"/>
      <c r="K154" s="1648" t="s">
        <v>170</v>
      </c>
      <c r="L154" s="1649"/>
      <c r="M154" s="203">
        <v>0</v>
      </c>
      <c r="N154" s="414">
        <v>0</v>
      </c>
      <c r="O154" s="203"/>
      <c r="P154" s="414">
        <v>0</v>
      </c>
      <c r="Q154" s="48"/>
      <c r="R154" s="48"/>
      <c r="S154" s="48"/>
      <c r="T154" s="48"/>
      <c r="U154" s="48"/>
      <c r="V154" s="48"/>
      <c r="W154" s="48"/>
      <c r="X154" s="48"/>
      <c r="Y154" s="48"/>
      <c r="Z154" s="48"/>
      <c r="AA154" s="48"/>
      <c r="AB154" s="48"/>
      <c r="AC154" s="48"/>
      <c r="AD154" s="48"/>
    </row>
    <row r="155" spans="2:30" ht="17.25" thickTop="1" thickBot="1" x14ac:dyDescent="0.3">
      <c r="K155" s="1650" t="s">
        <v>49</v>
      </c>
      <c r="L155" s="1651"/>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389">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391" t="s">
        <v>365</v>
      </c>
      <c r="D11" s="392" t="s">
        <v>110</v>
      </c>
      <c r="E11" s="393" t="s">
        <v>111</v>
      </c>
      <c r="F11" s="393" t="s">
        <v>116</v>
      </c>
      <c r="G11" s="13" t="s">
        <v>64</v>
      </c>
    </row>
    <row r="12" spans="1:12" x14ac:dyDescent="0.25">
      <c r="B12" s="18">
        <v>0</v>
      </c>
      <c r="C12" s="391"/>
      <c r="D12" s="394">
        <f t="shared" ref="D12:G31" si="0">IF($B12&lt;D$8,1,1-WEIBULL(($B12/12)-D$8/12,D$9,D$10,1))</f>
        <v>1</v>
      </c>
      <c r="E12" s="395">
        <f t="shared" si="0"/>
        <v>1</v>
      </c>
      <c r="F12" s="395">
        <f t="shared" si="0"/>
        <v>1</v>
      </c>
      <c r="G12" s="21">
        <f t="shared" si="0"/>
        <v>1</v>
      </c>
    </row>
    <row r="13" spans="1:12" x14ac:dyDescent="0.25">
      <c r="B13" s="18">
        <v>1</v>
      </c>
      <c r="C13" s="391"/>
      <c r="D13" s="394">
        <f t="shared" si="0"/>
        <v>1</v>
      </c>
      <c r="E13" s="395">
        <f t="shared" si="0"/>
        <v>1</v>
      </c>
      <c r="F13" s="395">
        <f t="shared" si="0"/>
        <v>0.99511353784223089</v>
      </c>
      <c r="G13" s="21">
        <f t="shared" si="0"/>
        <v>1</v>
      </c>
    </row>
    <row r="14" spans="1:12" x14ac:dyDescent="0.25">
      <c r="B14" s="18">
        <v>2</v>
      </c>
      <c r="C14" s="391"/>
      <c r="D14" s="394">
        <f t="shared" si="0"/>
        <v>1</v>
      </c>
      <c r="E14" s="395">
        <f t="shared" si="0"/>
        <v>1</v>
      </c>
      <c r="F14" s="395">
        <f t="shared" si="0"/>
        <v>0.98308729447888632</v>
      </c>
      <c r="G14" s="21">
        <f t="shared" si="0"/>
        <v>1</v>
      </c>
    </row>
    <row r="15" spans="1:12" x14ac:dyDescent="0.25">
      <c r="B15" s="18">
        <v>3</v>
      </c>
      <c r="C15" s="391"/>
      <c r="D15" s="394">
        <f t="shared" si="0"/>
        <v>1</v>
      </c>
      <c r="E15" s="395">
        <f t="shared" si="0"/>
        <v>1</v>
      </c>
      <c r="F15" s="395">
        <f t="shared" si="0"/>
        <v>0.96522925875930121</v>
      </c>
      <c r="G15" s="21">
        <f t="shared" si="0"/>
        <v>1</v>
      </c>
    </row>
    <row r="16" spans="1:12" x14ac:dyDescent="0.25">
      <c r="B16" s="18">
        <v>4</v>
      </c>
      <c r="C16" s="391"/>
      <c r="D16" s="394">
        <f t="shared" si="0"/>
        <v>1</v>
      </c>
      <c r="E16" s="395">
        <f t="shared" si="0"/>
        <v>1</v>
      </c>
      <c r="F16" s="395">
        <f t="shared" si="0"/>
        <v>0.94233242615650892</v>
      </c>
      <c r="G16" s="21">
        <f t="shared" si="0"/>
        <v>0.99451324807130903</v>
      </c>
    </row>
    <row r="17" spans="2:7" x14ac:dyDescent="0.25">
      <c r="B17" s="18">
        <v>5</v>
      </c>
      <c r="C17" s="391"/>
      <c r="D17" s="394">
        <f t="shared" si="0"/>
        <v>1</v>
      </c>
      <c r="E17" s="395">
        <f t="shared" si="0"/>
        <v>1</v>
      </c>
      <c r="F17" s="395">
        <f t="shared" si="0"/>
        <v>0.91506768709608055</v>
      </c>
      <c r="G17" s="21">
        <f t="shared" si="0"/>
        <v>0.98102377196290125</v>
      </c>
    </row>
    <row r="18" spans="2:7" x14ac:dyDescent="0.25">
      <c r="B18" s="18">
        <v>6</v>
      </c>
      <c r="C18" s="391"/>
      <c r="D18" s="394">
        <f t="shared" si="0"/>
        <v>1</v>
      </c>
      <c r="E18" s="394">
        <f t="shared" si="0"/>
        <v>1</v>
      </c>
      <c r="F18" s="395">
        <f t="shared" si="0"/>
        <v>0.88405689607151994</v>
      </c>
      <c r="G18" s="21">
        <f t="shared" si="0"/>
        <v>0.9610304919278353</v>
      </c>
    </row>
    <row r="19" spans="2:7" x14ac:dyDescent="0.25">
      <c r="B19" s="18">
        <v>7</v>
      </c>
      <c r="C19" s="391"/>
      <c r="D19" s="394">
        <f t="shared" si="0"/>
        <v>1</v>
      </c>
      <c r="E19" s="395">
        <f t="shared" si="0"/>
        <v>0.99672728540702971</v>
      </c>
      <c r="F19" s="395">
        <f t="shared" si="0"/>
        <v>0.849894901833256</v>
      </c>
      <c r="G19" s="21">
        <f t="shared" si="0"/>
        <v>0.93546263434260146</v>
      </c>
    </row>
    <row r="20" spans="2:7" x14ac:dyDescent="0.25">
      <c r="B20" s="18">
        <v>8</v>
      </c>
      <c r="C20" s="391"/>
      <c r="D20" s="394">
        <f t="shared" si="0"/>
        <v>1</v>
      </c>
      <c r="E20" s="395">
        <f t="shared" si="0"/>
        <v>0.98864996001381644</v>
      </c>
      <c r="F20" s="395">
        <f t="shared" si="0"/>
        <v>0.8131554612767673</v>
      </c>
      <c r="G20" s="21">
        <f t="shared" si="0"/>
        <v>0.90511715028610329</v>
      </c>
    </row>
    <row r="21" spans="2:7" x14ac:dyDescent="0.25">
      <c r="B21" s="18">
        <v>9</v>
      </c>
      <c r="C21" s="391"/>
      <c r="D21" s="394">
        <f t="shared" si="0"/>
        <v>1</v>
      </c>
      <c r="E21" s="395">
        <f t="shared" si="0"/>
        <v>0.97659517170432097</v>
      </c>
      <c r="F21" s="395">
        <f t="shared" si="0"/>
        <v>0.77439085187439527</v>
      </c>
      <c r="G21" s="21">
        <f t="shared" si="0"/>
        <v>0.87073765362737432</v>
      </c>
    </row>
    <row r="22" spans="2:7" x14ac:dyDescent="0.25">
      <c r="B22" s="18">
        <v>10</v>
      </c>
      <c r="C22" s="391"/>
      <c r="D22" s="394">
        <f t="shared" si="0"/>
        <v>1</v>
      </c>
      <c r="E22" s="395">
        <f t="shared" si="0"/>
        <v>0.9610304919278353</v>
      </c>
      <c r="F22" s="395">
        <f t="shared" si="0"/>
        <v>0.73412889005897974</v>
      </c>
      <c r="G22" s="21">
        <f t="shared" si="0"/>
        <v>0.83303645025329565</v>
      </c>
    </row>
    <row r="23" spans="2:7" x14ac:dyDescent="0.25">
      <c r="B23" s="18">
        <v>11</v>
      </c>
      <c r="C23" s="391"/>
      <c r="D23" s="394">
        <f t="shared" si="0"/>
        <v>1</v>
      </c>
      <c r="E23" s="395">
        <f t="shared" si="0"/>
        <v>0.94233242615650892</v>
      </c>
      <c r="F23" s="395">
        <f t="shared" si="0"/>
        <v>0.6928690310460901</v>
      </c>
      <c r="G23" s="21">
        <f t="shared" si="0"/>
        <v>0.79269883747074243</v>
      </c>
    </row>
    <row r="24" spans="2:7" x14ac:dyDescent="0.25">
      <c r="B24" s="18">
        <v>12</v>
      </c>
      <c r="C24" s="396">
        <f>C3</f>
        <v>1</v>
      </c>
      <c r="D24" s="394">
        <f t="shared" si="0"/>
        <v>1</v>
      </c>
      <c r="E24" s="395">
        <f t="shared" si="0"/>
        <v>0.92083975837910714</v>
      </c>
      <c r="F24" s="395">
        <f t="shared" si="0"/>
        <v>0.65107840109915838</v>
      </c>
      <c r="G24" s="21">
        <f t="shared" si="0"/>
        <v>0.7503807093706214</v>
      </c>
    </row>
    <row r="25" spans="2:7" x14ac:dyDescent="0.25">
      <c r="B25" s="18">
        <v>13</v>
      </c>
      <c r="C25" s="391"/>
      <c r="D25" s="394">
        <f t="shared" si="0"/>
        <v>0.99964568058937042</v>
      </c>
      <c r="E25" s="395">
        <f t="shared" si="0"/>
        <v>0.89687217424956167</v>
      </c>
      <c r="F25" s="395">
        <f t="shared" si="0"/>
        <v>0.60918822454710841</v>
      </c>
      <c r="G25" s="21">
        <f t="shared" si="0"/>
        <v>0.70670365308621608</v>
      </c>
    </row>
    <row r="26" spans="2:7" x14ac:dyDescent="0.25">
      <c r="B26" s="18">
        <v>14</v>
      </c>
      <c r="C26" s="391"/>
      <c r="D26" s="394">
        <f t="shared" si="0"/>
        <v>0.99799731961111438</v>
      </c>
      <c r="E26" s="395">
        <f t="shared" si="0"/>
        <v>0.87073765362737421</v>
      </c>
      <c r="F26" s="395">
        <f t="shared" si="0"/>
        <v>0.56759090033085191</v>
      </c>
      <c r="G26" s="21">
        <f t="shared" si="0"/>
        <v>0.66224943157372418</v>
      </c>
    </row>
    <row r="27" spans="2:7" x14ac:dyDescent="0.25">
      <c r="B27" s="18">
        <v>15</v>
      </c>
      <c r="C27" s="391"/>
      <c r="D27" s="394">
        <f t="shared" si="0"/>
        <v>0.99449095900190587</v>
      </c>
      <c r="E27" s="395">
        <f t="shared" si="0"/>
        <v>0.84273521299425513</v>
      </c>
      <c r="F27" s="395">
        <f t="shared" si="0"/>
        <v>0.52663785977915145</v>
      </c>
      <c r="G27" s="21">
        <f t="shared" si="0"/>
        <v>0.61755480964169096</v>
      </c>
    </row>
    <row r="28" spans="2:7" x14ac:dyDescent="0.25">
      <c r="B28" s="18">
        <v>16</v>
      </c>
      <c r="C28" s="391"/>
      <c r="D28" s="394">
        <f t="shared" si="0"/>
        <v>0.9887238277478988</v>
      </c>
      <c r="E28" s="395">
        <f t="shared" si="0"/>
        <v>0.8131554612767673</v>
      </c>
      <c r="F28" s="395">
        <f t="shared" si="0"/>
        <v>0.48663825796023608</v>
      </c>
      <c r="G28" s="21">
        <f t="shared" si="0"/>
        <v>0.57310722900849687</v>
      </c>
    </row>
    <row r="29" spans="2:7" x14ac:dyDescent="0.25">
      <c r="B29" s="18">
        <v>17</v>
      </c>
      <c r="C29" s="391"/>
      <c r="D29" s="394">
        <f t="shared" si="0"/>
        <v>0.9803843728316719</v>
      </c>
      <c r="E29" s="395">
        <f t="shared" si="0"/>
        <v>0.78228006940691508</v>
      </c>
      <c r="F29" s="395">
        <f t="shared" si="0"/>
        <v>0.44785849671753875</v>
      </c>
      <c r="G29" s="21">
        <f t="shared" si="0"/>
        <v>0.52934159132599801</v>
      </c>
    </row>
    <row r="30" spans="2:7" x14ac:dyDescent="0.25">
      <c r="B30" s="18">
        <v>18</v>
      </c>
      <c r="C30" s="391"/>
      <c r="D30" s="394">
        <f t="shared" si="0"/>
        <v>0.96923323447634413</v>
      </c>
      <c r="E30" s="394">
        <f t="shared" si="0"/>
        <v>0.7503807093706214</v>
      </c>
      <c r="F30" s="395">
        <f t="shared" si="0"/>
        <v>0.41052253926958016</v>
      </c>
      <c r="G30" s="21">
        <f t="shared" si="0"/>
        <v>0.48663825796023596</v>
      </c>
    </row>
    <row r="31" spans="2:7" x14ac:dyDescent="0.25">
      <c r="B31" s="18">
        <v>19</v>
      </c>
      <c r="C31" s="391"/>
      <c r="D31" s="394">
        <f t="shared" si="0"/>
        <v>0.95509663904843412</v>
      </c>
      <c r="E31" s="395">
        <f t="shared" si="0"/>
        <v>0.71771776988961988</v>
      </c>
      <c r="F31" s="395">
        <f t="shared" si="0"/>
        <v>0.374812949261631</v>
      </c>
      <c r="G31" s="21">
        <f t="shared" si="0"/>
        <v>0.44532227679677683</v>
      </c>
    </row>
    <row r="32" spans="2:7" x14ac:dyDescent="0.25">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5">
      <c r="B33" s="18">
        <v>21</v>
      </c>
      <c r="C33" s="391"/>
      <c r="D33" s="394">
        <f t="shared" si="1"/>
        <v>0.9174888297657835</v>
      </c>
      <c r="E33" s="395">
        <f t="shared" si="1"/>
        <v>0.65107840109915838</v>
      </c>
      <c r="F33" s="395">
        <f t="shared" si="1"/>
        <v>0.30880673745940412</v>
      </c>
      <c r="G33" s="21">
        <f t="shared" si="1"/>
        <v>0.36787944117144233</v>
      </c>
    </row>
    <row r="34" spans="2:7" x14ac:dyDescent="0.25">
      <c r="B34" s="18">
        <v>22</v>
      </c>
      <c r="C34" s="391"/>
      <c r="D34" s="394">
        <f t="shared" si="1"/>
        <v>0.89398570815371281</v>
      </c>
      <c r="E34" s="395">
        <f t="shared" si="1"/>
        <v>0.61755480964169096</v>
      </c>
      <c r="F34" s="395">
        <f t="shared" si="1"/>
        <v>0.27868595134134</v>
      </c>
      <c r="G34" s="21">
        <f t="shared" si="1"/>
        <v>0.33213488060513152</v>
      </c>
    </row>
    <row r="35" spans="2:7" x14ac:dyDescent="0.25">
      <c r="B35" s="18">
        <v>23</v>
      </c>
      <c r="C35" s="391"/>
      <c r="D35" s="394">
        <f t="shared" si="1"/>
        <v>0.86743240787387288</v>
      </c>
      <c r="E35" s="395">
        <f t="shared" si="1"/>
        <v>0.58417125928962133</v>
      </c>
      <c r="F35" s="395">
        <f t="shared" si="1"/>
        <v>0.25054885364370327</v>
      </c>
      <c r="G35" s="21">
        <f t="shared" si="1"/>
        <v>0.29854782574943706</v>
      </c>
    </row>
    <row r="36" spans="2:7" x14ac:dyDescent="0.25">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5">
      <c r="B37" s="18">
        <v>25</v>
      </c>
      <c r="C37" s="391"/>
      <c r="D37" s="394">
        <f t="shared" si="1"/>
        <v>0.80578477749724886</v>
      </c>
      <c r="E37" s="395">
        <f t="shared" si="1"/>
        <v>0.51855252354036319</v>
      </c>
      <c r="F37" s="395">
        <f t="shared" si="1"/>
        <v>0.20024050885898936</v>
      </c>
      <c r="G37" s="21">
        <f t="shared" si="1"/>
        <v>0.23810087536176749</v>
      </c>
    </row>
    <row r="38" spans="2:7" x14ac:dyDescent="0.25">
      <c r="B38" s="18">
        <v>26</v>
      </c>
      <c r="C38" s="391"/>
      <c r="D38" s="394">
        <f t="shared" si="1"/>
        <v>0.77113529134046965</v>
      </c>
      <c r="E38" s="395">
        <f t="shared" si="1"/>
        <v>0.48663825796023608</v>
      </c>
      <c r="F38" s="395">
        <f t="shared" si="1"/>
        <v>0.17801688121859338</v>
      </c>
      <c r="G38" s="21">
        <f t="shared" si="1"/>
        <v>0.21127317023397207</v>
      </c>
    </row>
    <row r="39" spans="2:7" x14ac:dyDescent="0.25">
      <c r="B39" s="18">
        <v>27</v>
      </c>
      <c r="C39" s="391"/>
      <c r="D39" s="394">
        <f t="shared" si="1"/>
        <v>0.73431574119168719</v>
      </c>
      <c r="E39" s="395">
        <f t="shared" si="1"/>
        <v>0.45550550673418788</v>
      </c>
      <c r="F39" s="395">
        <f t="shared" si="1"/>
        <v>0.15767895679748034</v>
      </c>
      <c r="G39" s="21">
        <f t="shared" si="1"/>
        <v>0.18667655766055047</v>
      </c>
    </row>
    <row r="40" spans="2:7" x14ac:dyDescent="0.25">
      <c r="B40" s="18">
        <v>28</v>
      </c>
      <c r="C40" s="391"/>
      <c r="D40" s="394">
        <f t="shared" si="1"/>
        <v>0.69566478229732487</v>
      </c>
      <c r="E40" s="395">
        <f t="shared" si="1"/>
        <v>0.42527107116174789</v>
      </c>
      <c r="F40" s="395">
        <f t="shared" si="1"/>
        <v>0.13915589212694768</v>
      </c>
      <c r="G40" s="21">
        <f t="shared" si="1"/>
        <v>0.1642528370875127</v>
      </c>
    </row>
    <row r="41" spans="2:7" x14ac:dyDescent="0.25">
      <c r="B41" s="18">
        <v>29</v>
      </c>
      <c r="C41" s="391"/>
      <c r="D41" s="394">
        <f t="shared" si="1"/>
        <v>0.65555448400571326</v>
      </c>
      <c r="E41" s="395">
        <f t="shared" si="1"/>
        <v>0.39603467182812513</v>
      </c>
      <c r="F41" s="395">
        <f t="shared" si="1"/>
        <v>0.12236473144151083</v>
      </c>
      <c r="G41" s="21">
        <f t="shared" si="1"/>
        <v>0.143922422166186</v>
      </c>
    </row>
    <row r="42" spans="2:7" x14ac:dyDescent="0.25">
      <c r="B42" s="18">
        <v>30</v>
      </c>
      <c r="C42" s="391"/>
      <c r="D42" s="394">
        <f t="shared" si="1"/>
        <v>0.61438145002028</v>
      </c>
      <c r="E42" s="394">
        <f t="shared" si="1"/>
        <v>0.36787944117144233</v>
      </c>
      <c r="F42" s="395">
        <f t="shared" si="1"/>
        <v>0.10721331576175563</v>
      </c>
      <c r="G42" s="21">
        <f t="shared" si="1"/>
        <v>0.12558872465487203</v>
      </c>
    </row>
    <row r="43" spans="2:7" x14ac:dyDescent="0.25">
      <c r="B43" s="18">
        <v>31</v>
      </c>
      <c r="C43" s="391"/>
      <c r="D43" s="394">
        <f t="shared" si="1"/>
        <v>0.57255725386160194</v>
      </c>
      <c r="E43" s="395">
        <f t="shared" si="1"/>
        <v>0.34087256868851834</v>
      </c>
      <c r="F43" s="395">
        <f t="shared" si="1"/>
        <v>9.3602954519502735E-2</v>
      </c>
      <c r="G43" s="21">
        <f t="shared" si="1"/>
        <v>0.10914225979259551</v>
      </c>
    </row>
    <row r="44" spans="2:7" x14ac:dyDescent="0.25">
      <c r="B44" s="18">
        <v>32</v>
      </c>
      <c r="C44" s="391"/>
      <c r="D44" s="394">
        <f t="shared" si="1"/>
        <v>0.53049850169371948</v>
      </c>
      <c r="E44" s="395">
        <f t="shared" si="1"/>
        <v>0.31506607751012794</v>
      </c>
      <c r="F44" s="395">
        <f t="shared" si="1"/>
        <v>8.1430836248249538E-2</v>
      </c>
      <c r="G44" s="21">
        <f t="shared" si="1"/>
        <v>9.4464414295467924E-2</v>
      </c>
    </row>
    <row r="45" spans="2:7" x14ac:dyDescent="0.25">
      <c r="B45" s="18">
        <v>33</v>
      </c>
      <c r="C45" s="391"/>
      <c r="D45" s="394">
        <f t="shared" si="1"/>
        <v>0.48861686235154222</v>
      </c>
      <c r="E45" s="395">
        <f t="shared" si="1"/>
        <v>0.29049771041246508</v>
      </c>
      <c r="F45" s="395">
        <f t="shared" si="1"/>
        <v>7.0592164639350474E-2</v>
      </c>
      <c r="G45" s="21">
        <f t="shared" si="1"/>
        <v>8.1430836248249538E-2</v>
      </c>
    </row>
    <row r="46" spans="2:7" x14ac:dyDescent="0.25">
      <c r="B46" s="18">
        <v>34</v>
      </c>
      <c r="C46" s="391"/>
      <c r="D46" s="394">
        <f t="shared" si="1"/>
        <v>0.44730941399885382</v>
      </c>
      <c r="E46" s="395">
        <f t="shared" si="1"/>
        <v>0.26719190325625874</v>
      </c>
      <c r="F46" s="395">
        <f t="shared" si="1"/>
        <v>6.0982014997255418E-2</v>
      </c>
      <c r="G46" s="21">
        <f t="shared" si="1"/>
        <v>6.9914422850488989E-2</v>
      </c>
    </row>
    <row r="47" spans="2:7" x14ac:dyDescent="0.25">
      <c r="B47" s="18">
        <v>35</v>
      </c>
      <c r="C47" s="391"/>
      <c r="D47" s="394">
        <f t="shared" si="1"/>
        <v>0.406949647740664</v>
      </c>
      <c r="E47" s="395">
        <f t="shared" si="1"/>
        <v>0.24516082427257391</v>
      </c>
      <c r="F47" s="395">
        <f t="shared" si="1"/>
        <v>5.2496913696447711E-2</v>
      </c>
      <c r="G47" s="21">
        <f t="shared" si="1"/>
        <v>5.9787896848882749E-2</v>
      </c>
    </row>
    <row r="48" spans="2:7" x14ac:dyDescent="0.25">
      <c r="B48" s="18">
        <v>36</v>
      </c>
      <c r="C48" s="396">
        <f>C5</f>
        <v>0.219</v>
      </c>
      <c r="D48" s="394">
        <f t="shared" si="1"/>
        <v>0.36787944117144233</v>
      </c>
      <c r="E48" s="395">
        <f t="shared" si="1"/>
        <v>0.22440545846436388</v>
      </c>
      <c r="F48" s="395">
        <f t="shared" si="1"/>
        <v>4.5036149589259722E-2</v>
      </c>
      <c r="G48" s="21">
        <f t="shared" si="1"/>
        <v>5.0925975301708948E-2</v>
      </c>
    </row>
    <row r="49" spans="2:7" x14ac:dyDescent="0.25">
      <c r="B49" s="18">
        <v>37</v>
      </c>
      <c r="C49" s="391"/>
      <c r="D49" s="394">
        <f t="shared" si="1"/>
        <v>0.33040227085122265</v>
      </c>
      <c r="E49" s="395">
        <f t="shared" si="1"/>
        <v>0.20491671758931851</v>
      </c>
      <c r="F49" s="395">
        <f t="shared" si="1"/>
        <v>3.850283143025035E-2</v>
      </c>
      <c r="G49" s="21">
        <f t="shared" si="1"/>
        <v>4.3207144956392884E-2</v>
      </c>
    </row>
    <row r="50" spans="2:7" x14ac:dyDescent="0.25">
      <c r="B50" s="18">
        <v>38</v>
      </c>
      <c r="C50" s="391"/>
      <c r="D50" s="394">
        <f t="shared" si="1"/>
        <v>0.29477787472512929</v>
      </c>
      <c r="E50" s="395">
        <f t="shared" si="1"/>
        <v>0.18667655766055047</v>
      </c>
      <c r="F50" s="395">
        <f t="shared" si="1"/>
        <v>3.2804709305761293E-2</v>
      </c>
      <c r="G50" s="21">
        <f t="shared" si="1"/>
        <v>3.6515066962736542E-2</v>
      </c>
    </row>
    <row r="51" spans="2:7" x14ac:dyDescent="0.25">
      <c r="B51" s="18">
        <v>39</v>
      </c>
      <c r="C51" s="391"/>
      <c r="D51" s="394">
        <f t="shared" si="1"/>
        <v>0.26121850711209382</v>
      </c>
      <c r="E51" s="395">
        <f t="shared" si="1"/>
        <v>0.16965908757950587</v>
      </c>
      <c r="F51" s="395">
        <f t="shared" si="1"/>
        <v>2.7854780858086459E-2</v>
      </c>
      <c r="G51" s="21">
        <f t="shared" si="1"/>
        <v>3.0739639965612686E-2</v>
      </c>
    </row>
    <row r="52" spans="2:7" x14ac:dyDescent="0.25">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5">
      <c r="B53" s="18">
        <v>41</v>
      </c>
      <c r="C53" s="391"/>
      <c r="D53" s="394">
        <f t="shared" si="2"/>
        <v>0.20089560287817543</v>
      </c>
      <c r="E53" s="395">
        <f t="shared" si="2"/>
        <v>0.13915589212694768</v>
      </c>
      <c r="F53" s="395">
        <f t="shared" si="2"/>
        <v>1.9880045646170408E-2</v>
      </c>
      <c r="G53" s="21">
        <f t="shared" si="2"/>
        <v>2.1533777891509898E-2</v>
      </c>
    </row>
    <row r="54" spans="2:7" x14ac:dyDescent="0.25">
      <c r="B54" s="18">
        <v>42</v>
      </c>
      <c r="C54" s="391"/>
      <c r="D54" s="394">
        <f t="shared" si="2"/>
        <v>0.17430857908883035</v>
      </c>
      <c r="E54" s="395">
        <f t="shared" si="2"/>
        <v>0.12558872465487203</v>
      </c>
      <c r="F54" s="395">
        <f t="shared" si="2"/>
        <v>1.6710371707806315E-2</v>
      </c>
      <c r="G54" s="21">
        <f t="shared" si="2"/>
        <v>1.7919796852235992E-2</v>
      </c>
    </row>
    <row r="55" spans="2:7" x14ac:dyDescent="0.25">
      <c r="B55" s="18">
        <v>43</v>
      </c>
      <c r="C55" s="391"/>
      <c r="D55" s="394">
        <f t="shared" si="2"/>
        <v>0.15014331331304309</v>
      </c>
      <c r="E55" s="395">
        <f t="shared" si="2"/>
        <v>0.11308331185949427</v>
      </c>
      <c r="F55" s="395">
        <f t="shared" si="2"/>
        <v>1.3999231770300269E-2</v>
      </c>
      <c r="G55" s="21">
        <f t="shared" si="2"/>
        <v>1.4855670693437961E-2</v>
      </c>
    </row>
    <row r="56" spans="2:7" x14ac:dyDescent="0.25">
      <c r="B56" s="18">
        <v>44</v>
      </c>
      <c r="C56" s="391"/>
      <c r="D56" s="394">
        <f t="shared" si="2"/>
        <v>0.12837482715790938</v>
      </c>
      <c r="E56" s="395">
        <f t="shared" si="2"/>
        <v>0.10158993413238182</v>
      </c>
      <c r="F56" s="395">
        <f t="shared" si="2"/>
        <v>1.1689029872536283E-2</v>
      </c>
      <c r="G56" s="21">
        <f t="shared" si="2"/>
        <v>1.2268914165479594E-2</v>
      </c>
    </row>
    <row r="57" spans="2:7" x14ac:dyDescent="0.25">
      <c r="B57" s="18">
        <v>45</v>
      </c>
      <c r="C57" s="391"/>
      <c r="D57" s="394">
        <f t="shared" si="2"/>
        <v>0.10894040123194071</v>
      </c>
      <c r="E57" s="395">
        <f t="shared" si="2"/>
        <v>9.1056808917926668E-2</v>
      </c>
      <c r="F57" s="395">
        <f t="shared" si="2"/>
        <v>9.7278200649436597E-3</v>
      </c>
      <c r="G57" s="21">
        <f t="shared" si="2"/>
        <v>1.009445279022525E-2</v>
      </c>
    </row>
    <row r="58" spans="2:7" x14ac:dyDescent="0.25">
      <c r="B58" s="18">
        <v>46</v>
      </c>
      <c r="C58" s="391"/>
      <c r="D58" s="394">
        <f t="shared" si="2"/>
        <v>9.1745055453900104E-2</v>
      </c>
      <c r="E58" s="395">
        <f t="shared" si="2"/>
        <v>8.1430836248249538E-2</v>
      </c>
      <c r="F58" s="395">
        <f t="shared" si="2"/>
        <v>8.0690392981475068E-3</v>
      </c>
      <c r="G58" s="21">
        <f t="shared" si="2"/>
        <v>8.2742777618429741E-3</v>
      </c>
    </row>
    <row r="59" spans="2:7" x14ac:dyDescent="0.25">
      <c r="B59" s="18">
        <v>47</v>
      </c>
      <c r="C59" s="391"/>
      <c r="D59" s="394">
        <f t="shared" si="2"/>
        <v>7.6667464508156202E-2</v>
      </c>
      <c r="E59" s="395">
        <f t="shared" si="2"/>
        <v>7.2658271309812839E-2</v>
      </c>
      <c r="F59" s="395">
        <f t="shared" si="2"/>
        <v>6.6711952216890191E-3</v>
      </c>
      <c r="G59" s="21">
        <f t="shared" si="2"/>
        <v>6.7570280577756714E-3</v>
      </c>
    </row>
    <row r="60" spans="2:7" x14ac:dyDescent="0.25">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5">
      <c r="B61" s="18">
        <v>49</v>
      </c>
      <c r="D61" s="390">
        <f t="shared" si="2"/>
        <v>5.22849067021115E-2</v>
      </c>
      <c r="E61" s="21">
        <f t="shared" si="2"/>
        <v>5.7458682895245139E-2</v>
      </c>
      <c r="F61" s="21">
        <f t="shared" si="2"/>
        <v>4.5156278627150881E-3</v>
      </c>
      <c r="G61" s="21">
        <f t="shared" si="2"/>
        <v>4.4562697424368469E-3</v>
      </c>
    </row>
    <row r="62" spans="2:7" x14ac:dyDescent="0.25">
      <c r="B62" s="18">
        <v>50</v>
      </c>
      <c r="D62" s="390">
        <f t="shared" si="2"/>
        <v>4.2659615362509729E-2</v>
      </c>
      <c r="E62" s="21">
        <f t="shared" si="2"/>
        <v>5.0925975301708948E-2</v>
      </c>
      <c r="F62" s="21">
        <f t="shared" si="2"/>
        <v>3.6971118752440191E-3</v>
      </c>
      <c r="G62" s="21">
        <f t="shared" si="2"/>
        <v>3.5989505771300001E-3</v>
      </c>
    </row>
    <row r="63" spans="2:7" x14ac:dyDescent="0.25">
      <c r="B63" s="18">
        <v>51</v>
      </c>
      <c r="D63" s="390">
        <f t="shared" si="2"/>
        <v>3.45223064271728E-2</v>
      </c>
      <c r="E63" s="21">
        <f t="shared" si="2"/>
        <v>4.5036149589259722E-2</v>
      </c>
      <c r="F63" s="21">
        <f t="shared" si="2"/>
        <v>3.0172140316164775E-3</v>
      </c>
      <c r="G63" s="21">
        <f t="shared" si="2"/>
        <v>2.8959242852554246E-3</v>
      </c>
    </row>
    <row r="64" spans="2:7" x14ac:dyDescent="0.25">
      <c r="B64" s="18">
        <v>52</v>
      </c>
      <c r="D64" s="390">
        <f t="shared" si="2"/>
        <v>2.7706293458343301E-2</v>
      </c>
      <c r="E64" s="21">
        <f t="shared" si="2"/>
        <v>3.9739799706733026E-2</v>
      </c>
      <c r="F64" s="21">
        <f t="shared" si="2"/>
        <v>2.4544504009351709E-3</v>
      </c>
      <c r="G64" s="21">
        <f t="shared" si="2"/>
        <v>2.3217322092717874E-3</v>
      </c>
    </row>
    <row r="65" spans="2:7" x14ac:dyDescent="0.25">
      <c r="B65" s="18">
        <v>53</v>
      </c>
      <c r="D65" s="390">
        <f t="shared" si="2"/>
        <v>2.2049913865499482E-2</v>
      </c>
      <c r="E65" s="21">
        <f t="shared" si="2"/>
        <v>3.4989425986837186E-2</v>
      </c>
      <c r="F65" s="21">
        <f t="shared" si="2"/>
        <v>1.9902719695228388E-3</v>
      </c>
      <c r="G65" s="21">
        <f t="shared" si="2"/>
        <v>1.8546295800468959E-3</v>
      </c>
    </row>
    <row r="66" spans="2:7" x14ac:dyDescent="0.25">
      <c r="B66" s="18">
        <v>54</v>
      </c>
      <c r="D66" s="390">
        <f t="shared" si="2"/>
        <v>1.7399623775943063E-2</v>
      </c>
      <c r="E66" s="21">
        <f t="shared" si="2"/>
        <v>3.0739639965612686E-2</v>
      </c>
      <c r="F66" s="21">
        <f t="shared" si="2"/>
        <v>1.6087401576061477E-3</v>
      </c>
      <c r="G66" s="21">
        <f t="shared" si="2"/>
        <v>1.4761440542468973E-3</v>
      </c>
    </row>
    <row r="67" spans="2:7" x14ac:dyDescent="0.25">
      <c r="B67" s="18">
        <v>55</v>
      </c>
      <c r="D67" s="390">
        <f t="shared" si="2"/>
        <v>1.3612331396869903E-2</v>
      </c>
      <c r="E67" s="21">
        <f t="shared" si="2"/>
        <v>2.6947317470043308E-2</v>
      </c>
      <c r="F67" s="21">
        <f t="shared" si="2"/>
        <v>1.2962233980006177E-3</v>
      </c>
      <c r="G67" s="21">
        <f t="shared" si="2"/>
        <v>1.170666052133007E-3</v>
      </c>
    </row>
    <row r="68" spans="2:7" x14ac:dyDescent="0.25">
      <c r="B68" s="18">
        <v>56</v>
      </c>
      <c r="D68" s="390">
        <f t="shared" si="2"/>
        <v>1.055700183503927E-2</v>
      </c>
      <c r="E68" s="21">
        <f t="shared" si="2"/>
        <v>2.3571704870276933E-2</v>
      </c>
      <c r="F68" s="21">
        <f t="shared" si="2"/>
        <v>1.0411165287640411E-3</v>
      </c>
      <c r="G68" s="21">
        <f t="shared" si="2"/>
        <v>9.2507321512669272E-4</v>
      </c>
    </row>
    <row r="69" spans="2:7" x14ac:dyDescent="0.25">
      <c r="B69" s="18">
        <v>57</v>
      </c>
      <c r="D69" s="390">
        <f t="shared" si="2"/>
        <v>8.1155947493921632E-3</v>
      </c>
      <c r="E69" s="21">
        <f t="shared" si="2"/>
        <v>2.0574483454742554E-2</v>
      </c>
      <c r="F69" s="21">
        <f t="shared" si="2"/>
        <v>8.3358386900855841E-4</v>
      </c>
      <c r="G69" s="21">
        <f t="shared" si="2"/>
        <v>7.2838991483914484E-4</v>
      </c>
    </row>
    <row r="70" spans="2:7" x14ac:dyDescent="0.25">
      <c r="B70" s="18">
        <v>58</v>
      </c>
      <c r="D70" s="390">
        <f t="shared" si="2"/>
        <v>6.1834167604025714E-3</v>
      </c>
      <c r="E70" s="21">
        <f t="shared" si="2"/>
        <v>1.7919796852235992E-2</v>
      </c>
      <c r="F70" s="21">
        <f t="shared" si="2"/>
        <v>6.653261260685106E-4</v>
      </c>
      <c r="G70" s="21">
        <f t="shared" si="2"/>
        <v>5.7148163822540177E-4</v>
      </c>
    </row>
    <row r="71" spans="2:7" x14ac:dyDescent="0.25">
      <c r="B71" s="18">
        <v>59</v>
      </c>
      <c r="D71" s="390">
        <f t="shared" si="2"/>
        <v>4.6689832182131852E-3</v>
      </c>
      <c r="E71" s="21">
        <f t="shared" si="2"/>
        <v>1.5574246308966644E-2</v>
      </c>
      <c r="F71" s="21">
        <f t="shared" si="2"/>
        <v>5.2937070953729126E-4</v>
      </c>
      <c r="G71" s="21">
        <f t="shared" si="2"/>
        <v>4.4678321991908909E-4</v>
      </c>
    </row>
    <row r="72" spans="2:7" x14ac:dyDescent="0.25">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390">
        <f t="shared" si="3"/>
        <v>2.589989187540831E-3</v>
      </c>
      <c r="E73" s="21">
        <f t="shared" si="3"/>
        <v>1.1689029872536283E-2</v>
      </c>
      <c r="F73" s="21">
        <f t="shared" si="3"/>
        <v>3.3200850167025564E-4</v>
      </c>
      <c r="G73" s="21">
        <f t="shared" si="3"/>
        <v>2.7019464849964425E-4</v>
      </c>
    </row>
    <row r="74" spans="2:7" x14ac:dyDescent="0.25">
      <c r="B74" s="18">
        <v>62</v>
      </c>
      <c r="D74" s="390">
        <f t="shared" si="3"/>
        <v>1.9023765504646573E-3</v>
      </c>
      <c r="E74" s="21">
        <f t="shared" si="3"/>
        <v>1.009445279022525E-2</v>
      </c>
      <c r="F74" s="21">
        <f t="shared" si="3"/>
        <v>2.6171112129524943E-4</v>
      </c>
      <c r="G74" s="21">
        <f t="shared" si="3"/>
        <v>2.0901276877349773E-4</v>
      </c>
    </row>
    <row r="75" spans="2:7" x14ac:dyDescent="0.25">
      <c r="B75" s="18">
        <v>63</v>
      </c>
      <c r="D75" s="390">
        <f t="shared" si="3"/>
        <v>1.3842482900661146E-3</v>
      </c>
      <c r="E75" s="21">
        <f t="shared" si="3"/>
        <v>8.699025332679633E-3</v>
      </c>
      <c r="F75" s="21">
        <f t="shared" si="3"/>
        <v>2.0566160738733075E-4</v>
      </c>
      <c r="G75" s="21">
        <f t="shared" si="3"/>
        <v>1.6111895453663205E-4</v>
      </c>
    </row>
    <row r="76" spans="2:7" x14ac:dyDescent="0.25">
      <c r="B76" s="18">
        <v>64</v>
      </c>
      <c r="D76" s="390">
        <f t="shared" si="3"/>
        <v>9.9772275358522844E-4</v>
      </c>
      <c r="E76" s="21">
        <f t="shared" si="3"/>
        <v>7.4807501544102983E-3</v>
      </c>
      <c r="F76" s="21">
        <f t="shared" si="3"/>
        <v>1.6111895453663205E-4</v>
      </c>
      <c r="G76" s="21">
        <f t="shared" si="3"/>
        <v>1.2376655487678079E-4</v>
      </c>
    </row>
    <row r="77" spans="2:7" x14ac:dyDescent="0.25">
      <c r="B77" s="18">
        <v>65</v>
      </c>
      <c r="D77" s="390">
        <f t="shared" si="3"/>
        <v>7.122687876760514E-4</v>
      </c>
      <c r="E77" s="21">
        <f t="shared" si="3"/>
        <v>6.4196243623374505E-3</v>
      </c>
      <c r="F77" s="21">
        <f t="shared" si="3"/>
        <v>1.258364949808799E-4</v>
      </c>
      <c r="G77" s="21">
        <f t="shared" si="3"/>
        <v>9.4743151534348868E-5</v>
      </c>
    </row>
    <row r="78" spans="2:7" x14ac:dyDescent="0.25">
      <c r="B78" s="18">
        <v>66</v>
      </c>
      <c r="D78" s="390">
        <f t="shared" si="3"/>
        <v>5.0358904973690777E-4</v>
      </c>
      <c r="E78" s="21">
        <f t="shared" si="3"/>
        <v>5.4975235803325084E-3</v>
      </c>
      <c r="F78" s="21">
        <f t="shared" si="3"/>
        <v>9.7979966796168938E-5</v>
      </c>
      <c r="G78" s="21">
        <f t="shared" si="3"/>
        <v>7.2274503910452204E-5</v>
      </c>
    </row>
    <row r="79" spans="2:7" x14ac:dyDescent="0.25">
      <c r="B79" s="18">
        <v>67</v>
      </c>
      <c r="D79" s="390">
        <f t="shared" si="3"/>
        <v>3.525879905724727E-4</v>
      </c>
      <c r="E79" s="21">
        <f t="shared" si="3"/>
        <v>4.6980825876707932E-3</v>
      </c>
      <c r="F79" s="21">
        <f t="shared" si="3"/>
        <v>7.6057616771540992E-5</v>
      </c>
      <c r="G79" s="21">
        <f t="shared" si="3"/>
        <v>5.4943964787335098E-5</v>
      </c>
    </row>
    <row r="80" spans="2:7" x14ac:dyDescent="0.25">
      <c r="B80" s="18">
        <v>68</v>
      </c>
      <c r="D80" s="390">
        <f t="shared" si="3"/>
        <v>2.4444352404873193E-4</v>
      </c>
      <c r="E80" s="21">
        <f t="shared" si="3"/>
        <v>4.0065746461579455E-3</v>
      </c>
      <c r="F80" s="21">
        <f t="shared" si="3"/>
        <v>5.8860895872037133E-5</v>
      </c>
      <c r="G80" s="21">
        <f t="shared" si="3"/>
        <v>4.1625281087975807E-5</v>
      </c>
    </row>
    <row r="81" spans="2:7" x14ac:dyDescent="0.25">
      <c r="B81" s="18">
        <v>69</v>
      </c>
      <c r="D81" s="390">
        <f t="shared" si="3"/>
        <v>1.677917494864456E-4</v>
      </c>
      <c r="E81" s="21">
        <f t="shared" si="3"/>
        <v>3.4097913183015471E-3</v>
      </c>
      <c r="F81" s="21">
        <f t="shared" si="3"/>
        <v>4.5414408506361248E-5</v>
      </c>
      <c r="G81" s="21">
        <f t="shared" si="3"/>
        <v>3.1426883004725958E-5</v>
      </c>
    </row>
    <row r="82" spans="2:7" x14ac:dyDescent="0.25">
      <c r="B82" s="18">
        <v>70</v>
      </c>
      <c r="D82" s="390">
        <f t="shared" si="3"/>
        <v>1.1402637597712761E-4</v>
      </c>
      <c r="E82" s="21">
        <f t="shared" si="3"/>
        <v>2.8959242852554246E-3</v>
      </c>
      <c r="F82" s="21">
        <f t="shared" si="3"/>
        <v>3.4933889061616874E-5</v>
      </c>
      <c r="G82" s="21">
        <f t="shared" si="3"/>
        <v>2.3645959206675116E-5</v>
      </c>
    </row>
    <row r="83" spans="2:7" x14ac:dyDescent="0.25">
      <c r="B83" s="18">
        <v>71</v>
      </c>
      <c r="D83" s="390">
        <f t="shared" si="3"/>
        <v>7.6708702562489073E-5</v>
      </c>
      <c r="E83" s="21">
        <f t="shared" si="3"/>
        <v>2.4544504009351709E-3</v>
      </c>
      <c r="F83" s="21">
        <f t="shared" si="3"/>
        <v>2.6791095119715891E-5</v>
      </c>
      <c r="G83" s="21">
        <f t="shared" si="3"/>
        <v>1.7730808173022083E-5</v>
      </c>
    </row>
    <row r="84" spans="2:7" x14ac:dyDescent="0.25">
      <c r="B84" s="18">
        <v>72</v>
      </c>
      <c r="D84" s="390">
        <f t="shared" si="3"/>
        <v>5.1079991764568788E-5</v>
      </c>
      <c r="E84" s="21">
        <f t="shared" si="3"/>
        <v>2.0760209694462572E-3</v>
      </c>
      <c r="F84" s="21">
        <f t="shared" si="3"/>
        <v>2.0484622330063651E-5</v>
      </c>
      <c r="G84" s="21">
        <f t="shared" si="3"/>
        <v>1.325014056063889E-5</v>
      </c>
    </row>
    <row r="85" spans="2:7" x14ac:dyDescent="0.25">
      <c r="B85" s="18">
        <v>73</v>
      </c>
      <c r="D85" s="390">
        <f t="shared" si="3"/>
        <v>3.3665607341304415E-5</v>
      </c>
      <c r="E85" s="21">
        <f t="shared" si="3"/>
        <v>1.7523560077112865E-3</v>
      </c>
      <c r="F85" s="21">
        <f t="shared" si="3"/>
        <v>1.5615758009790426E-5</v>
      </c>
      <c r="G85" s="21">
        <f t="shared" si="3"/>
        <v>9.8681811333545255E-6</v>
      </c>
    </row>
    <row r="86" spans="2:7" x14ac:dyDescent="0.25">
      <c r="B86" s="18">
        <v>74</v>
      </c>
      <c r="D86" s="390">
        <f t="shared" si="3"/>
        <v>2.1959095184986843E-5</v>
      </c>
      <c r="E86" s="21">
        <f t="shared" si="3"/>
        <v>1.4761440542468973E-3</v>
      </c>
      <c r="F86" s="21">
        <f t="shared" si="3"/>
        <v>1.1868596933584108E-5</v>
      </c>
      <c r="G86" s="21">
        <f t="shared" si="3"/>
        <v>7.3245787428621867E-6</v>
      </c>
    </row>
    <row r="87" spans="2:7" x14ac:dyDescent="0.25">
      <c r="B87" s="18">
        <v>75</v>
      </c>
      <c r="D87" s="390">
        <f t="shared" si="3"/>
        <v>1.4174181270143471E-5</v>
      </c>
      <c r="E87" s="21">
        <f t="shared" si="3"/>
        <v>1.2409479081468833E-3</v>
      </c>
      <c r="F87" s="21">
        <f t="shared" si="3"/>
        <v>8.9937419665009344E-6</v>
      </c>
      <c r="G87" s="21">
        <f t="shared" si="3"/>
        <v>5.418277854163378E-6</v>
      </c>
    </row>
    <row r="88" spans="2:7" x14ac:dyDescent="0.25">
      <c r="B88" s="18">
        <v>76</v>
      </c>
      <c r="D88" s="390">
        <f t="shared" si="3"/>
        <v>9.0531678970107166E-6</v>
      </c>
      <c r="E88" s="21">
        <f t="shared" si="3"/>
        <v>1.0411165287640411E-3</v>
      </c>
      <c r="F88" s="21">
        <f t="shared" si="3"/>
        <v>6.7950032648367298E-6</v>
      </c>
      <c r="G88" s="21">
        <f t="shared" si="3"/>
        <v>3.9946347010211269E-6</v>
      </c>
    </row>
    <row r="89" spans="2:7" x14ac:dyDescent="0.25">
      <c r="B89" s="18">
        <v>77</v>
      </c>
      <c r="D89" s="390">
        <f t="shared" si="3"/>
        <v>5.7211851592908758E-6</v>
      </c>
      <c r="E89" s="21">
        <f t="shared" si="3"/>
        <v>8.7170319526963524E-4</v>
      </c>
      <c r="F89" s="21">
        <f t="shared" si="3"/>
        <v>5.1185922865792932E-6</v>
      </c>
      <c r="G89" s="21">
        <f t="shared" si="3"/>
        <v>2.9351755189699347E-6</v>
      </c>
    </row>
    <row r="90" spans="2:7" x14ac:dyDescent="0.25">
      <c r="B90" s="18">
        <v>78</v>
      </c>
      <c r="D90" s="390">
        <f t="shared" si="3"/>
        <v>3.5769950249564531E-6</v>
      </c>
      <c r="E90" s="21">
        <f t="shared" si="3"/>
        <v>7.2838991483914484E-4</v>
      </c>
      <c r="F90" s="21">
        <f t="shared" si="3"/>
        <v>3.8443807318655487E-6</v>
      </c>
      <c r="G90" s="21">
        <f t="shared" si="3"/>
        <v>2.1494940882771374E-6</v>
      </c>
    </row>
    <row r="91" spans="2:7" x14ac:dyDescent="0.25">
      <c r="B91" s="18">
        <v>79</v>
      </c>
      <c r="D91" s="390">
        <f t="shared" si="3"/>
        <v>2.2123911661564577E-6</v>
      </c>
      <c r="E91" s="21">
        <f t="shared" si="3"/>
        <v>6.0741797712760004E-4</v>
      </c>
      <c r="F91" s="21">
        <f t="shared" si="3"/>
        <v>2.8788599886198085E-6</v>
      </c>
      <c r="G91" s="21">
        <f t="shared" si="3"/>
        <v>1.5688719796624895E-6</v>
      </c>
    </row>
    <row r="92" spans="2:7" x14ac:dyDescent="0.25">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390">
        <f t="shared" si="4"/>
        <v>8.1910867733014925E-7</v>
      </c>
      <c r="E93" s="21">
        <f t="shared" si="4"/>
        <v>4.1988458802177941E-4</v>
      </c>
      <c r="F93" s="21">
        <f t="shared" si="4"/>
        <v>1.600209107888162E-6</v>
      </c>
      <c r="G93" s="21">
        <f t="shared" si="4"/>
        <v>8.2747050522691268E-7</v>
      </c>
    </row>
    <row r="94" spans="2:7" x14ac:dyDescent="0.25">
      <c r="B94" s="18">
        <v>82</v>
      </c>
      <c r="D94" s="390">
        <f t="shared" si="4"/>
        <v>4.9023867043640479E-7</v>
      </c>
      <c r="E94" s="21">
        <f t="shared" si="4"/>
        <v>3.4805926261005649E-4</v>
      </c>
      <c r="F94" s="21">
        <f t="shared" si="4"/>
        <v>1.18780502178506E-6</v>
      </c>
      <c r="G94" s="21">
        <f t="shared" si="4"/>
        <v>5.9796227502850741E-7</v>
      </c>
    </row>
    <row r="95" spans="2:7" x14ac:dyDescent="0.25">
      <c r="B95" s="18">
        <v>83</v>
      </c>
      <c r="D95" s="390">
        <f t="shared" si="4"/>
        <v>2.9016488611866009E-7</v>
      </c>
      <c r="E95" s="21">
        <f t="shared" si="4"/>
        <v>2.8794813021293386E-4</v>
      </c>
      <c r="F95" s="21">
        <f t="shared" si="4"/>
        <v>8.7911285406860884E-7</v>
      </c>
      <c r="G95" s="21">
        <f t="shared" si="4"/>
        <v>4.3068438082549676E-7</v>
      </c>
    </row>
    <row r="96" spans="2:7" x14ac:dyDescent="0.25">
      <c r="B96" s="18">
        <v>84</v>
      </c>
      <c r="D96" s="390">
        <f t="shared" si="4"/>
        <v>1.6983180561869204E-7</v>
      </c>
      <c r="E96" s="21">
        <f t="shared" si="4"/>
        <v>2.3774718659497207E-4</v>
      </c>
      <c r="F96" s="21">
        <f t="shared" si="4"/>
        <v>6.4875128347186006E-7</v>
      </c>
      <c r="G96" s="21">
        <f t="shared" si="4"/>
        <v>3.0918053173234483E-7</v>
      </c>
    </row>
    <row r="97" spans="2:7" x14ac:dyDescent="0.25">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AB27" sqref="AB27"/>
    </sheetView>
  </sheetViews>
  <sheetFormatPr defaultColWidth="9.140625" defaultRowHeight="12.75" x14ac:dyDescent="0.2"/>
  <cols>
    <col min="1" max="7" width="9.140625" style="496"/>
    <col min="8" max="8" width="11.42578125" style="496" customWidth="1"/>
    <col min="9" max="10" width="9.140625" style="496"/>
    <col min="11" max="11" width="10.5703125" style="496" bestFit="1" customWidth="1"/>
    <col min="12" max="13" width="9.140625" style="496"/>
    <col min="14" max="14" width="11.7109375" style="496" bestFit="1" customWidth="1"/>
    <col min="15" max="15" width="9.140625" style="496"/>
    <col min="16" max="16" width="9.140625" style="1132"/>
    <col min="17" max="17" width="11.7109375" style="496" customWidth="1"/>
    <col min="18" max="18" width="12" style="496" customWidth="1"/>
    <col min="19" max="19" width="18" style="496" customWidth="1"/>
    <col min="20" max="20" width="9.140625" style="496"/>
    <col min="21" max="21" width="13" style="496" customWidth="1"/>
    <col min="22" max="22" width="14.140625" style="496" customWidth="1"/>
    <col min="23" max="24" width="9.140625" style="496"/>
    <col min="25" max="25" width="11.140625" style="496" customWidth="1"/>
    <col min="26" max="16384" width="9.140625" style="496"/>
  </cols>
  <sheetData>
    <row r="1" spans="1:31" ht="15.75" thickBot="1" x14ac:dyDescent="0.3">
      <c r="A1" s="1305" t="s">
        <v>292</v>
      </c>
    </row>
    <row r="2" spans="1:31" x14ac:dyDescent="0.2">
      <c r="M2" s="1657" t="s">
        <v>366</v>
      </c>
      <c r="N2" s="1658"/>
    </row>
    <row r="3" spans="1:31" x14ac:dyDescent="0.2">
      <c r="M3" s="1659"/>
      <c r="N3" s="1660"/>
      <c r="P3" s="1132" t="s">
        <v>359</v>
      </c>
    </row>
    <row r="4" spans="1:31" ht="13.5" thickBot="1" x14ac:dyDescent="0.25">
      <c r="M4" s="1128" t="s">
        <v>295</v>
      </c>
      <c r="N4" s="1129">
        <v>4</v>
      </c>
    </row>
    <row r="5" spans="1:31" ht="13.5" thickBot="1" x14ac:dyDescent="0.25">
      <c r="B5" s="1170"/>
      <c r="C5" s="1164" t="str">
        <f t="array" ref="C5:K5">Fuels</f>
        <v>LPG</v>
      </c>
      <c r="D5" s="1164" t="str">
        <v>E85</v>
      </c>
      <c r="E5" s="1164" t="str">
        <v>Gasoline</v>
      </c>
      <c r="F5" s="1164" t="str">
        <v>Jet Fuel</v>
      </c>
      <c r="G5" s="1164" t="str">
        <v>Diesel</v>
      </c>
      <c r="H5" s="1164" t="str">
        <v>Residual Fuel Oil</v>
      </c>
      <c r="I5" s="1164" t="str">
        <v>CNG</v>
      </c>
      <c r="J5" s="1164" t="str">
        <v>Electricity</v>
      </c>
      <c r="K5" s="1165" t="str">
        <v>Hydrogen</v>
      </c>
      <c r="M5" s="1128" t="s">
        <v>296</v>
      </c>
      <c r="N5" s="1129">
        <v>0.5</v>
      </c>
      <c r="P5" s="1133" t="s">
        <v>290</v>
      </c>
      <c r="Q5" s="571" t="s">
        <v>291</v>
      </c>
      <c r="W5" s="1116"/>
    </row>
    <row r="6" spans="1:31" ht="13.5" thickBot="1" x14ac:dyDescent="0.25">
      <c r="B6" s="1161">
        <v>2007</v>
      </c>
      <c r="C6" s="1166">
        <v>1</v>
      </c>
      <c r="D6" s="1167">
        <v>1</v>
      </c>
      <c r="E6" s="1167">
        <v>1</v>
      </c>
      <c r="F6" s="1167">
        <v>1</v>
      </c>
      <c r="G6" s="1167">
        <v>1</v>
      </c>
      <c r="H6" s="1167">
        <v>1</v>
      </c>
      <c r="I6" s="1167">
        <v>1</v>
      </c>
      <c r="J6" s="1306">
        <f>VLOOKUP(Q23/Y23,$M$9:$N$109,2)</f>
        <v>0</v>
      </c>
      <c r="K6" s="1307">
        <f>VLOOKUP(U23/Y23,$M$9:$N$109,2)</f>
        <v>0</v>
      </c>
      <c r="M6" s="1130" t="s">
        <v>297</v>
      </c>
      <c r="N6" s="1131">
        <v>1</v>
      </c>
      <c r="P6" s="1132" t="s">
        <v>332</v>
      </c>
      <c r="Q6" s="496">
        <v>2</v>
      </c>
    </row>
    <row r="7" spans="1:31" x14ac:dyDescent="0.2">
      <c r="B7" s="1161">
        <v>2008</v>
      </c>
      <c r="C7" s="1168">
        <v>1</v>
      </c>
      <c r="D7" s="1159">
        <v>1</v>
      </c>
      <c r="E7" s="1159">
        <v>1</v>
      </c>
      <c r="F7" s="1159">
        <v>1</v>
      </c>
      <c r="G7" s="1159">
        <v>1</v>
      </c>
      <c r="H7" s="1159">
        <v>1</v>
      </c>
      <c r="I7" s="1159">
        <v>1</v>
      </c>
      <c r="J7" s="1308">
        <f t="shared" ref="J7:J49" si="0">VLOOKUP(Q24/Y24,$M$9:$N$109,2)</f>
        <v>0</v>
      </c>
      <c r="K7" s="1309">
        <f t="shared" ref="K7:K49" si="1">VLOOKUP(U24/Y24,$M$9:$N$109,2)</f>
        <v>0</v>
      </c>
      <c r="P7" s="1134" t="s">
        <v>3</v>
      </c>
      <c r="Q7" s="1117" t="s">
        <v>6</v>
      </c>
      <c r="R7" s="1117" t="s">
        <v>286</v>
      </c>
      <c r="S7" s="1117" t="s">
        <v>287</v>
      </c>
      <c r="T7" s="1117" t="s">
        <v>288</v>
      </c>
      <c r="U7" s="1117" t="s">
        <v>208</v>
      </c>
      <c r="V7" s="1117" t="s">
        <v>289</v>
      </c>
      <c r="W7" s="1117" t="s">
        <v>1</v>
      </c>
      <c r="X7" s="1117" t="s">
        <v>50</v>
      </c>
      <c r="Y7" s="538" t="s">
        <v>0</v>
      </c>
      <c r="Z7" s="1353" t="s">
        <v>413</v>
      </c>
      <c r="AD7" s="496" t="s">
        <v>6</v>
      </c>
      <c r="AE7" s="496" t="s">
        <v>208</v>
      </c>
    </row>
    <row r="8" spans="1:31" x14ac:dyDescent="0.2">
      <c r="B8" s="1161">
        <v>2009</v>
      </c>
      <c r="C8" s="1168">
        <v>1</v>
      </c>
      <c r="D8" s="1159">
        <v>1</v>
      </c>
      <c r="E8" s="1159">
        <v>1</v>
      </c>
      <c r="F8" s="1159">
        <v>1</v>
      </c>
      <c r="G8" s="1159">
        <v>1</v>
      </c>
      <c r="H8" s="1159">
        <v>1</v>
      </c>
      <c r="I8" s="1159">
        <v>1</v>
      </c>
      <c r="J8" s="1308">
        <f t="shared" si="0"/>
        <v>0</v>
      </c>
      <c r="K8" s="1309">
        <f t="shared" si="1"/>
        <v>0</v>
      </c>
      <c r="M8" s="496" t="s">
        <v>293</v>
      </c>
      <c r="N8" s="496" t="s">
        <v>294</v>
      </c>
      <c r="P8" s="1135">
        <v>1992</v>
      </c>
      <c r="Q8" s="1118"/>
      <c r="R8" s="1118">
        <v>3297</v>
      </c>
      <c r="S8" s="1118">
        <v>43</v>
      </c>
      <c r="T8" s="1118"/>
      <c r="U8" s="1118"/>
      <c r="V8" s="1118"/>
      <c r="W8" s="1118">
        <v>349</v>
      </c>
      <c r="X8" s="1118">
        <v>2</v>
      </c>
      <c r="Y8" s="1127"/>
      <c r="AC8" s="496">
        <v>1992</v>
      </c>
      <c r="AD8" s="1303" t="e">
        <f>Table1[[#This Row],[Electricity]]/Table1[[#This Row],[Gasoline]]</f>
        <v>#DIV/0!</v>
      </c>
      <c r="AE8" s="1303" t="e">
        <f>Table1[[#This Row],[Hydrogen]]/Table1[[#This Row],[Gasoline]]</f>
        <v>#DIV/0!</v>
      </c>
    </row>
    <row r="9" spans="1:31" x14ac:dyDescent="0.2">
      <c r="B9" s="1162">
        <v>2010</v>
      </c>
      <c r="C9" s="1168">
        <v>1</v>
      </c>
      <c r="D9" s="1159">
        <v>1</v>
      </c>
      <c r="E9" s="1159">
        <v>1</v>
      </c>
      <c r="F9" s="1159">
        <v>1</v>
      </c>
      <c r="G9" s="1159">
        <v>1</v>
      </c>
      <c r="H9" s="1159">
        <v>1</v>
      </c>
      <c r="I9" s="1159">
        <v>1</v>
      </c>
      <c r="J9" s="1308">
        <f t="shared" si="0"/>
        <v>0</v>
      </c>
      <c r="K9" s="1309">
        <f t="shared" si="1"/>
        <v>0</v>
      </c>
      <c r="M9" s="1304">
        <v>0</v>
      </c>
      <c r="N9" s="1289">
        <f t="shared" ref="N9:N40" si="2">WEIBULL(M9,$N$4,$N$5,$N$6)</f>
        <v>0</v>
      </c>
      <c r="P9" s="1135">
        <v>1993</v>
      </c>
      <c r="Q9" s="1118"/>
      <c r="R9" s="1118">
        <v>3297</v>
      </c>
      <c r="S9" s="1118">
        <v>50</v>
      </c>
      <c r="T9" s="1118"/>
      <c r="U9" s="1118"/>
      <c r="V9" s="1118"/>
      <c r="W9" s="1118">
        <v>497</v>
      </c>
      <c r="X9" s="1118">
        <v>7</v>
      </c>
      <c r="Y9" s="1127"/>
      <c r="AC9" s="496">
        <v>1993</v>
      </c>
      <c r="AD9" s="1303" t="e">
        <f>Table1[[#This Row],[Electricity]]/Table1[[#This Row],[Gasoline]]</f>
        <v>#DIV/0!</v>
      </c>
      <c r="AE9" s="1303" t="e">
        <f>Table1[[#This Row],[Hydrogen]]/Table1[[#This Row],[Gasoline]]</f>
        <v>#DIV/0!</v>
      </c>
    </row>
    <row r="10" spans="1:31" x14ac:dyDescent="0.2">
      <c r="B10" s="1162">
        <v>2011</v>
      </c>
      <c r="C10" s="1168">
        <v>1</v>
      </c>
      <c r="D10" s="1159">
        <v>1</v>
      </c>
      <c r="E10" s="1159">
        <v>1</v>
      </c>
      <c r="F10" s="1159">
        <v>1</v>
      </c>
      <c r="G10" s="1159">
        <v>1</v>
      </c>
      <c r="H10" s="1159">
        <v>1</v>
      </c>
      <c r="I10" s="1159">
        <v>1</v>
      </c>
      <c r="J10" s="1308">
        <f t="shared" si="0"/>
        <v>1.5999998720000074E-7</v>
      </c>
      <c r="K10" s="1309">
        <f t="shared" si="1"/>
        <v>0</v>
      </c>
      <c r="M10" s="1304">
        <v>0.01</v>
      </c>
      <c r="N10" s="1289">
        <f t="shared" si="2"/>
        <v>1.5999998720000074E-7</v>
      </c>
      <c r="P10" s="1135">
        <v>1994</v>
      </c>
      <c r="Q10" s="1118"/>
      <c r="R10" s="1118">
        <v>3299</v>
      </c>
      <c r="S10" s="1118">
        <v>82</v>
      </c>
      <c r="T10" s="1118"/>
      <c r="U10" s="1118"/>
      <c r="V10" s="1118"/>
      <c r="W10" s="1118">
        <v>1042</v>
      </c>
      <c r="X10" s="1118">
        <v>32</v>
      </c>
      <c r="Y10" s="1127"/>
      <c r="AC10" s="496">
        <v>1994</v>
      </c>
      <c r="AD10" s="1303" t="e">
        <f>Table1[[#This Row],[Electricity]]/Table1[[#This Row],[Gasoline]]</f>
        <v>#DIV/0!</v>
      </c>
      <c r="AE10" s="1303" t="e">
        <f>Table1[[#This Row],[Hydrogen]]/Table1[[#This Row],[Gasoline]]</f>
        <v>#DIV/0!</v>
      </c>
    </row>
    <row r="11" spans="1:31" x14ac:dyDescent="0.2">
      <c r="B11" s="1162">
        <v>2012</v>
      </c>
      <c r="C11" s="1168">
        <v>1</v>
      </c>
      <c r="D11" s="1159">
        <v>1</v>
      </c>
      <c r="E11" s="1159">
        <v>1</v>
      </c>
      <c r="F11" s="1159">
        <v>1</v>
      </c>
      <c r="G11" s="1159">
        <v>1</v>
      </c>
      <c r="H11" s="1159">
        <v>1</v>
      </c>
      <c r="I11" s="1159">
        <v>1</v>
      </c>
      <c r="J11" s="1308">
        <f t="shared" si="0"/>
        <v>4.0959161150653103E-5</v>
      </c>
      <c r="K11" s="1309">
        <f t="shared" si="1"/>
        <v>0</v>
      </c>
      <c r="M11" s="1304">
        <f>M10+0.01</f>
        <v>0.02</v>
      </c>
      <c r="N11" s="1289">
        <f t="shared" si="2"/>
        <v>2.559996723202798E-6</v>
      </c>
      <c r="P11" s="1135">
        <v>1995</v>
      </c>
      <c r="Q11" s="1118">
        <f>188</f>
        <v>188</v>
      </c>
      <c r="R11" s="1118">
        <v>3299</v>
      </c>
      <c r="S11" s="1118">
        <v>88</v>
      </c>
      <c r="T11" s="1118"/>
      <c r="U11" s="1118"/>
      <c r="V11" s="1118"/>
      <c r="W11" s="1118">
        <v>1065</v>
      </c>
      <c r="X11" s="1118">
        <v>37</v>
      </c>
      <c r="Y11" s="1127"/>
      <c r="AC11" s="496">
        <v>1995</v>
      </c>
      <c r="AD11" s="1303" t="e">
        <f>Table1[[#This Row],[Electricity]]/Table1[[#This Row],[Gasoline]]</f>
        <v>#DIV/0!</v>
      </c>
      <c r="AE11" s="1303" t="e">
        <f>Table1[[#This Row],[Hydrogen]]/Table1[[#This Row],[Gasoline]]</f>
        <v>#DIV/0!</v>
      </c>
    </row>
    <row r="12" spans="1:31" x14ac:dyDescent="0.2">
      <c r="B12" s="1162">
        <v>2013</v>
      </c>
      <c r="C12" s="1168">
        <v>1</v>
      </c>
      <c r="D12" s="1159">
        <v>1</v>
      </c>
      <c r="E12" s="1159">
        <v>1</v>
      </c>
      <c r="F12" s="1159">
        <v>1</v>
      </c>
      <c r="G12" s="1159">
        <v>1</v>
      </c>
      <c r="H12" s="1159">
        <v>1</v>
      </c>
      <c r="I12" s="1159">
        <v>1</v>
      </c>
      <c r="J12" s="1308">
        <f t="shared" si="0"/>
        <v>2.0733850240113979E-4</v>
      </c>
      <c r="K12" s="1309">
        <f t="shared" si="1"/>
        <v>0</v>
      </c>
      <c r="M12" s="1304">
        <f t="shared" ref="M12:M75" si="3">M11+0.01</f>
        <v>0.03</v>
      </c>
      <c r="N12" s="1289">
        <f t="shared" si="2"/>
        <v>1.2959916019562793E-5</v>
      </c>
      <c r="P12" s="1135">
        <v>1996</v>
      </c>
      <c r="Q12" s="1118">
        <f>194</f>
        <v>194</v>
      </c>
      <c r="R12" s="1118">
        <v>4252</v>
      </c>
      <c r="S12" s="1118">
        <v>95</v>
      </c>
      <c r="T12" s="1118">
        <v>72</v>
      </c>
      <c r="U12" s="1118"/>
      <c r="V12" s="1118"/>
      <c r="W12" s="1118">
        <v>1419</v>
      </c>
      <c r="X12" s="1118">
        <v>68</v>
      </c>
      <c r="Y12" s="1127">
        <v>190246</v>
      </c>
      <c r="AC12" s="496">
        <v>1996</v>
      </c>
      <c r="AD12" s="1303">
        <f>Table1[[#This Row],[Electricity]]/Table1[[#This Row],[Gasoline]]</f>
        <v>1.0197323465407945E-3</v>
      </c>
      <c r="AE12" s="1303">
        <f>Table1[[#This Row],[Hydrogen]]/Table1[[#This Row],[Gasoline]]</f>
        <v>0</v>
      </c>
    </row>
    <row r="13" spans="1:31" x14ac:dyDescent="0.2">
      <c r="B13" s="1162">
        <v>2014</v>
      </c>
      <c r="C13" s="1168">
        <v>1</v>
      </c>
      <c r="D13" s="1159">
        <v>1</v>
      </c>
      <c r="E13" s="1159">
        <v>1</v>
      </c>
      <c r="F13" s="1159">
        <v>1</v>
      </c>
      <c r="G13" s="1159">
        <v>1</v>
      </c>
      <c r="H13" s="1159">
        <v>1</v>
      </c>
      <c r="I13" s="1159">
        <v>1</v>
      </c>
      <c r="J13" s="1308">
        <f t="shared" si="0"/>
        <v>6.5514529854001074E-4</v>
      </c>
      <c r="K13" s="1309">
        <f t="shared" si="1"/>
        <v>0</v>
      </c>
      <c r="M13" s="1304">
        <f t="shared" si="3"/>
        <v>0.04</v>
      </c>
      <c r="N13" s="1289">
        <f t="shared" si="2"/>
        <v>4.0959161150653103E-5</v>
      </c>
      <c r="P13" s="1135">
        <v>1997</v>
      </c>
      <c r="Q13" s="1118">
        <f>310</f>
        <v>310</v>
      </c>
      <c r="R13" s="1118">
        <v>4255</v>
      </c>
      <c r="S13" s="1118">
        <v>106</v>
      </c>
      <c r="T13" s="1118">
        <v>71</v>
      </c>
      <c r="U13" s="1118"/>
      <c r="V13" s="1118"/>
      <c r="W13" s="1118">
        <v>1426</v>
      </c>
      <c r="X13" s="1118">
        <v>71</v>
      </c>
      <c r="Y13" s="1127">
        <v>187892</v>
      </c>
      <c r="AC13" s="496">
        <v>1997</v>
      </c>
      <c r="AD13" s="1303">
        <f>Table1[[#This Row],[Electricity]]/Table1[[#This Row],[Gasoline]]</f>
        <v>1.6498839759010496E-3</v>
      </c>
      <c r="AE13" s="1303">
        <f>Table1[[#This Row],[Hydrogen]]/Table1[[#This Row],[Gasoline]]</f>
        <v>0</v>
      </c>
    </row>
    <row r="14" spans="1:31" x14ac:dyDescent="0.2">
      <c r="B14" s="1162">
        <v>2015</v>
      </c>
      <c r="C14" s="1168">
        <v>1</v>
      </c>
      <c r="D14" s="1159">
        <v>1</v>
      </c>
      <c r="E14" s="1159">
        <v>1</v>
      </c>
      <c r="F14" s="1159">
        <v>1</v>
      </c>
      <c r="G14" s="1159">
        <v>1</v>
      </c>
      <c r="H14" s="1159">
        <v>1</v>
      </c>
      <c r="I14" s="1159">
        <v>1</v>
      </c>
      <c r="J14" s="1308">
        <f t="shared" si="0"/>
        <v>1.0492091947258413E-3</v>
      </c>
      <c r="K14" s="1309">
        <f t="shared" si="1"/>
        <v>0</v>
      </c>
      <c r="M14" s="1304">
        <f t="shared" si="3"/>
        <v>0.05</v>
      </c>
      <c r="N14" s="1289">
        <f t="shared" si="2"/>
        <v>9.999500016666259E-5</v>
      </c>
      <c r="P14" s="1135">
        <v>1998</v>
      </c>
      <c r="Q14" s="1118">
        <f>486</f>
        <v>486</v>
      </c>
      <c r="R14" s="1118">
        <v>5318</v>
      </c>
      <c r="S14" s="1118">
        <v>91</v>
      </c>
      <c r="T14" s="1118">
        <v>66</v>
      </c>
      <c r="U14" s="1118"/>
      <c r="V14" s="1118"/>
      <c r="W14" s="1118">
        <v>1268</v>
      </c>
      <c r="X14" s="1118">
        <v>40</v>
      </c>
      <c r="Y14" s="1127">
        <v>182596</v>
      </c>
      <c r="AC14" s="496">
        <v>1998</v>
      </c>
      <c r="AD14" s="1303">
        <f>Table1[[#This Row],[Electricity]]/Table1[[#This Row],[Gasoline]]</f>
        <v>2.6616136169467018E-3</v>
      </c>
      <c r="AE14" s="1303">
        <f>Table1[[#This Row],[Hydrogen]]/Table1[[#This Row],[Gasoline]]</f>
        <v>0</v>
      </c>
    </row>
    <row r="15" spans="1:31" x14ac:dyDescent="0.2">
      <c r="B15" s="1162">
        <v>2016</v>
      </c>
      <c r="C15" s="1168">
        <v>1</v>
      </c>
      <c r="D15" s="1159">
        <v>1</v>
      </c>
      <c r="E15" s="1159">
        <v>1</v>
      </c>
      <c r="F15" s="1159">
        <v>1</v>
      </c>
      <c r="G15" s="1159">
        <v>1</v>
      </c>
      <c r="H15" s="1159">
        <v>1</v>
      </c>
      <c r="I15" s="1159">
        <v>1</v>
      </c>
      <c r="J15" s="1308">
        <f t="shared" si="0"/>
        <v>4.5593345334435922E-3</v>
      </c>
      <c r="K15" s="1309">
        <f t="shared" si="1"/>
        <v>0</v>
      </c>
      <c r="M15" s="1304">
        <f t="shared" si="3"/>
        <v>6.0000000000000005E-2</v>
      </c>
      <c r="N15" s="1289">
        <f t="shared" si="2"/>
        <v>2.0733850240113979E-4</v>
      </c>
      <c r="P15" s="1135">
        <v>1999</v>
      </c>
      <c r="Q15" s="1118">
        <f>490</f>
        <v>490</v>
      </c>
      <c r="R15" s="1118">
        <v>4153</v>
      </c>
      <c r="S15" s="1118">
        <v>51</v>
      </c>
      <c r="T15" s="1118">
        <v>46</v>
      </c>
      <c r="U15" s="1118"/>
      <c r="V15" s="1118"/>
      <c r="W15" s="1118">
        <v>1267</v>
      </c>
      <c r="X15" s="1118">
        <v>49</v>
      </c>
      <c r="Y15" s="1127">
        <v>180567</v>
      </c>
      <c r="AC15" s="496">
        <v>1999</v>
      </c>
      <c r="AD15" s="1303">
        <f>Table1[[#This Row],[Electricity]]/Table1[[#This Row],[Gasoline]]</f>
        <v>2.7136741486539621E-3</v>
      </c>
      <c r="AE15" s="1303">
        <f>Table1[[#This Row],[Hydrogen]]/Table1[[#This Row],[Gasoline]]</f>
        <v>0</v>
      </c>
    </row>
    <row r="16" spans="1:31" x14ac:dyDescent="0.2">
      <c r="B16" s="1162">
        <v>2017</v>
      </c>
      <c r="C16" s="1168">
        <v>1</v>
      </c>
      <c r="D16" s="1159">
        <v>1</v>
      </c>
      <c r="E16" s="1159">
        <v>1</v>
      </c>
      <c r="F16" s="1159">
        <v>1</v>
      </c>
      <c r="G16" s="1159">
        <v>1</v>
      </c>
      <c r="H16" s="1159">
        <v>1</v>
      </c>
      <c r="I16" s="1159">
        <v>1</v>
      </c>
      <c r="J16" s="1308">
        <f t="shared" si="0"/>
        <v>1.0430976069530742E-2</v>
      </c>
      <c r="K16" s="1309">
        <f t="shared" si="1"/>
        <v>0</v>
      </c>
      <c r="M16" s="1304">
        <f t="shared" si="3"/>
        <v>7.0000000000000007E-2</v>
      </c>
      <c r="N16" s="1289">
        <f t="shared" si="2"/>
        <v>3.8408621999527803E-4</v>
      </c>
      <c r="P16" s="1135">
        <v>2000</v>
      </c>
      <c r="Q16" s="1118">
        <f>558</f>
        <v>558</v>
      </c>
      <c r="R16" s="1118">
        <v>3268</v>
      </c>
      <c r="S16" s="1118">
        <v>3</v>
      </c>
      <c r="T16" s="1118">
        <v>44</v>
      </c>
      <c r="U16" s="1118"/>
      <c r="V16" s="1118">
        <v>2</v>
      </c>
      <c r="W16" s="1118">
        <v>1217</v>
      </c>
      <c r="X16" s="1118">
        <v>113</v>
      </c>
      <c r="Y16" s="1127">
        <v>175941</v>
      </c>
      <c r="AC16" s="496">
        <v>2000</v>
      </c>
      <c r="AD16" s="1303">
        <f>Table1[[#This Row],[Electricity]]/Table1[[#This Row],[Gasoline]]</f>
        <v>3.1715177246918001E-3</v>
      </c>
      <c r="AE16" s="1303">
        <f>Table1[[#This Row],[Hydrogen]]/Table1[[#This Row],[Gasoline]]</f>
        <v>0</v>
      </c>
    </row>
    <row r="17" spans="2:31" x14ac:dyDescent="0.2">
      <c r="B17" s="1162">
        <v>2018</v>
      </c>
      <c r="C17" s="1168">
        <v>1</v>
      </c>
      <c r="D17" s="1159">
        <v>1</v>
      </c>
      <c r="E17" s="1159">
        <v>1</v>
      </c>
      <c r="F17" s="1159">
        <v>1</v>
      </c>
      <c r="G17" s="1159">
        <v>1</v>
      </c>
      <c r="H17" s="1159">
        <v>1</v>
      </c>
      <c r="I17" s="1159">
        <v>1</v>
      </c>
      <c r="J17" s="1308">
        <f t="shared" si="0"/>
        <v>2.063547350575257E-2</v>
      </c>
      <c r="K17" s="1309">
        <f t="shared" si="1"/>
        <v>0</v>
      </c>
      <c r="M17" s="1304">
        <f t="shared" si="3"/>
        <v>0.08</v>
      </c>
      <c r="N17" s="1289">
        <f t="shared" si="2"/>
        <v>6.5514529854001074E-4</v>
      </c>
      <c r="P17" s="1135">
        <v>2001</v>
      </c>
      <c r="Q17" s="1118">
        <f>693</f>
        <v>693</v>
      </c>
      <c r="R17" s="1118">
        <v>3403</v>
      </c>
      <c r="S17" s="1118"/>
      <c r="T17" s="1118">
        <v>44</v>
      </c>
      <c r="U17" s="1118"/>
      <c r="V17" s="1118">
        <v>16</v>
      </c>
      <c r="W17" s="1118">
        <v>1232</v>
      </c>
      <c r="X17" s="1118">
        <v>154</v>
      </c>
      <c r="Y17" s="1127">
        <v>172169</v>
      </c>
      <c r="AC17" s="496">
        <v>2001</v>
      </c>
      <c r="AD17" s="1303">
        <f>Table1[[#This Row],[Electricity]]/Table1[[#This Row],[Gasoline]]</f>
        <v>4.0251148580754958E-3</v>
      </c>
      <c r="AE17" s="1303">
        <f>Table1[[#This Row],[Hydrogen]]/Table1[[#This Row],[Gasoline]]</f>
        <v>0</v>
      </c>
    </row>
    <row r="18" spans="2:31" x14ac:dyDescent="0.2">
      <c r="B18" s="1162">
        <v>2019</v>
      </c>
      <c r="C18" s="1168">
        <v>1</v>
      </c>
      <c r="D18" s="1159">
        <v>1</v>
      </c>
      <c r="E18" s="1159">
        <v>1</v>
      </c>
      <c r="F18" s="1159">
        <v>1</v>
      </c>
      <c r="G18" s="1159">
        <v>1</v>
      </c>
      <c r="H18" s="1159">
        <v>1</v>
      </c>
      <c r="I18" s="1159">
        <v>1</v>
      </c>
      <c r="J18" s="1308">
        <f t="shared" si="0"/>
        <v>2.5275098398206075E-2</v>
      </c>
      <c r="K18" s="1309">
        <f t="shared" si="1"/>
        <v>0</v>
      </c>
      <c r="M18" s="1304">
        <f t="shared" si="3"/>
        <v>0.09</v>
      </c>
      <c r="N18" s="1289">
        <f t="shared" si="2"/>
        <v>1.0492091947258413E-3</v>
      </c>
      <c r="P18" s="1135">
        <v>2002</v>
      </c>
      <c r="Q18" s="1118">
        <f>873</f>
        <v>873</v>
      </c>
      <c r="R18" s="1118">
        <v>3431</v>
      </c>
      <c r="S18" s="1118"/>
      <c r="T18" s="1118">
        <v>36</v>
      </c>
      <c r="U18" s="1118">
        <v>7</v>
      </c>
      <c r="V18" s="1118">
        <v>79</v>
      </c>
      <c r="W18" s="1118">
        <v>1166</v>
      </c>
      <c r="X18" s="1118">
        <v>149</v>
      </c>
      <c r="Y18" s="1127">
        <v>170018</v>
      </c>
      <c r="AC18" s="496">
        <v>2002</v>
      </c>
      <c r="AD18" s="1303">
        <f>Table1[[#This Row],[Electricity]]/Table1[[#This Row],[Gasoline]]</f>
        <v>5.1347504381888979E-3</v>
      </c>
      <c r="AE18" s="1303">
        <f>Table1[[#This Row],[Hydrogen]]/Table1[[#This Row],[Gasoline]]</f>
        <v>4.1172111188227128E-5</v>
      </c>
    </row>
    <row r="19" spans="2:31" x14ac:dyDescent="0.2">
      <c r="B19" s="1162">
        <v>2020</v>
      </c>
      <c r="C19" s="1168">
        <v>1</v>
      </c>
      <c r="D19" s="1159">
        <v>1</v>
      </c>
      <c r="E19" s="1159">
        <v>1</v>
      </c>
      <c r="F19" s="1159">
        <v>1</v>
      </c>
      <c r="G19" s="1159">
        <v>1</v>
      </c>
      <c r="H19" s="1159">
        <v>1</v>
      </c>
      <c r="I19" s="1159">
        <v>1</v>
      </c>
      <c r="J19" s="1308">
        <f t="shared" si="0"/>
        <v>4.3786973799347463E-2</v>
      </c>
      <c r="K19" s="1309">
        <f t="shared" si="1"/>
        <v>0</v>
      </c>
      <c r="M19" s="1304">
        <f t="shared" si="3"/>
        <v>9.9999999999999992E-2</v>
      </c>
      <c r="N19" s="1289">
        <f t="shared" si="2"/>
        <v>1.5987206823936864E-3</v>
      </c>
      <c r="P19" s="1135">
        <v>2003</v>
      </c>
      <c r="Q19" s="1118">
        <f>830</f>
        <v>830</v>
      </c>
      <c r="R19" s="1118">
        <v>3966</v>
      </c>
      <c r="S19" s="1118"/>
      <c r="T19" s="1118">
        <v>62</v>
      </c>
      <c r="U19" s="1118">
        <v>7</v>
      </c>
      <c r="V19" s="1118">
        <v>142</v>
      </c>
      <c r="W19" s="1118">
        <v>1035</v>
      </c>
      <c r="X19" s="1118">
        <v>188</v>
      </c>
      <c r="Y19" s="1127">
        <v>167571</v>
      </c>
      <c r="AC19" s="496">
        <v>2003</v>
      </c>
      <c r="AD19" s="1303">
        <f>Table1[[#This Row],[Electricity]]/Table1[[#This Row],[Gasoline]]</f>
        <v>4.9531243472915954E-3</v>
      </c>
      <c r="AE19" s="1303">
        <f>Table1[[#This Row],[Hydrogen]]/Table1[[#This Row],[Gasoline]]</f>
        <v>4.1773337868724299E-5</v>
      </c>
    </row>
    <row r="20" spans="2:31" x14ac:dyDescent="0.2">
      <c r="B20" s="1162">
        <v>2021</v>
      </c>
      <c r="C20" s="1168">
        <v>1</v>
      </c>
      <c r="D20" s="1159">
        <v>1</v>
      </c>
      <c r="E20" s="1159">
        <v>1</v>
      </c>
      <c r="F20" s="1159">
        <v>1</v>
      </c>
      <c r="G20" s="1159">
        <v>1</v>
      </c>
      <c r="H20" s="1159">
        <v>1</v>
      </c>
      <c r="I20" s="1159">
        <v>1</v>
      </c>
      <c r="J20" s="1308">
        <f t="shared" si="0"/>
        <v>6.0586937186524262E-2</v>
      </c>
      <c r="K20" s="1309">
        <f t="shared" si="1"/>
        <v>0</v>
      </c>
      <c r="M20" s="1304">
        <f t="shared" si="3"/>
        <v>0.10999999999999999</v>
      </c>
      <c r="N20" s="1289">
        <f t="shared" si="2"/>
        <v>2.3398183475694901E-3</v>
      </c>
      <c r="P20" s="1135">
        <v>2004</v>
      </c>
      <c r="Q20" s="1118">
        <f>671</f>
        <v>671</v>
      </c>
      <c r="R20" s="1118">
        <v>3689</v>
      </c>
      <c r="S20" s="1119"/>
      <c r="T20" s="1118">
        <v>58</v>
      </c>
      <c r="U20" s="1118">
        <v>9</v>
      </c>
      <c r="V20" s="1118">
        <v>176</v>
      </c>
      <c r="W20" s="1118">
        <v>917</v>
      </c>
      <c r="X20" s="1118">
        <v>200</v>
      </c>
      <c r="Y20" s="1127">
        <v>167346</v>
      </c>
      <c r="AC20" s="496">
        <v>2004</v>
      </c>
      <c r="AD20" s="1303">
        <f>Table1[[#This Row],[Electricity]]/Table1[[#This Row],[Gasoline]]</f>
        <v>4.0096566395372464E-3</v>
      </c>
      <c r="AE20" s="1303">
        <f>Table1[[#This Row],[Hydrogen]]/Table1[[#This Row],[Gasoline]]</f>
        <v>5.378078950198989E-5</v>
      </c>
    </row>
    <row r="21" spans="2:31" x14ac:dyDescent="0.2">
      <c r="B21" s="1162">
        <v>2022</v>
      </c>
      <c r="C21" s="1168">
        <v>1</v>
      </c>
      <c r="D21" s="1159">
        <v>1</v>
      </c>
      <c r="E21" s="1159">
        <v>1</v>
      </c>
      <c r="F21" s="1159">
        <v>1</v>
      </c>
      <c r="G21" s="1159">
        <v>1</v>
      </c>
      <c r="H21" s="1159">
        <v>1</v>
      </c>
      <c r="I21" s="1159">
        <v>1</v>
      </c>
      <c r="J21" s="1308">
        <f t="shared" si="0"/>
        <v>9.3663799913688631E-2</v>
      </c>
      <c r="K21" s="1309">
        <f t="shared" si="1"/>
        <v>0</v>
      </c>
      <c r="M21" s="1304">
        <f t="shared" si="3"/>
        <v>0.11999999999999998</v>
      </c>
      <c r="N21" s="1289">
        <f t="shared" si="2"/>
        <v>3.3122623159705469E-3</v>
      </c>
      <c r="P21" s="1135">
        <v>2005</v>
      </c>
      <c r="Q21" s="1118">
        <f>588</f>
        <v>588</v>
      </c>
      <c r="R21" s="1118">
        <v>2995</v>
      </c>
      <c r="S21" s="1119"/>
      <c r="T21" s="1118">
        <v>40</v>
      </c>
      <c r="U21" s="1118">
        <v>14</v>
      </c>
      <c r="V21" s="1118">
        <v>304</v>
      </c>
      <c r="W21" s="1118">
        <v>787</v>
      </c>
      <c r="X21" s="1118">
        <v>436</v>
      </c>
      <c r="Y21" s="1127">
        <v>168987</v>
      </c>
      <c r="AC21" s="496">
        <v>2005</v>
      </c>
      <c r="AD21" s="1303">
        <f>Table1[[#This Row],[Electricity]]/Table1[[#This Row],[Gasoline]]</f>
        <v>3.4795575991052566E-3</v>
      </c>
      <c r="AE21" s="1303">
        <f>Table1[[#This Row],[Hydrogen]]/Table1[[#This Row],[Gasoline]]</f>
        <v>8.284660950250611E-5</v>
      </c>
    </row>
    <row r="22" spans="2:31" x14ac:dyDescent="0.2">
      <c r="B22" s="1162">
        <v>2023</v>
      </c>
      <c r="C22" s="1168">
        <v>1</v>
      </c>
      <c r="D22" s="1159">
        <v>1</v>
      </c>
      <c r="E22" s="1159">
        <v>1</v>
      </c>
      <c r="F22" s="1159">
        <v>1</v>
      </c>
      <c r="G22" s="1159">
        <v>1</v>
      </c>
      <c r="H22" s="1159">
        <v>1</v>
      </c>
      <c r="I22" s="1159">
        <v>1</v>
      </c>
      <c r="J22" s="1308">
        <f t="shared" si="0"/>
        <v>0.12155326065006883</v>
      </c>
      <c r="K22" s="1309">
        <f t="shared" si="1"/>
        <v>0</v>
      </c>
      <c r="M22" s="1304">
        <f t="shared" si="3"/>
        <v>0.12999999999999998</v>
      </c>
      <c r="N22" s="1289">
        <f t="shared" si="2"/>
        <v>4.5593345334435922E-3</v>
      </c>
      <c r="P22" s="1135">
        <v>2006</v>
      </c>
      <c r="Q22" s="1118">
        <f>465</f>
        <v>465</v>
      </c>
      <c r="R22" s="1118">
        <v>2619</v>
      </c>
      <c r="S22" s="1118"/>
      <c r="T22" s="1118">
        <v>37</v>
      </c>
      <c r="U22" s="1118">
        <v>17</v>
      </c>
      <c r="V22" s="1118">
        <v>459</v>
      </c>
      <c r="W22" s="1118">
        <v>732</v>
      </c>
      <c r="X22" s="1118">
        <v>762</v>
      </c>
      <c r="Y22" s="1127">
        <v>167476</v>
      </c>
      <c r="AC22" s="496">
        <v>2006</v>
      </c>
      <c r="AD22" s="1303">
        <f>Table1[[#This Row],[Electricity]]/Table1[[#This Row],[Gasoline]]</f>
        <v>2.7765172323198548E-3</v>
      </c>
      <c r="AE22" s="1303">
        <f>Table1[[#This Row],[Hydrogen]]/Table1[[#This Row],[Gasoline]]</f>
        <v>1.0150708161169362E-4</v>
      </c>
    </row>
    <row r="23" spans="2:31" x14ac:dyDescent="0.2">
      <c r="B23" s="1162">
        <v>2024</v>
      </c>
      <c r="C23" s="1168">
        <v>1</v>
      </c>
      <c r="D23" s="1159">
        <v>1</v>
      </c>
      <c r="E23" s="1159">
        <v>1</v>
      </c>
      <c r="F23" s="1159">
        <v>1</v>
      </c>
      <c r="G23" s="1159">
        <v>1</v>
      </c>
      <c r="H23" s="1159">
        <v>1</v>
      </c>
      <c r="I23" s="1159">
        <v>1</v>
      </c>
      <c r="J23" s="1308">
        <f t="shared" si="0"/>
        <v>0.15445353795437128</v>
      </c>
      <c r="K23" s="1309">
        <f t="shared" si="1"/>
        <v>0</v>
      </c>
      <c r="M23" s="1304">
        <f t="shared" si="3"/>
        <v>0.13999999999999999</v>
      </c>
      <c r="N23" s="1289">
        <f t="shared" si="2"/>
        <v>6.1277085437277685E-3</v>
      </c>
      <c r="P23" s="1135">
        <v>2007</v>
      </c>
      <c r="Q23" s="1120">
        <f>442</f>
        <v>442</v>
      </c>
      <c r="R23" s="1120">
        <v>2371</v>
      </c>
      <c r="S23" s="1118"/>
      <c r="T23" s="1118">
        <v>35</v>
      </c>
      <c r="U23" s="1118">
        <v>32</v>
      </c>
      <c r="V23" s="1120">
        <v>742</v>
      </c>
      <c r="W23" s="1120">
        <v>721</v>
      </c>
      <c r="X23" s="1120">
        <v>1208</v>
      </c>
      <c r="Y23" s="1127">
        <v>164292</v>
      </c>
      <c r="AC23" s="496">
        <v>2007</v>
      </c>
      <c r="AD23" s="1303">
        <f>Table1[[#This Row],[Electricity]]/Table1[[#This Row],[Gasoline]]</f>
        <v>2.6903318481727658E-3</v>
      </c>
      <c r="AE23" s="1303">
        <f>Table1[[#This Row],[Hydrogen]]/Table1[[#This Row],[Gasoline]]</f>
        <v>1.9477515642879752E-4</v>
      </c>
    </row>
    <row r="24" spans="2:31" x14ac:dyDescent="0.2">
      <c r="B24" s="1162">
        <v>2025</v>
      </c>
      <c r="C24" s="1168">
        <v>1</v>
      </c>
      <c r="D24" s="1159">
        <v>1</v>
      </c>
      <c r="E24" s="1159">
        <v>1</v>
      </c>
      <c r="F24" s="1159">
        <v>1</v>
      </c>
      <c r="G24" s="1159">
        <v>1</v>
      </c>
      <c r="H24" s="1159">
        <v>1</v>
      </c>
      <c r="I24" s="1159">
        <v>1</v>
      </c>
      <c r="J24" s="1308">
        <f t="shared" si="0"/>
        <v>0.21345079778654535</v>
      </c>
      <c r="K24" s="1309">
        <f t="shared" si="1"/>
        <v>1.5999998720000074E-7</v>
      </c>
      <c r="M24" s="1304">
        <f t="shared" si="3"/>
        <v>0.15</v>
      </c>
      <c r="N24" s="1289">
        <f t="shared" si="2"/>
        <v>8.0672833944288314E-3</v>
      </c>
      <c r="P24" s="1135">
        <v>2008</v>
      </c>
      <c r="Q24" s="1120">
        <f>430</f>
        <v>430</v>
      </c>
      <c r="R24" s="1120">
        <v>2175</v>
      </c>
      <c r="S24" s="1118"/>
      <c r="T24" s="1124">
        <v>38</v>
      </c>
      <c r="U24" s="1118">
        <v>46</v>
      </c>
      <c r="V24" s="1120">
        <v>645</v>
      </c>
      <c r="W24" s="1120">
        <v>778</v>
      </c>
      <c r="X24" s="1120">
        <v>1644</v>
      </c>
      <c r="Y24" s="1127">
        <v>161078</v>
      </c>
      <c r="AC24" s="496">
        <v>2008</v>
      </c>
      <c r="AD24" s="1303">
        <f>Table1[[#This Row],[Electricity]]/Table1[[#This Row],[Gasoline]]</f>
        <v>2.6695141484249867E-3</v>
      </c>
      <c r="AE24" s="1303">
        <f>Table1[[#This Row],[Hydrogen]]/Table1[[#This Row],[Gasoline]]</f>
        <v>2.8557593215709158E-4</v>
      </c>
    </row>
    <row r="25" spans="2:31" x14ac:dyDescent="0.2">
      <c r="B25" s="1162">
        <v>2026</v>
      </c>
      <c r="C25" s="1168">
        <v>1</v>
      </c>
      <c r="D25" s="1159">
        <v>1</v>
      </c>
      <c r="E25" s="1159">
        <v>1</v>
      </c>
      <c r="F25" s="1159">
        <v>1</v>
      </c>
      <c r="G25" s="1159">
        <v>1</v>
      </c>
      <c r="H25" s="1159">
        <v>1</v>
      </c>
      <c r="I25" s="1159">
        <v>1</v>
      </c>
      <c r="J25" s="1308">
        <f t="shared" si="0"/>
        <v>0.25908232520512747</v>
      </c>
      <c r="K25" s="1309">
        <f t="shared" si="1"/>
        <v>2.559996723202798E-6</v>
      </c>
      <c r="M25" s="1304">
        <f t="shared" si="3"/>
        <v>0.16</v>
      </c>
      <c r="N25" s="1289">
        <f t="shared" si="2"/>
        <v>1.0430976069530742E-2</v>
      </c>
      <c r="P25" s="1135">
        <v>2009</v>
      </c>
      <c r="Q25" s="1120">
        <f>465</f>
        <v>465</v>
      </c>
      <c r="R25" s="1120">
        <v>2468</v>
      </c>
      <c r="S25" s="1118"/>
      <c r="T25" s="1124">
        <v>36</v>
      </c>
      <c r="U25" s="1118">
        <v>63</v>
      </c>
      <c r="V25" s="1120">
        <v>679</v>
      </c>
      <c r="W25" s="1120">
        <v>772</v>
      </c>
      <c r="X25" s="1120">
        <v>1928</v>
      </c>
      <c r="Y25" s="1127">
        <v>162350</v>
      </c>
      <c r="AC25" s="496">
        <v>2009</v>
      </c>
      <c r="AD25" s="1303">
        <f>Table1[[#This Row],[Electricity]]/Table1[[#This Row],[Gasoline]]</f>
        <v>2.864182322143517E-3</v>
      </c>
      <c r="AE25" s="1303">
        <f>Table1[[#This Row],[Hydrogen]]/Table1[[#This Row],[Gasoline]]</f>
        <v>3.8805050816137976E-4</v>
      </c>
    </row>
    <row r="26" spans="2:31" x14ac:dyDescent="0.2">
      <c r="B26" s="1162">
        <v>2027</v>
      </c>
      <c r="C26" s="1168">
        <v>1</v>
      </c>
      <c r="D26" s="1159">
        <v>1</v>
      </c>
      <c r="E26" s="1159">
        <v>1</v>
      </c>
      <c r="F26" s="1159">
        <v>1</v>
      </c>
      <c r="G26" s="1159">
        <v>1</v>
      </c>
      <c r="H26" s="1159">
        <v>1</v>
      </c>
      <c r="I26" s="1159">
        <v>1</v>
      </c>
      <c r="J26" s="1308">
        <f t="shared" si="0"/>
        <v>0.33608423666452697</v>
      </c>
      <c r="K26" s="1309">
        <f t="shared" si="1"/>
        <v>2.559996723202798E-6</v>
      </c>
      <c r="M26" s="1304">
        <f t="shared" si="3"/>
        <v>0.17</v>
      </c>
      <c r="N26" s="1289">
        <f t="shared" si="2"/>
        <v>1.3274466716304363E-2</v>
      </c>
      <c r="P26" s="1135">
        <v>2010</v>
      </c>
      <c r="Q26" s="1120">
        <f>541</f>
        <v>541</v>
      </c>
      <c r="R26" s="1120">
        <v>2647</v>
      </c>
      <c r="S26" s="1118"/>
      <c r="T26" s="1124">
        <v>39</v>
      </c>
      <c r="U26" s="1118">
        <v>58</v>
      </c>
      <c r="V26" s="1120">
        <v>644</v>
      </c>
      <c r="W26" s="1120">
        <v>841</v>
      </c>
      <c r="X26" s="1120">
        <v>2142</v>
      </c>
      <c r="Y26" s="1127">
        <v>159006</v>
      </c>
      <c r="AC26" s="496">
        <v>2010</v>
      </c>
      <c r="AD26" s="1303">
        <f>Table1[[#This Row],[Electricity]]/Table1[[#This Row],[Gasoline]]</f>
        <v>3.4023873312956743E-3</v>
      </c>
      <c r="AE26" s="1303">
        <f>Table1[[#This Row],[Hydrogen]]/Table1[[#This Row],[Gasoline]]</f>
        <v>3.6476610945498911E-4</v>
      </c>
    </row>
    <row r="27" spans="2:31" x14ac:dyDescent="0.2">
      <c r="B27" s="1162">
        <v>2028</v>
      </c>
      <c r="C27" s="1168">
        <v>1</v>
      </c>
      <c r="D27" s="1159">
        <v>1</v>
      </c>
      <c r="E27" s="1159">
        <v>1</v>
      </c>
      <c r="F27" s="1159">
        <v>1</v>
      </c>
      <c r="G27" s="1159">
        <v>1</v>
      </c>
      <c r="H27" s="1159">
        <v>1</v>
      </c>
      <c r="I27" s="1159">
        <v>1</v>
      </c>
      <c r="J27" s="1308">
        <f t="shared" si="0"/>
        <v>0.39217687976031146</v>
      </c>
      <c r="K27" s="1309">
        <f t="shared" si="1"/>
        <v>4.0959161150653103E-5</v>
      </c>
      <c r="M27" s="1304">
        <f t="shared" si="3"/>
        <v>0.18000000000000002</v>
      </c>
      <c r="N27" s="1289">
        <f t="shared" si="2"/>
        <v>1.665589092984994E-2</v>
      </c>
      <c r="P27" s="1135">
        <v>2011</v>
      </c>
      <c r="Q27" s="1121">
        <f>3394/plugs_per_station</f>
        <v>1697</v>
      </c>
      <c r="R27" s="1121">
        <v>2597</v>
      </c>
      <c r="S27" s="1122"/>
      <c r="T27" s="1124">
        <v>45</v>
      </c>
      <c r="U27" s="1118">
        <v>56</v>
      </c>
      <c r="V27" s="1121">
        <v>627</v>
      </c>
      <c r="W27" s="1121">
        <v>910</v>
      </c>
      <c r="X27" s="1121">
        <v>2442</v>
      </c>
      <c r="Y27" s="1127">
        <v>157393</v>
      </c>
      <c r="AC27" s="496">
        <v>2011</v>
      </c>
      <c r="AD27" s="1303">
        <f>Table1[[#This Row],[Electricity]]/Table1[[#This Row],[Gasoline]]</f>
        <v>1.0781928040001779E-2</v>
      </c>
      <c r="AE27" s="1303">
        <f>Table1[[#This Row],[Hydrogen]]/Table1[[#This Row],[Gasoline]]</f>
        <v>3.5579727179734806E-4</v>
      </c>
    </row>
    <row r="28" spans="2:31" x14ac:dyDescent="0.2">
      <c r="B28" s="1162">
        <v>2029</v>
      </c>
      <c r="C28" s="1168">
        <v>1</v>
      </c>
      <c r="D28" s="1159">
        <v>1</v>
      </c>
      <c r="E28" s="1159">
        <v>1</v>
      </c>
      <c r="F28" s="1159">
        <v>1</v>
      </c>
      <c r="G28" s="1159">
        <v>1</v>
      </c>
      <c r="H28" s="1159">
        <v>1</v>
      </c>
      <c r="I28" s="1159">
        <v>1</v>
      </c>
      <c r="J28" s="1308">
        <f t="shared" si="0"/>
        <v>0.45102114846019115</v>
      </c>
      <c r="K28" s="1309">
        <f t="shared" si="1"/>
        <v>9.999500016666259E-5</v>
      </c>
      <c r="M28" s="1304">
        <f t="shared" si="3"/>
        <v>0.19000000000000003</v>
      </c>
      <c r="N28" s="1289">
        <f t="shared" si="2"/>
        <v>2.063547350575257E-2</v>
      </c>
      <c r="P28" s="1135">
        <v>2012</v>
      </c>
      <c r="Q28" s="1121">
        <f>13392/plugs_per_station</f>
        <v>6696</v>
      </c>
      <c r="R28" s="1121">
        <v>2654</v>
      </c>
      <c r="S28" s="1122"/>
      <c r="T28" s="1124">
        <v>59</v>
      </c>
      <c r="U28" s="1118">
        <v>58</v>
      </c>
      <c r="V28" s="1121">
        <v>675</v>
      </c>
      <c r="W28" s="1121">
        <v>1107</v>
      </c>
      <c r="X28" s="1121">
        <v>2553</v>
      </c>
      <c r="Y28" s="1127">
        <v>156065</v>
      </c>
      <c r="AC28" s="496">
        <v>2012</v>
      </c>
      <c r="AD28" s="1303">
        <f>Table1[[#This Row],[Electricity]]/Table1[[#This Row],[Gasoline]]</f>
        <v>4.2905199756511712E-2</v>
      </c>
      <c r="AE28" s="1303">
        <f>Table1[[#This Row],[Hydrogen]]/Table1[[#This Row],[Gasoline]]</f>
        <v>3.7164002178579437E-4</v>
      </c>
    </row>
    <row r="29" spans="2:31" x14ac:dyDescent="0.2">
      <c r="B29" s="1162">
        <v>2030</v>
      </c>
      <c r="C29" s="1168">
        <v>1</v>
      </c>
      <c r="D29" s="1159">
        <v>1</v>
      </c>
      <c r="E29" s="1159">
        <v>1</v>
      </c>
      <c r="F29" s="1159">
        <v>1</v>
      </c>
      <c r="G29" s="1159">
        <v>1</v>
      </c>
      <c r="H29" s="1159">
        <v>1</v>
      </c>
      <c r="I29" s="1159">
        <v>1</v>
      </c>
      <c r="J29" s="1308">
        <f t="shared" si="0"/>
        <v>0.54193718792371426</v>
      </c>
      <c r="K29" s="1309">
        <f t="shared" si="1"/>
        <v>3.8408621999527803E-4</v>
      </c>
      <c r="M29" s="1304">
        <f t="shared" si="3"/>
        <v>0.20000000000000004</v>
      </c>
      <c r="N29" s="1289">
        <f t="shared" si="2"/>
        <v>2.5275098398206075E-2</v>
      </c>
      <c r="P29" s="1135">
        <v>2013</v>
      </c>
      <c r="Q29" s="1121">
        <f>19410/plugs_per_station</f>
        <v>9705</v>
      </c>
      <c r="R29" s="1121">
        <v>2956</v>
      </c>
      <c r="S29" s="1122"/>
      <c r="T29" s="1124">
        <v>81</v>
      </c>
      <c r="U29" s="1118">
        <v>53</v>
      </c>
      <c r="V29" s="1121">
        <v>757</v>
      </c>
      <c r="W29" s="1121">
        <v>1263</v>
      </c>
      <c r="X29" s="1121">
        <v>2639</v>
      </c>
      <c r="Y29" s="1127">
        <f>Y28</f>
        <v>156065</v>
      </c>
      <c r="Z29" s="496">
        <f>-1976.3*Table1[[#This Row],[Year]]+4130497.79</f>
        <v>152205.89000000013</v>
      </c>
      <c r="AC29" s="496">
        <v>2013</v>
      </c>
      <c r="AD29" s="1303">
        <f>Table1[[#This Row],[Electricity]]/Table1[[#This Row],[Gasoline]]</f>
        <v>6.2185627783295422E-2</v>
      </c>
      <c r="AE29" s="1303">
        <f>Table1[[#This Row],[Hydrogen]]/Table1[[#This Row],[Gasoline]]</f>
        <v>3.3960208887322588E-4</v>
      </c>
    </row>
    <row r="30" spans="2:31" x14ac:dyDescent="0.2">
      <c r="B30" s="1162">
        <v>2031</v>
      </c>
      <c r="C30" s="1168">
        <v>1</v>
      </c>
      <c r="D30" s="1159">
        <v>1</v>
      </c>
      <c r="E30" s="1159">
        <v>1</v>
      </c>
      <c r="F30" s="1159">
        <v>1</v>
      </c>
      <c r="G30" s="1159">
        <v>1</v>
      </c>
      <c r="H30" s="1159">
        <v>1</v>
      </c>
      <c r="I30" s="1159">
        <v>1</v>
      </c>
      <c r="J30" s="1308">
        <f t="shared" si="0"/>
        <v>0.60242359916581223</v>
      </c>
      <c r="K30" s="1309">
        <f t="shared" si="1"/>
        <v>6.5514529854001074E-4</v>
      </c>
      <c r="M30" s="1304">
        <f t="shared" si="3"/>
        <v>0.21000000000000005</v>
      </c>
      <c r="N30" s="1289">
        <f t="shared" si="2"/>
        <v>3.0637810156220375E-2</v>
      </c>
      <c r="P30" s="1135">
        <v>2014</v>
      </c>
      <c r="Q30" s="1121">
        <f>25602/plugs_per_station</f>
        <v>12801</v>
      </c>
      <c r="R30" s="1121">
        <v>2931</v>
      </c>
      <c r="S30" s="1122"/>
      <c r="T30" s="1124">
        <v>103</v>
      </c>
      <c r="U30" s="1118">
        <v>51</v>
      </c>
      <c r="V30" s="1121">
        <v>783</v>
      </c>
      <c r="W30" s="1121">
        <v>1495</v>
      </c>
      <c r="X30" s="1121">
        <v>2840</v>
      </c>
      <c r="Y30" s="1127">
        <f t="shared" ref="Y30:Y66" si="4">Y29</f>
        <v>156065</v>
      </c>
      <c r="Z30" s="496">
        <f>-1976.3*Table1[[#This Row],[Year]]+4130497.79</f>
        <v>150229.59000000032</v>
      </c>
      <c r="AC30" s="496">
        <v>2014</v>
      </c>
      <c r="AD30" s="1303">
        <f>Table1[[#This Row],[Electricity]]/Table1[[#This Row],[Gasoline]]</f>
        <v>8.2023515842757827E-2</v>
      </c>
      <c r="AE30" s="1303">
        <f>Table1[[#This Row],[Hydrogen]]/Table1[[#This Row],[Gasoline]]</f>
        <v>3.2678691570819853E-4</v>
      </c>
    </row>
    <row r="31" spans="2:31" x14ac:dyDescent="0.2">
      <c r="B31" s="1162">
        <v>2032</v>
      </c>
      <c r="C31" s="1168">
        <v>1</v>
      </c>
      <c r="D31" s="1159">
        <v>1</v>
      </c>
      <c r="E31" s="1159">
        <v>1</v>
      </c>
      <c r="F31" s="1159">
        <v>1</v>
      </c>
      <c r="G31" s="1159">
        <v>1</v>
      </c>
      <c r="H31" s="1159">
        <v>1</v>
      </c>
      <c r="I31" s="1159">
        <v>1</v>
      </c>
      <c r="J31" s="1308">
        <f t="shared" si="0"/>
        <v>0.68958915732970893</v>
      </c>
      <c r="K31" s="1309">
        <f t="shared" si="1"/>
        <v>1.5987206823936864E-3</v>
      </c>
      <c r="M31" s="1304">
        <f t="shared" si="3"/>
        <v>0.22000000000000006</v>
      </c>
      <c r="N31" s="1289">
        <f t="shared" si="2"/>
        <v>3.6787242882874376E-2</v>
      </c>
      <c r="P31" s="1135">
        <v>2015</v>
      </c>
      <c r="Q31" s="1125">
        <f>30945/plugs_per_station</f>
        <v>15472.5</v>
      </c>
      <c r="R31" s="1125">
        <v>3594</v>
      </c>
      <c r="S31" s="1122"/>
      <c r="T31" s="1125">
        <v>111</v>
      </c>
      <c r="U31" s="1125">
        <v>45</v>
      </c>
      <c r="V31" s="1125">
        <v>721</v>
      </c>
      <c r="W31" s="1125">
        <v>1563</v>
      </c>
      <c r="X31" s="1125">
        <v>2990</v>
      </c>
      <c r="Y31" s="1127">
        <f t="shared" si="4"/>
        <v>156065</v>
      </c>
      <c r="Z31" s="496">
        <f>-1976.3*Table1[[#This Row],[Year]]+4130497.79</f>
        <v>148253.29000000004</v>
      </c>
      <c r="AC31" s="496">
        <v>2015</v>
      </c>
      <c r="AD31" s="1303">
        <f>Table1[[#This Row],[Electricity]]/Table1[[#This Row],[Gasoline]]</f>
        <v>9.9141383397943164E-2</v>
      </c>
      <c r="AE31" s="1303">
        <f>Table1[[#This Row],[Hydrogen]]/Table1[[#This Row],[Gasoline]]</f>
        <v>2.8834139621311631E-4</v>
      </c>
    </row>
    <row r="32" spans="2:31" x14ac:dyDescent="0.2">
      <c r="B32" s="1162">
        <v>2033</v>
      </c>
      <c r="C32" s="1168">
        <v>1</v>
      </c>
      <c r="D32" s="1159">
        <v>1</v>
      </c>
      <c r="E32" s="1159">
        <v>1</v>
      </c>
      <c r="F32" s="1159">
        <v>1</v>
      </c>
      <c r="G32" s="1159">
        <v>1</v>
      </c>
      <c r="H32" s="1159">
        <v>1</v>
      </c>
      <c r="I32" s="1159">
        <v>1</v>
      </c>
      <c r="J32" s="1308">
        <f t="shared" si="0"/>
        <v>0.74346468922347331</v>
      </c>
      <c r="K32" s="1309">
        <f t="shared" si="1"/>
        <v>2.3398183475694901E-3</v>
      </c>
      <c r="M32" s="1304">
        <f t="shared" si="3"/>
        <v>0.23000000000000007</v>
      </c>
      <c r="N32" s="1289">
        <f t="shared" si="2"/>
        <v>4.3786973799347463E-2</v>
      </c>
      <c r="P32" s="1135">
        <v>2016</v>
      </c>
      <c r="Q32" s="1125">
        <f>42029/plugs_per_station</f>
        <v>21014.5</v>
      </c>
      <c r="R32" s="1125">
        <v>3665</v>
      </c>
      <c r="S32" s="1122"/>
      <c r="T32" s="1125">
        <v>140</v>
      </c>
      <c r="U32" s="1125">
        <v>54</v>
      </c>
      <c r="V32" s="1125">
        <v>697</v>
      </c>
      <c r="W32" s="1125">
        <v>1725</v>
      </c>
      <c r="X32" s="1125">
        <v>3090</v>
      </c>
      <c r="Y32" s="1127">
        <f t="shared" si="4"/>
        <v>156065</v>
      </c>
      <c r="Z32" s="496">
        <f>-1976.3*Table1[[#This Row],[Year]]+4130497.79</f>
        <v>146276.99000000022</v>
      </c>
      <c r="AC32" s="496">
        <v>2016</v>
      </c>
      <c r="AD32" s="1303">
        <f>Table1[[#This Row],[Electricity]]/Table1[[#This Row],[Gasoline]]</f>
        <v>0.13465222823823406</v>
      </c>
      <c r="AE32" s="1303">
        <f>Table1[[#This Row],[Hydrogen]]/Table1[[#This Row],[Gasoline]]</f>
        <v>3.4600967545573961E-4</v>
      </c>
    </row>
    <row r="33" spans="2:32" x14ac:dyDescent="0.2">
      <c r="B33" s="1162">
        <v>2034</v>
      </c>
      <c r="C33" s="1168">
        <v>1</v>
      </c>
      <c r="D33" s="1159">
        <v>1</v>
      </c>
      <c r="E33" s="1159">
        <v>1</v>
      </c>
      <c r="F33" s="1159">
        <v>1</v>
      </c>
      <c r="G33" s="1159">
        <v>1</v>
      </c>
      <c r="H33" s="1159">
        <v>1</v>
      </c>
      <c r="I33" s="1159">
        <v>1</v>
      </c>
      <c r="J33" s="1308">
        <f t="shared" si="0"/>
        <v>0.79268571663322196</v>
      </c>
      <c r="K33" s="1309">
        <f t="shared" si="1"/>
        <v>4.5593345334435922E-3</v>
      </c>
      <c r="M33" s="1304">
        <f t="shared" si="3"/>
        <v>0.24000000000000007</v>
      </c>
      <c r="N33" s="1289">
        <f t="shared" si="2"/>
        <v>5.1699799821003561E-2</v>
      </c>
      <c r="P33" s="1135">
        <v>2017</v>
      </c>
      <c r="Q33" s="1123">
        <f>50627/plugs_per_station</f>
        <v>25313.5</v>
      </c>
      <c r="R33" s="538"/>
      <c r="S33" s="538"/>
      <c r="T33" s="538"/>
      <c r="U33" s="1123">
        <v>63</v>
      </c>
      <c r="V33" s="538"/>
      <c r="W33" s="538"/>
      <c r="X33" s="538"/>
      <c r="Y33" s="1127">
        <f t="shared" si="4"/>
        <v>156065</v>
      </c>
      <c r="Z33" s="496">
        <f>-1976.3*Table1[[#This Row],[Year]]+4130497.79</f>
        <v>144300.68999999994</v>
      </c>
      <c r="AC33" s="496">
        <v>2017</v>
      </c>
      <c r="AD33" s="1303">
        <f>Table1[[#This Row],[Electricity]]/Table1[[#This Row],[Gasoline]]</f>
        <v>0.16219844295646044</v>
      </c>
      <c r="AE33" s="1303">
        <f>Table1[[#This Row],[Hydrogen]]/Table1[[#This Row],[Gasoline]]</f>
        <v>4.0367795469836286E-4</v>
      </c>
    </row>
    <row r="34" spans="2:32" x14ac:dyDescent="0.2">
      <c r="B34" s="1162">
        <v>2035</v>
      </c>
      <c r="C34" s="1168">
        <v>1</v>
      </c>
      <c r="D34" s="1159">
        <v>1</v>
      </c>
      <c r="E34" s="1159">
        <v>1</v>
      </c>
      <c r="F34" s="1159">
        <v>1</v>
      </c>
      <c r="G34" s="1159">
        <v>1</v>
      </c>
      <c r="H34" s="1159">
        <v>1</v>
      </c>
      <c r="I34" s="1159">
        <v>1</v>
      </c>
      <c r="J34" s="1308">
        <f t="shared" si="0"/>
        <v>0.85612030212542312</v>
      </c>
      <c r="K34" s="1309">
        <f t="shared" si="1"/>
        <v>6.1277085437277685E-3</v>
      </c>
      <c r="M34" s="1304">
        <f t="shared" si="3"/>
        <v>0.25000000000000006</v>
      </c>
      <c r="N34" s="1289">
        <f t="shared" si="2"/>
        <v>6.0586937186524262E-2</v>
      </c>
      <c r="P34" s="1135">
        <v>2018</v>
      </c>
      <c r="Q34" s="1123">
        <f>61067/plugs_per_station</f>
        <v>30533.5</v>
      </c>
      <c r="R34" s="538"/>
      <c r="S34" s="538"/>
      <c r="T34" s="538"/>
      <c r="U34" s="1123">
        <v>41</v>
      </c>
      <c r="V34" s="538"/>
      <c r="W34" s="538"/>
      <c r="X34" s="538"/>
      <c r="Y34" s="1127">
        <f t="shared" si="4"/>
        <v>156065</v>
      </c>
      <c r="Z34" s="496">
        <f>-1976.3*Table1[[#This Row],[Year]]+4130497.79</f>
        <v>142324.39000000013</v>
      </c>
      <c r="AC34" s="496">
        <v>2018</v>
      </c>
      <c r="AD34" s="1303">
        <f>Table1[[#This Row],[Electricity]]/Table1[[#This Row],[Gasoline]]</f>
        <v>0.19564604491718193</v>
      </c>
      <c r="AE34" s="1303">
        <f>Table1[[#This Row],[Hydrogen]]/Table1[[#This Row],[Gasoline]]</f>
        <v>2.6271104988306155E-4</v>
      </c>
    </row>
    <row r="35" spans="2:32" x14ac:dyDescent="0.2">
      <c r="B35" s="1162">
        <v>2036</v>
      </c>
      <c r="C35" s="1168">
        <v>1</v>
      </c>
      <c r="D35" s="1159">
        <v>1</v>
      </c>
      <c r="E35" s="1159">
        <v>1</v>
      </c>
      <c r="F35" s="1159">
        <v>1</v>
      </c>
      <c r="G35" s="1159">
        <v>1</v>
      </c>
      <c r="H35" s="1159">
        <v>1</v>
      </c>
      <c r="I35" s="1159">
        <v>1</v>
      </c>
      <c r="J35" s="1308">
        <f t="shared" si="0"/>
        <v>0.89088299804314675</v>
      </c>
      <c r="K35" s="1309">
        <f t="shared" si="1"/>
        <v>1.0430976069530742E-2</v>
      </c>
      <c r="M35" s="1304">
        <f t="shared" si="3"/>
        <v>0.26000000000000006</v>
      </c>
      <c r="N35" s="1289">
        <f t="shared" si="2"/>
        <v>7.0507146135246307E-2</v>
      </c>
      <c r="P35" s="1135">
        <v>2019</v>
      </c>
      <c r="Q35" s="1123">
        <f>$R$109+P35*$R$110</f>
        <v>32521.333333333954</v>
      </c>
      <c r="R35" s="538"/>
      <c r="S35" s="538"/>
      <c r="T35" s="538"/>
      <c r="U35" s="1123">
        <v>57</v>
      </c>
      <c r="V35" s="538"/>
      <c r="W35" s="538"/>
      <c r="X35" s="538"/>
      <c r="Y35" s="1127">
        <f t="shared" si="4"/>
        <v>156065</v>
      </c>
      <c r="Z35" s="496">
        <f>-1976.3*Table1[[#This Row],[Year]]+4130497.79</f>
        <v>140348.09000000032</v>
      </c>
      <c r="AC35" s="496">
        <v>2019</v>
      </c>
      <c r="AD35" s="1303">
        <f>Table1[[#This Row],[Electricity]]/Table1[[#This Row],[Gasoline]]</f>
        <v>0.20838325911212607</v>
      </c>
      <c r="AE35" s="1303">
        <f>Table1[[#This Row],[Hydrogen]]/Table1[[#This Row],[Gasoline]]</f>
        <v>3.652324352032807E-4</v>
      </c>
    </row>
    <row r="36" spans="2:32" x14ac:dyDescent="0.2">
      <c r="B36" s="1162">
        <v>2037</v>
      </c>
      <c r="C36" s="1168">
        <v>1</v>
      </c>
      <c r="D36" s="1159">
        <v>1</v>
      </c>
      <c r="E36" s="1159">
        <v>1</v>
      </c>
      <c r="F36" s="1159">
        <v>1</v>
      </c>
      <c r="G36" s="1159">
        <v>1</v>
      </c>
      <c r="H36" s="1159">
        <v>1</v>
      </c>
      <c r="I36" s="1159">
        <v>1</v>
      </c>
      <c r="J36" s="1308">
        <f t="shared" si="0"/>
        <v>0.93173475910294257</v>
      </c>
      <c r="K36" s="1309">
        <f t="shared" si="1"/>
        <v>1.665589092984994E-2</v>
      </c>
      <c r="M36" s="1304">
        <f t="shared" si="3"/>
        <v>0.27000000000000007</v>
      </c>
      <c r="N36" s="1289">
        <f t="shared" si="2"/>
        <v>8.1515784905052846E-2</v>
      </c>
      <c r="P36" s="1135">
        <v>2020</v>
      </c>
      <c r="Q36" s="1123">
        <f t="shared" ref="Q36:Q66" si="5">$R$109+P36*$R$110</f>
        <v>36275.06666666735</v>
      </c>
      <c r="R36" s="773"/>
      <c r="S36" s="773"/>
      <c r="T36" s="773"/>
      <c r="U36" s="1123">
        <v>75</v>
      </c>
      <c r="V36" s="773"/>
      <c r="W36" s="773"/>
      <c r="X36" s="773"/>
      <c r="Y36" s="1127">
        <f t="shared" si="4"/>
        <v>156065</v>
      </c>
      <c r="Z36" s="498">
        <f>-1976.3*Table1[[#This Row],[Year]]+4130497.79</f>
        <v>138371.79000000004</v>
      </c>
      <c r="AA36" s="498"/>
      <c r="AB36" s="498"/>
      <c r="AC36" s="498">
        <v>2020</v>
      </c>
      <c r="AD36" s="1303">
        <f>Table1[[#This Row],[Electricity]]/Table1[[#This Row],[Gasoline]]</f>
        <v>0.23243563045312754</v>
      </c>
      <c r="AE36" s="1303">
        <f>Table1[[#This Row],[Hydrogen]]/Table1[[#This Row],[Gasoline]]</f>
        <v>4.805689936885272E-4</v>
      </c>
      <c r="AF36" s="498"/>
    </row>
    <row r="37" spans="2:32" x14ac:dyDescent="0.2">
      <c r="B37" s="1162">
        <v>2038</v>
      </c>
      <c r="C37" s="1168">
        <v>1</v>
      </c>
      <c r="D37" s="1159">
        <v>1</v>
      </c>
      <c r="E37" s="1159">
        <v>1</v>
      </c>
      <c r="F37" s="1159">
        <v>1</v>
      </c>
      <c r="G37" s="1159">
        <v>1</v>
      </c>
      <c r="H37" s="1159">
        <v>1</v>
      </c>
      <c r="I37" s="1159">
        <v>1</v>
      </c>
      <c r="J37" s="1308">
        <f t="shared" si="0"/>
        <v>0.95197135907101305</v>
      </c>
      <c r="K37" s="1309">
        <f t="shared" si="1"/>
        <v>2.063547350575257E-2</v>
      </c>
      <c r="M37" s="1304">
        <f t="shared" si="3"/>
        <v>0.28000000000000008</v>
      </c>
      <c r="N37" s="1289">
        <f t="shared" si="2"/>
        <v>9.3663799913688631E-2</v>
      </c>
      <c r="P37" s="1135">
        <v>2021</v>
      </c>
      <c r="Q37" s="1123">
        <f t="shared" si="5"/>
        <v>40028.800000000745</v>
      </c>
      <c r="R37" s="538"/>
      <c r="S37" s="538"/>
      <c r="T37" s="538"/>
      <c r="U37" s="1123">
        <v>111</v>
      </c>
      <c r="V37" s="538"/>
      <c r="W37" s="538"/>
      <c r="X37" s="538"/>
      <c r="Y37" s="1127">
        <f t="shared" si="4"/>
        <v>156065</v>
      </c>
      <c r="Z37" s="496">
        <f>-1976.3*Table1[[#This Row],[Year]]+4130497.79</f>
        <v>136395.49000000022</v>
      </c>
      <c r="AC37" s="496">
        <v>2021</v>
      </c>
      <c r="AD37" s="1303">
        <f>Table1[[#This Row],[Electricity]]/Table1[[#This Row],[Gasoline]]</f>
        <v>0.25648800179412901</v>
      </c>
      <c r="AE37" s="1303">
        <f>Table1[[#This Row],[Hydrogen]]/Table1[[#This Row],[Gasoline]]</f>
        <v>7.1124211065902031E-4</v>
      </c>
    </row>
    <row r="38" spans="2:32" x14ac:dyDescent="0.2">
      <c r="B38" s="1162">
        <v>2039</v>
      </c>
      <c r="C38" s="1168">
        <v>1</v>
      </c>
      <c r="D38" s="1159">
        <v>1</v>
      </c>
      <c r="E38" s="1159">
        <v>1</v>
      </c>
      <c r="F38" s="1159">
        <v>1</v>
      </c>
      <c r="G38" s="1159">
        <v>1</v>
      </c>
      <c r="H38" s="1159">
        <v>1</v>
      </c>
      <c r="I38" s="1159">
        <v>1</v>
      </c>
      <c r="J38" s="1308">
        <f t="shared" si="0"/>
        <v>0.96732091996204717</v>
      </c>
      <c r="K38" s="1309">
        <f t="shared" si="1"/>
        <v>3.0637810156220375E-2</v>
      </c>
      <c r="M38" s="1304">
        <f t="shared" si="3"/>
        <v>0.29000000000000009</v>
      </c>
      <c r="N38" s="1289">
        <f t="shared" si="2"/>
        <v>0.10699666186542625</v>
      </c>
      <c r="P38" s="1135">
        <v>2022</v>
      </c>
      <c r="Q38" s="1123">
        <f t="shared" si="5"/>
        <v>43782.53333333414</v>
      </c>
      <c r="R38" s="538"/>
      <c r="S38" s="538"/>
      <c r="T38" s="538"/>
      <c r="U38" s="1123">
        <v>161</v>
      </c>
      <c r="V38" s="538"/>
      <c r="W38" s="538"/>
      <c r="X38" s="538"/>
      <c r="Y38" s="1127">
        <f t="shared" si="4"/>
        <v>156065</v>
      </c>
      <c r="Z38" s="496">
        <f>-1976.3*Table1[[#This Row],[Year]]+4130497.79</f>
        <v>134419.18999999994</v>
      </c>
      <c r="AC38" s="496">
        <v>2022</v>
      </c>
      <c r="AD38" s="1303">
        <f>Table1[[#This Row],[Electricity]]/Table1[[#This Row],[Gasoline]]</f>
        <v>0.28054037313513047</v>
      </c>
      <c r="AE38" s="1303">
        <f>Table1[[#This Row],[Hydrogen]]/Table1[[#This Row],[Gasoline]]</f>
        <v>1.0316214397847051E-3</v>
      </c>
    </row>
    <row r="39" spans="2:32" x14ac:dyDescent="0.2">
      <c r="B39" s="1162">
        <v>2040</v>
      </c>
      <c r="C39" s="1168">
        <v>1</v>
      </c>
      <c r="D39" s="1159">
        <v>1</v>
      </c>
      <c r="E39" s="1159">
        <v>1</v>
      </c>
      <c r="F39" s="1159">
        <v>1</v>
      </c>
      <c r="G39" s="1159">
        <v>1</v>
      </c>
      <c r="H39" s="1159">
        <v>1</v>
      </c>
      <c r="I39" s="1159">
        <v>1</v>
      </c>
      <c r="J39" s="1308">
        <f t="shared" si="0"/>
        <v>0.9828519181996197</v>
      </c>
      <c r="K39" s="1309">
        <f t="shared" si="1"/>
        <v>4.3786973799347463E-2</v>
      </c>
      <c r="M39" s="1304">
        <f t="shared" si="3"/>
        <v>0.3000000000000001</v>
      </c>
      <c r="N39" s="1289">
        <f t="shared" si="2"/>
        <v>0.12155326065006883</v>
      </c>
      <c r="P39" s="1135">
        <v>2023</v>
      </c>
      <c r="Q39" s="1123">
        <f t="shared" si="5"/>
        <v>47536.266666667536</v>
      </c>
      <c r="R39" s="538"/>
      <c r="S39" s="538"/>
      <c r="T39" s="538"/>
      <c r="U39" s="1123">
        <v>246</v>
      </c>
      <c r="V39" s="538"/>
      <c r="W39" s="538"/>
      <c r="X39" s="538"/>
      <c r="Y39" s="1127">
        <f t="shared" si="4"/>
        <v>156065</v>
      </c>
      <c r="Z39" s="496">
        <f>-1976.3*Table1[[#This Row],[Year]]+4130497.79</f>
        <v>132442.89000000013</v>
      </c>
      <c r="AC39" s="496">
        <v>2023</v>
      </c>
      <c r="AD39" s="1303">
        <f>Table1[[#This Row],[Electricity]]/Table1[[#This Row],[Gasoline]]</f>
        <v>0.30459274447613199</v>
      </c>
      <c r="AE39" s="1303">
        <f>Table1[[#This Row],[Hydrogen]]/Table1[[#This Row],[Gasoline]]</f>
        <v>1.5762662992983693E-3</v>
      </c>
    </row>
    <row r="40" spans="2:32" x14ac:dyDescent="0.2">
      <c r="B40" s="1162">
        <v>2041</v>
      </c>
      <c r="C40" s="1168">
        <v>1</v>
      </c>
      <c r="D40" s="1159">
        <v>1</v>
      </c>
      <c r="E40" s="1159">
        <v>1</v>
      </c>
      <c r="F40" s="1159">
        <v>1</v>
      </c>
      <c r="G40" s="1159">
        <v>1</v>
      </c>
      <c r="H40" s="1159">
        <v>1</v>
      </c>
      <c r="I40" s="1159">
        <v>1</v>
      </c>
      <c r="J40" s="1308">
        <f t="shared" si="0"/>
        <v>0.98936620944626497</v>
      </c>
      <c r="K40" s="1309">
        <f t="shared" si="1"/>
        <v>6.0586937186524262E-2</v>
      </c>
      <c r="M40" s="1304">
        <f t="shared" si="3"/>
        <v>0.31000000000000011</v>
      </c>
      <c r="N40" s="1289">
        <f t="shared" si="2"/>
        <v>0.13736477520959006</v>
      </c>
      <c r="P40" s="1135">
        <v>2024</v>
      </c>
      <c r="Q40" s="1123">
        <f t="shared" si="5"/>
        <v>51290.000000000931</v>
      </c>
      <c r="R40" s="538"/>
      <c r="S40" s="538"/>
      <c r="T40" s="538"/>
      <c r="U40" s="1123">
        <v>967</v>
      </c>
      <c r="V40" s="538"/>
      <c r="W40" s="538"/>
      <c r="X40" s="538"/>
      <c r="Y40" s="1127">
        <f t="shared" si="4"/>
        <v>156065</v>
      </c>
      <c r="Z40" s="496">
        <f>-1976.3*Table1[[#This Row],[Year]]+4130497.79</f>
        <v>130466.59000000032</v>
      </c>
      <c r="AC40" s="496">
        <v>2024</v>
      </c>
      <c r="AD40" s="1303">
        <f>Table1[[#This Row],[Electricity]]/Table1[[#This Row],[Gasoline]]</f>
        <v>0.32864511581713346</v>
      </c>
      <c r="AE40" s="1303">
        <f>Table1[[#This Row],[Hydrogen]]/Table1[[#This Row],[Gasoline]]</f>
        <v>6.1961362252907441E-3</v>
      </c>
    </row>
    <row r="41" spans="2:32" x14ac:dyDescent="0.2">
      <c r="B41" s="1162">
        <v>2042</v>
      </c>
      <c r="C41" s="1168">
        <v>1</v>
      </c>
      <c r="D41" s="1159">
        <v>1</v>
      </c>
      <c r="E41" s="1159">
        <v>1</v>
      </c>
      <c r="F41" s="1159">
        <v>1</v>
      </c>
      <c r="G41" s="1159">
        <v>1</v>
      </c>
      <c r="H41" s="1159">
        <v>1</v>
      </c>
      <c r="I41" s="1159">
        <v>1</v>
      </c>
      <c r="J41" s="1308">
        <f t="shared" si="0"/>
        <v>0.9951942788280157</v>
      </c>
      <c r="K41" s="1309">
        <f t="shared" si="1"/>
        <v>8.1515784905052846E-2</v>
      </c>
      <c r="M41" s="1304">
        <f t="shared" si="3"/>
        <v>0.32000000000000012</v>
      </c>
      <c r="N41" s="1289">
        <f t="shared" ref="N41:N59" si="6">WEIBULL(M41,$N$4,$N$5,$N$6)</f>
        <v>0.15445353795437128</v>
      </c>
      <c r="P41" s="1135">
        <v>2025</v>
      </c>
      <c r="Q41" s="1123">
        <f t="shared" si="5"/>
        <v>55043.733333334327</v>
      </c>
      <c r="R41" s="538"/>
      <c r="S41" s="538"/>
      <c r="T41" s="538"/>
      <c r="U41" s="1123">
        <v>1975</v>
      </c>
      <c r="V41" s="538"/>
      <c r="W41" s="538"/>
      <c r="X41" s="538"/>
      <c r="Y41" s="1127">
        <f t="shared" si="4"/>
        <v>156065</v>
      </c>
      <c r="Z41" s="496">
        <f>-1976.3*Table1[[#This Row],[Year]]+4130497.79</f>
        <v>128490.29000000004</v>
      </c>
      <c r="AC41" s="496">
        <v>2025</v>
      </c>
      <c r="AD41" s="1303">
        <f>Table1[[#This Row],[Electricity]]/Table1[[#This Row],[Gasoline]]</f>
        <v>0.35269748715813493</v>
      </c>
      <c r="AE41" s="1303">
        <f>Table1[[#This Row],[Hydrogen]]/Table1[[#This Row],[Gasoline]]</f>
        <v>1.265498350046455E-2</v>
      </c>
    </row>
    <row r="42" spans="2:32" x14ac:dyDescent="0.2">
      <c r="B42" s="1162">
        <v>2043</v>
      </c>
      <c r="C42" s="1168">
        <v>1</v>
      </c>
      <c r="D42" s="1159">
        <v>1</v>
      </c>
      <c r="E42" s="1159">
        <v>1</v>
      </c>
      <c r="F42" s="1159">
        <v>1</v>
      </c>
      <c r="G42" s="1159">
        <v>1</v>
      </c>
      <c r="H42" s="1159">
        <v>1</v>
      </c>
      <c r="I42" s="1159">
        <v>1</v>
      </c>
      <c r="J42" s="1308">
        <f t="shared" si="0"/>
        <v>0.99732126057789017</v>
      </c>
      <c r="K42" s="1309">
        <f t="shared" si="1"/>
        <v>0.10699666186542625</v>
      </c>
      <c r="M42" s="1304">
        <f t="shared" si="3"/>
        <v>0.33000000000000013</v>
      </c>
      <c r="N42" s="1289">
        <f t="shared" si="6"/>
        <v>0.17283191670766812</v>
      </c>
      <c r="P42" s="1135">
        <v>2026</v>
      </c>
      <c r="Q42" s="1123">
        <f t="shared" si="5"/>
        <v>58797.466666666791</v>
      </c>
      <c r="R42" s="538"/>
      <c r="S42" s="538"/>
      <c r="T42" s="538"/>
      <c r="U42" s="1123">
        <v>3242.3900000000003</v>
      </c>
      <c r="V42" s="538"/>
      <c r="W42" s="538"/>
      <c r="X42" s="538"/>
      <c r="Y42" s="1127">
        <f t="shared" si="4"/>
        <v>156065</v>
      </c>
      <c r="Z42" s="496">
        <f>-1976.3*Table1[[#This Row],[Year]]+4130497.79</f>
        <v>126513.99000000022</v>
      </c>
      <c r="AC42" s="496">
        <v>2026</v>
      </c>
      <c r="AD42" s="1303">
        <f>Table1[[#This Row],[Electricity]]/Table1[[#This Row],[Gasoline]]</f>
        <v>0.37674985849913045</v>
      </c>
      <c r="AE42" s="1303">
        <f>Table1[[#This Row],[Hydrogen]]/Table1[[#This Row],[Gasoline]]</f>
        <v>2.0775894659276584E-2</v>
      </c>
    </row>
    <row r="43" spans="2:32" x14ac:dyDescent="0.2">
      <c r="B43" s="1162">
        <v>2044</v>
      </c>
      <c r="C43" s="1168">
        <v>1</v>
      </c>
      <c r="D43" s="1159">
        <v>1</v>
      </c>
      <c r="E43" s="1159">
        <v>1</v>
      </c>
      <c r="F43" s="1159">
        <v>1</v>
      </c>
      <c r="G43" s="1159">
        <v>1</v>
      </c>
      <c r="H43" s="1159">
        <v>1</v>
      </c>
      <c r="I43" s="1159">
        <v>1</v>
      </c>
      <c r="J43" s="1308">
        <f t="shared" si="0"/>
        <v>0.99857502356180761</v>
      </c>
      <c r="K43" s="1309">
        <f t="shared" si="1"/>
        <v>0.12155326065006883</v>
      </c>
      <c r="M43" s="1304">
        <f t="shared" si="3"/>
        <v>0.34000000000000014</v>
      </c>
      <c r="N43" s="1289">
        <f t="shared" si="6"/>
        <v>0.19250124041164726</v>
      </c>
      <c r="P43" s="1135">
        <v>2027</v>
      </c>
      <c r="Q43" s="1123">
        <f t="shared" si="5"/>
        <v>62551.200000000186</v>
      </c>
      <c r="R43" s="538"/>
      <c r="S43" s="538"/>
      <c r="T43" s="538"/>
      <c r="U43" s="1123">
        <v>4626.9699999999993</v>
      </c>
      <c r="V43" s="538"/>
      <c r="W43" s="538"/>
      <c r="X43" s="538"/>
      <c r="Y43" s="1127">
        <f t="shared" si="4"/>
        <v>156065</v>
      </c>
      <c r="Z43" s="496">
        <f>-1976.3*Table1[[#This Row],[Year]]+4130497.79</f>
        <v>124537.68999999994</v>
      </c>
      <c r="AC43" s="496">
        <v>2027</v>
      </c>
      <c r="AD43" s="1303">
        <f>Table1[[#This Row],[Electricity]]/Table1[[#This Row],[Gasoline]]</f>
        <v>0.40080222984013192</v>
      </c>
      <c r="AE43" s="1303">
        <f>Table1[[#This Row],[Hydrogen]]/Table1[[#This Row],[Gasoline]]</f>
        <v>2.9647710889693393E-2</v>
      </c>
    </row>
    <row r="44" spans="2:32" x14ac:dyDescent="0.2">
      <c r="B44" s="1162">
        <v>2045</v>
      </c>
      <c r="C44" s="1168">
        <v>1</v>
      </c>
      <c r="D44" s="1159">
        <v>1</v>
      </c>
      <c r="E44" s="1159">
        <v>1</v>
      </c>
      <c r="F44" s="1159">
        <v>1</v>
      </c>
      <c r="G44" s="1159">
        <v>1</v>
      </c>
      <c r="H44" s="1159">
        <v>1</v>
      </c>
      <c r="I44" s="1159">
        <v>1</v>
      </c>
      <c r="J44" s="1308">
        <f t="shared" si="0"/>
        <v>0.99949620008360773</v>
      </c>
      <c r="K44" s="1309">
        <f t="shared" si="1"/>
        <v>0.15445353795437128</v>
      </c>
      <c r="M44" s="1304">
        <f t="shared" si="3"/>
        <v>0.35000000000000014</v>
      </c>
      <c r="N44" s="1289">
        <f t="shared" si="6"/>
        <v>0.21345079778654535</v>
      </c>
      <c r="P44" s="1135">
        <v>2028</v>
      </c>
      <c r="Q44" s="1123">
        <f t="shared" si="5"/>
        <v>66304.933333333582</v>
      </c>
      <c r="R44" s="538"/>
      <c r="S44" s="538"/>
      <c r="T44" s="538"/>
      <c r="U44" s="1123">
        <v>6873.7499999999991</v>
      </c>
      <c r="V44" s="538"/>
      <c r="W44" s="538"/>
      <c r="X44" s="538"/>
      <c r="Y44" s="1127">
        <f t="shared" si="4"/>
        <v>156065</v>
      </c>
      <c r="Z44" s="496">
        <f>-1976.3*Table1[[#This Row],[Year]]+4130497.79</f>
        <v>122561.39000000013</v>
      </c>
      <c r="AC44" s="496">
        <v>2028</v>
      </c>
      <c r="AD44" s="1303">
        <f>Table1[[#This Row],[Electricity]]/Table1[[#This Row],[Gasoline]]</f>
        <v>0.42485460118113338</v>
      </c>
      <c r="AE44" s="1303">
        <f>Table1[[#This Row],[Hydrogen]]/Table1[[#This Row],[Gasoline]]</f>
        <v>4.4044148271553514E-2</v>
      </c>
    </row>
    <row r="45" spans="2:32" x14ac:dyDescent="0.2">
      <c r="B45" s="1162">
        <v>2046</v>
      </c>
      <c r="C45" s="1168">
        <v>1</v>
      </c>
      <c r="D45" s="1159">
        <v>1</v>
      </c>
      <c r="E45" s="1159">
        <v>1</v>
      </c>
      <c r="F45" s="1159">
        <v>1</v>
      </c>
      <c r="G45" s="1159">
        <v>1</v>
      </c>
      <c r="H45" s="1159">
        <v>1</v>
      </c>
      <c r="I45" s="1159">
        <v>1</v>
      </c>
      <c r="J45" s="1308">
        <f t="shared" si="0"/>
        <v>0.99976409939337041</v>
      </c>
      <c r="K45" s="1309">
        <f t="shared" si="1"/>
        <v>0.19250124041164726</v>
      </c>
      <c r="M45" s="1304">
        <f t="shared" si="3"/>
        <v>0.36000000000000015</v>
      </c>
      <c r="N45" s="1289">
        <f t="shared" si="6"/>
        <v>0.23565694062183914</v>
      </c>
      <c r="P45" s="1135">
        <v>2029</v>
      </c>
      <c r="Q45" s="1123">
        <f t="shared" si="5"/>
        <v>70058.666666666977</v>
      </c>
      <c r="R45" s="538"/>
      <c r="S45" s="538"/>
      <c r="T45" s="538"/>
      <c r="U45" s="1123">
        <v>8874.9</v>
      </c>
      <c r="V45" s="538"/>
      <c r="W45" s="538"/>
      <c r="X45" s="538"/>
      <c r="Y45" s="1127">
        <f t="shared" si="4"/>
        <v>156065</v>
      </c>
      <c r="Z45" s="496">
        <f>-1976.3*Table1[[#This Row],[Year]]+4130497.79</f>
        <v>120585.09000000032</v>
      </c>
      <c r="AC45" s="496">
        <v>2029</v>
      </c>
      <c r="AD45" s="1303">
        <f>Table1[[#This Row],[Electricity]]/Table1[[#This Row],[Gasoline]]</f>
        <v>0.44890697252213485</v>
      </c>
      <c r="AE45" s="1303">
        <f>Table1[[#This Row],[Hydrogen]]/Table1[[#This Row],[Gasoline]]</f>
        <v>5.6866690161150799E-2</v>
      </c>
    </row>
    <row r="46" spans="2:32" x14ac:dyDescent="0.2">
      <c r="B46" s="1162">
        <v>2047</v>
      </c>
      <c r="C46" s="1168">
        <v>1</v>
      </c>
      <c r="D46" s="1159">
        <v>1</v>
      </c>
      <c r="E46" s="1159">
        <v>1</v>
      </c>
      <c r="F46" s="1159">
        <v>1</v>
      </c>
      <c r="G46" s="1159">
        <v>1</v>
      </c>
      <c r="H46" s="1159">
        <v>1</v>
      </c>
      <c r="I46" s="1159">
        <v>1</v>
      </c>
      <c r="J46" s="1308">
        <f t="shared" si="0"/>
        <v>0.99993194033152688</v>
      </c>
      <c r="K46" s="1309">
        <f t="shared" si="1"/>
        <v>0.23565694062183914</v>
      </c>
      <c r="M46" s="1304">
        <f t="shared" si="3"/>
        <v>0.37000000000000016</v>
      </c>
      <c r="N46" s="1289">
        <f t="shared" si="6"/>
        <v>0.25908232520512747</v>
      </c>
      <c r="P46" s="1135">
        <v>2030</v>
      </c>
      <c r="Q46" s="1123">
        <f t="shared" si="5"/>
        <v>73812.400000000373</v>
      </c>
      <c r="R46" s="538"/>
      <c r="S46" s="538"/>
      <c r="T46" s="538"/>
      <c r="U46" s="1123">
        <v>11075.6</v>
      </c>
      <c r="V46" s="538"/>
      <c r="W46" s="538"/>
      <c r="X46" s="538"/>
      <c r="Y46" s="1127">
        <f t="shared" si="4"/>
        <v>156065</v>
      </c>
      <c r="Z46" s="496">
        <f>-1976.3*Table1[[#This Row],[Year]]+4130497.79</f>
        <v>118608.79000000004</v>
      </c>
      <c r="AC46" s="496">
        <v>2030</v>
      </c>
      <c r="AD46" s="1303">
        <f>Table1[[#This Row],[Electricity]]/Table1[[#This Row],[Gasoline]]</f>
        <v>0.47295934386313632</v>
      </c>
      <c r="AE46" s="1303">
        <f>Table1[[#This Row],[Hydrogen]]/Table1[[#This Row],[Gasoline]]</f>
        <v>7.0967865953288703E-2</v>
      </c>
    </row>
    <row r="47" spans="2:32" x14ac:dyDescent="0.2">
      <c r="B47" s="1162">
        <v>2048</v>
      </c>
      <c r="C47" s="1168">
        <v>1</v>
      </c>
      <c r="D47" s="1159">
        <v>1</v>
      </c>
      <c r="E47" s="1159">
        <v>1</v>
      </c>
      <c r="F47" s="1159">
        <v>1</v>
      </c>
      <c r="G47" s="1159">
        <v>1</v>
      </c>
      <c r="H47" s="1159">
        <v>1</v>
      </c>
      <c r="I47" s="1159">
        <v>1</v>
      </c>
      <c r="J47" s="1308">
        <f t="shared" si="0"/>
        <v>0.99997239738380339</v>
      </c>
      <c r="K47" s="1309">
        <f t="shared" si="1"/>
        <v>0.25908232520512747</v>
      </c>
      <c r="M47" s="1304">
        <f t="shared" si="3"/>
        <v>0.38000000000000017</v>
      </c>
      <c r="N47" s="1289">
        <f t="shared" si="6"/>
        <v>0.28367532636244841</v>
      </c>
      <c r="P47" s="1135">
        <v>2031</v>
      </c>
      <c r="Q47" s="1123">
        <f t="shared" si="5"/>
        <v>77566.133333333768</v>
      </c>
      <c r="R47" s="538"/>
      <c r="S47" s="538"/>
      <c r="T47" s="538"/>
      <c r="U47" s="1123">
        <v>13478.789999999997</v>
      </c>
      <c r="V47" s="538"/>
      <c r="W47" s="538"/>
      <c r="X47" s="538"/>
      <c r="Y47" s="1127">
        <f t="shared" si="4"/>
        <v>156065</v>
      </c>
      <c r="Z47" s="496">
        <f>-1976.3*Table1[[#This Row],[Year]]+4130497.79</f>
        <v>116632.49000000022</v>
      </c>
      <c r="AC47" s="496">
        <v>2031</v>
      </c>
      <c r="AD47" s="1303">
        <f>Table1[[#This Row],[Electricity]]/Table1[[#This Row],[Gasoline]]</f>
        <v>0.49701171520413784</v>
      </c>
      <c r="AE47" s="1303">
        <f>Table1[[#This Row],[Hydrogen]]/Table1[[#This Row],[Gasoline]]</f>
        <v>8.6366513952519763E-2</v>
      </c>
    </row>
    <row r="48" spans="2:32" x14ac:dyDescent="0.2">
      <c r="B48" s="1162">
        <v>2049</v>
      </c>
      <c r="C48" s="1168">
        <v>1</v>
      </c>
      <c r="D48" s="1159">
        <v>1</v>
      </c>
      <c r="E48" s="1159">
        <v>1</v>
      </c>
      <c r="F48" s="1159">
        <v>1</v>
      </c>
      <c r="G48" s="1159">
        <v>1</v>
      </c>
      <c r="H48" s="1159">
        <v>1</v>
      </c>
      <c r="I48" s="1159">
        <v>1</v>
      </c>
      <c r="J48" s="1308">
        <f t="shared" si="0"/>
        <v>0.99998948057868242</v>
      </c>
      <c r="K48" s="1309">
        <f t="shared" si="1"/>
        <v>0.30936965849496828</v>
      </c>
      <c r="M48" s="1304">
        <f t="shared" si="3"/>
        <v>0.39000000000000018</v>
      </c>
      <c r="N48" s="1289">
        <f t="shared" si="6"/>
        <v>0.30936965849496828</v>
      </c>
      <c r="P48" s="1135">
        <v>2032</v>
      </c>
      <c r="Q48" s="1123">
        <f t="shared" si="5"/>
        <v>81319.866666667163</v>
      </c>
      <c r="R48" s="538"/>
      <c r="S48" s="538"/>
      <c r="T48" s="538"/>
      <c r="U48" s="1123">
        <v>16001.890000000003</v>
      </c>
      <c r="V48" s="538"/>
      <c r="W48" s="538"/>
      <c r="X48" s="538"/>
      <c r="Y48" s="1127">
        <f t="shared" si="4"/>
        <v>156065</v>
      </c>
      <c r="Z48" s="496">
        <f>-1976.3*Table1[[#This Row],[Year]]+4130497.79</f>
        <v>114656.18999999994</v>
      </c>
      <c r="AC48" s="496">
        <v>2032</v>
      </c>
      <c r="AD48" s="1303">
        <f>Table1[[#This Row],[Electricity]]/Table1[[#This Row],[Gasoline]]</f>
        <v>0.52106408654513925</v>
      </c>
      <c r="AE48" s="1303">
        <f>Table1[[#This Row],[Hydrogen]]/Table1[[#This Row],[Gasoline]]</f>
        <v>0.10253349565886011</v>
      </c>
    </row>
    <row r="49" spans="2:31" ht="13.5" thickBot="1" x14ac:dyDescent="0.25">
      <c r="B49" s="1163">
        <v>2050</v>
      </c>
      <c r="C49" s="1169">
        <v>1</v>
      </c>
      <c r="D49" s="1160">
        <v>1</v>
      </c>
      <c r="E49" s="1160">
        <v>1</v>
      </c>
      <c r="F49" s="1160">
        <v>1</v>
      </c>
      <c r="G49" s="1160">
        <v>1</v>
      </c>
      <c r="H49" s="1160">
        <v>1</v>
      </c>
      <c r="I49" s="1160">
        <v>1</v>
      </c>
      <c r="J49" s="1310">
        <f t="shared" si="0"/>
        <v>0.99999781107499508</v>
      </c>
      <c r="K49" s="1311">
        <f t="shared" si="1"/>
        <v>0.33608423666452697</v>
      </c>
      <c r="M49" s="1304">
        <f t="shared" si="3"/>
        <v>0.40000000000000019</v>
      </c>
      <c r="N49" s="1289">
        <f t="shared" si="6"/>
        <v>0.33608423666452697</v>
      </c>
      <c r="P49" s="1135">
        <v>2033</v>
      </c>
      <c r="Q49" s="1123">
        <f t="shared" si="5"/>
        <v>85073.600000000559</v>
      </c>
      <c r="R49" s="538"/>
      <c r="S49" s="538"/>
      <c r="T49" s="538"/>
      <c r="U49" s="1123">
        <v>18199.889999999996</v>
      </c>
      <c r="V49" s="538"/>
      <c r="W49" s="538"/>
      <c r="X49" s="538"/>
      <c r="Y49" s="1127">
        <f t="shared" si="4"/>
        <v>156065</v>
      </c>
      <c r="Z49" s="496">
        <f>-1976.3*Table1[[#This Row],[Year]]+4130497.79</f>
        <v>112679.89000000013</v>
      </c>
      <c r="AC49" s="496">
        <v>2033</v>
      </c>
      <c r="AD49" s="1303">
        <f>Table1[[#This Row],[Electricity]]/Table1[[#This Row],[Gasoline]]</f>
        <v>0.54511645788614072</v>
      </c>
      <c r="AE49" s="1303">
        <f>Table1[[#This Row],[Hydrogen]]/Table1[[#This Row],[Gasoline]]</f>
        <v>0.11661737096722517</v>
      </c>
    </row>
    <row r="50" spans="2:31" x14ac:dyDescent="0.2">
      <c r="M50" s="1304">
        <f t="shared" si="3"/>
        <v>0.4100000000000002</v>
      </c>
      <c r="N50" s="1289">
        <f t="shared" si="6"/>
        <v>0.36372330804167707</v>
      </c>
      <c r="P50" s="1135">
        <v>2034</v>
      </c>
      <c r="Q50" s="1123">
        <f t="shared" si="5"/>
        <v>88827.333333333954</v>
      </c>
      <c r="R50" s="538"/>
      <c r="S50" s="538"/>
      <c r="T50" s="538"/>
      <c r="U50" s="1123">
        <v>20480.889999999996</v>
      </c>
      <c r="V50" s="538"/>
      <c r="W50" s="538"/>
      <c r="X50" s="538"/>
      <c r="Y50" s="1127">
        <f t="shared" si="4"/>
        <v>156065</v>
      </c>
      <c r="Z50" s="496">
        <f>-1976.3*Table1[[#This Row],[Year]]+4130497.79</f>
        <v>110703.59000000032</v>
      </c>
      <c r="AC50" s="496">
        <v>2034</v>
      </c>
      <c r="AD50" s="1303">
        <f>Table1[[#This Row],[Electricity]]/Table1[[#This Row],[Gasoline]]</f>
        <v>0.56916882922714229</v>
      </c>
      <c r="AE50" s="1303">
        <f>Table1[[#This Row],[Hydrogen]]/Table1[[#This Row],[Gasoline]]</f>
        <v>0.13123307596193892</v>
      </c>
    </row>
    <row r="51" spans="2:31" x14ac:dyDescent="0.2">
      <c r="M51" s="1304">
        <f t="shared" si="3"/>
        <v>0.42000000000000021</v>
      </c>
      <c r="N51" s="1289">
        <f t="shared" si="6"/>
        <v>0.39217687976031146</v>
      </c>
      <c r="P51" s="1135">
        <v>2035</v>
      </c>
      <c r="Q51" s="1123">
        <f t="shared" si="5"/>
        <v>92581.06666666735</v>
      </c>
      <c r="R51" s="538"/>
      <c r="S51" s="538"/>
      <c r="T51" s="538"/>
      <c r="U51" s="1123">
        <v>22921.889999999996</v>
      </c>
      <c r="V51" s="538"/>
      <c r="W51" s="538"/>
      <c r="X51" s="538"/>
      <c r="Y51" s="1127">
        <f t="shared" si="4"/>
        <v>156065</v>
      </c>
      <c r="Z51" s="496">
        <f>-1976.3*Table1[[#This Row],[Year]]+4130497.79</f>
        <v>108727.29000000004</v>
      </c>
      <c r="AC51" s="496">
        <v>2035</v>
      </c>
      <c r="AD51" s="1303">
        <f>Table1[[#This Row],[Electricity]]/Table1[[#This Row],[Gasoline]]</f>
        <v>0.59322120056814376</v>
      </c>
      <c r="AE51" s="1303">
        <f>Table1[[#This Row],[Hydrogen]]/Table1[[#This Row],[Gasoline]]</f>
        <v>0.14687399480985483</v>
      </c>
    </row>
    <row r="52" spans="2:31" x14ac:dyDescent="0.2">
      <c r="M52" s="1304">
        <f t="shared" si="3"/>
        <v>0.43000000000000022</v>
      </c>
      <c r="N52" s="1289">
        <f t="shared" si="6"/>
        <v>0.42132146335212817</v>
      </c>
      <c r="P52" s="1135">
        <v>2036</v>
      </c>
      <c r="Q52" s="1123">
        <f t="shared" si="5"/>
        <v>96334.800000000745</v>
      </c>
      <c r="R52" s="538"/>
      <c r="S52" s="538"/>
      <c r="T52" s="538"/>
      <c r="U52" s="1123">
        <v>25534.889999999996</v>
      </c>
      <c r="V52" s="538"/>
      <c r="W52" s="538"/>
      <c r="X52" s="538"/>
      <c r="Y52" s="1127">
        <f t="shared" si="4"/>
        <v>156065</v>
      </c>
      <c r="Z52" s="496">
        <f>-1976.3*Table1[[#This Row],[Year]]+4130497.79</f>
        <v>106750.99000000022</v>
      </c>
      <c r="AC52" s="496">
        <v>2036</v>
      </c>
      <c r="AD52" s="1303">
        <f>Table1[[#This Row],[Electricity]]/Table1[[#This Row],[Gasoline]]</f>
        <v>0.61727357190914522</v>
      </c>
      <c r="AE52" s="1303">
        <f>Table1[[#This Row],[Hydrogen]]/Table1[[#This Row],[Gasoline]]</f>
        <v>0.16361701854996313</v>
      </c>
    </row>
    <row r="53" spans="2:31" x14ac:dyDescent="0.2">
      <c r="M53" s="1304">
        <f t="shared" si="3"/>
        <v>0.44000000000000022</v>
      </c>
      <c r="N53" s="1289">
        <f t="shared" si="6"/>
        <v>0.45102114846019115</v>
      </c>
      <c r="P53" s="1135">
        <v>2037</v>
      </c>
      <c r="Q53" s="1123">
        <f t="shared" si="5"/>
        <v>100088.53333333414</v>
      </c>
      <c r="R53" s="538"/>
      <c r="S53" s="538"/>
      <c r="T53" s="538"/>
      <c r="U53" s="1123">
        <v>28238.889999999996</v>
      </c>
      <c r="V53" s="538"/>
      <c r="W53" s="538"/>
      <c r="X53" s="538"/>
      <c r="Y53" s="1127">
        <f t="shared" si="4"/>
        <v>156065</v>
      </c>
      <c r="Z53" s="496">
        <f>-1976.3*Table1[[#This Row],[Year]]+4130497.79</f>
        <v>104774.68999999994</v>
      </c>
      <c r="AC53" s="496">
        <v>2037</v>
      </c>
      <c r="AD53" s="1303">
        <f>Table1[[#This Row],[Electricity]]/Table1[[#This Row],[Gasoline]]</f>
        <v>0.64132594325014669</v>
      </c>
      <c r="AE53" s="1303">
        <f>Table1[[#This Row],[Hydrogen]]/Table1[[#This Row],[Gasoline]]</f>
        <v>0.18094313266908016</v>
      </c>
    </row>
    <row r="54" spans="2:31" x14ac:dyDescent="0.2">
      <c r="M54" s="1304">
        <f t="shared" si="3"/>
        <v>0.45000000000000023</v>
      </c>
      <c r="N54" s="1289">
        <f t="shared" si="6"/>
        <v>0.48112900953454829</v>
      </c>
      <c r="P54" s="1135">
        <v>2038</v>
      </c>
      <c r="Q54" s="1123">
        <f t="shared" si="5"/>
        <v>103842.26666666754</v>
      </c>
      <c r="R54" s="538"/>
      <c r="S54" s="538"/>
      <c r="T54" s="538"/>
      <c r="U54" s="1123">
        <v>31005.889999999996</v>
      </c>
      <c r="V54" s="538"/>
      <c r="W54" s="538"/>
      <c r="X54" s="538"/>
      <c r="Y54" s="1127">
        <f t="shared" si="4"/>
        <v>156065</v>
      </c>
      <c r="Z54" s="496">
        <f>-1976.3*Table1[[#This Row],[Year]]+4130497.79</f>
        <v>102798.39000000013</v>
      </c>
      <c r="AC54" s="496">
        <v>2038</v>
      </c>
      <c r="AD54" s="1303">
        <f>Table1[[#This Row],[Electricity]]/Table1[[#This Row],[Gasoline]]</f>
        <v>0.66537831459114816</v>
      </c>
      <c r="AE54" s="1303">
        <f>Table1[[#This Row],[Hydrogen]]/Table1[[#This Row],[Gasoline]]</f>
        <v>0.19867292474289555</v>
      </c>
    </row>
    <row r="55" spans="2:31" x14ac:dyDescent="0.2">
      <c r="M55" s="1304">
        <f t="shared" si="3"/>
        <v>0.46000000000000024</v>
      </c>
      <c r="N55" s="1289">
        <f t="shared" si="6"/>
        <v>0.51148883886909147</v>
      </c>
      <c r="P55" s="1135">
        <v>2039</v>
      </c>
      <c r="Q55" s="1123">
        <f t="shared" si="5"/>
        <v>107596.00000000093</v>
      </c>
      <c r="R55" s="538"/>
      <c r="S55" s="538"/>
      <c r="T55" s="538"/>
      <c r="U55" s="1123">
        <v>33834.89</v>
      </c>
      <c r="V55" s="538"/>
      <c r="W55" s="538"/>
      <c r="X55" s="538"/>
      <c r="Y55" s="1127">
        <f t="shared" si="4"/>
        <v>156065</v>
      </c>
      <c r="Z55" s="496">
        <f>-1976.3*Table1[[#This Row],[Year]]+4130497.79</f>
        <v>100822.09000000032</v>
      </c>
      <c r="AC55" s="496">
        <v>2039</v>
      </c>
      <c r="AD55" s="1303">
        <f>Table1[[#This Row],[Electricity]]/Table1[[#This Row],[Gasoline]]</f>
        <v>0.68943068593214962</v>
      </c>
      <c r="AE55" s="1303">
        <f>Table1[[#This Row],[Hydrogen]]/Table1[[#This Row],[Gasoline]]</f>
        <v>0.21679998718482682</v>
      </c>
    </row>
    <row r="56" spans="2:31" x14ac:dyDescent="0.2">
      <c r="M56" s="1304">
        <f t="shared" si="3"/>
        <v>0.47000000000000025</v>
      </c>
      <c r="N56" s="1289">
        <f t="shared" si="6"/>
        <v>0.54193718792371426</v>
      </c>
      <c r="P56" s="1135">
        <v>2040</v>
      </c>
      <c r="Q56" s="1123">
        <f t="shared" si="5"/>
        <v>111349.73333333433</v>
      </c>
      <c r="R56" s="538"/>
      <c r="S56" s="538"/>
      <c r="T56" s="538"/>
      <c r="U56" s="1123">
        <v>36523.89</v>
      </c>
      <c r="V56" s="538"/>
      <c r="W56" s="538"/>
      <c r="X56" s="538"/>
      <c r="Y56" s="1127">
        <f t="shared" si="4"/>
        <v>156065</v>
      </c>
      <c r="Z56" s="496">
        <f>-1976.3*Table1[[#This Row],[Year]]+4130497.79</f>
        <v>98845.790000000037</v>
      </c>
      <c r="AC56" s="496">
        <v>2040</v>
      </c>
      <c r="AD56" s="1303">
        <f>Table1[[#This Row],[Electricity]]/Table1[[#This Row],[Gasoline]]</f>
        <v>0.71348305727315109</v>
      </c>
      <c r="AE56" s="1303">
        <f>Table1[[#This Row],[Hydrogen]]/Table1[[#This Row],[Gasoline]]</f>
        <v>0.23402998750520615</v>
      </c>
    </row>
    <row r="57" spans="2:31" x14ac:dyDescent="0.2">
      <c r="M57" s="1304">
        <f t="shared" si="3"/>
        <v>0.48000000000000026</v>
      </c>
      <c r="N57" s="1289">
        <f t="shared" si="6"/>
        <v>0.57230568676862981</v>
      </c>
      <c r="P57" s="1135">
        <v>2041</v>
      </c>
      <c r="Q57" s="1123">
        <f t="shared" si="5"/>
        <v>115103.46666666679</v>
      </c>
      <c r="R57" s="1126"/>
      <c r="S57" s="1126"/>
      <c r="T57" s="1126"/>
      <c r="U57" s="1123">
        <v>39429.890000000007</v>
      </c>
      <c r="V57" s="1126"/>
      <c r="W57" s="1126"/>
      <c r="X57" s="1126"/>
      <c r="Y57" s="1127">
        <f t="shared" si="4"/>
        <v>156065</v>
      </c>
      <c r="Z57" s="496">
        <f>-1976.3*Table1[[#This Row],[Year]]+4130497.79</f>
        <v>96869.490000000224</v>
      </c>
      <c r="AC57" s="496">
        <v>2041</v>
      </c>
      <c r="AD57" s="1303">
        <f>Table1[[#This Row],[Electricity]]/Table1[[#This Row],[Gasoline]]</f>
        <v>0.73753542861414656</v>
      </c>
      <c r="AE57" s="1303">
        <f>Table1[[#This Row],[Hydrogen]]/Table1[[#This Row],[Gasoline]]</f>
        <v>0.25265043411399102</v>
      </c>
    </row>
    <row r="58" spans="2:31" x14ac:dyDescent="0.2">
      <c r="M58" s="1304">
        <f t="shared" si="3"/>
        <v>0.49000000000000027</v>
      </c>
      <c r="N58" s="1289">
        <f t="shared" si="6"/>
        <v>0.60242359916581223</v>
      </c>
      <c r="P58" s="1135">
        <v>2042</v>
      </c>
      <c r="Q58" s="1123">
        <f t="shared" si="5"/>
        <v>118857.20000000019</v>
      </c>
      <c r="R58" s="1126"/>
      <c r="S58" s="1126"/>
      <c r="T58" s="1126"/>
      <c r="U58" s="1123">
        <v>42341.890000000007</v>
      </c>
      <c r="V58" s="1126"/>
      <c r="W58" s="1126"/>
      <c r="X58" s="1126"/>
      <c r="Y58" s="1127">
        <f t="shared" si="4"/>
        <v>156065</v>
      </c>
      <c r="Z58" s="496">
        <f>-1976.3*Table1[[#This Row],[Year]]+4130497.79</f>
        <v>94893.189999999944</v>
      </c>
      <c r="AC58" s="496">
        <v>2042</v>
      </c>
      <c r="AD58" s="1303">
        <f>Table1[[#This Row],[Electricity]]/Table1[[#This Row],[Gasoline]]</f>
        <v>0.76158779995514814</v>
      </c>
      <c r="AE58" s="1303">
        <f>Table1[[#This Row],[Hydrogen]]/Table1[[#This Row],[Gasoline]]</f>
        <v>0.27130932624227089</v>
      </c>
    </row>
    <row r="59" spans="2:31" x14ac:dyDescent="0.2">
      <c r="M59" s="1304">
        <f t="shared" si="3"/>
        <v>0.50000000000000022</v>
      </c>
      <c r="N59" s="1289">
        <f t="shared" si="6"/>
        <v>0.63212055882855833</v>
      </c>
      <c r="P59" s="1135">
        <v>2043</v>
      </c>
      <c r="Q59" s="1123">
        <f t="shared" si="5"/>
        <v>122610.93333333358</v>
      </c>
      <c r="R59" s="1126"/>
      <c r="S59" s="1126"/>
      <c r="T59" s="1126"/>
      <c r="U59" s="1123">
        <v>45272.890000000007</v>
      </c>
      <c r="V59" s="1126"/>
      <c r="W59" s="1126"/>
      <c r="X59" s="1126"/>
      <c r="Y59" s="1127">
        <f t="shared" si="4"/>
        <v>156065</v>
      </c>
      <c r="Z59" s="496">
        <f>-1976.3*Table1[[#This Row],[Year]]+4130497.79</f>
        <v>92916.89000000013</v>
      </c>
      <c r="AC59" s="496">
        <v>2043</v>
      </c>
      <c r="AD59" s="1303">
        <f>Table1[[#This Row],[Electricity]]/Table1[[#This Row],[Gasoline]]</f>
        <v>0.7856401712961496</v>
      </c>
      <c r="AE59" s="1303">
        <f>Table1[[#This Row],[Hydrogen]]/Table1[[#This Row],[Gasoline]]</f>
        <v>0.29008996251561853</v>
      </c>
    </row>
    <row r="60" spans="2:31" x14ac:dyDescent="0.2">
      <c r="M60" s="1304">
        <f t="shared" si="3"/>
        <v>0.51000000000000023</v>
      </c>
      <c r="N60" s="1289">
        <f t="shared" ref="N60:N109" si="7">WEIBULL(M60,$N$4,$N$5,$N$6)</f>
        <v>0.66122942140045338</v>
      </c>
      <c r="P60" s="1135">
        <v>2044</v>
      </c>
      <c r="Q60" s="1123">
        <f t="shared" si="5"/>
        <v>126364.66666666698</v>
      </c>
      <c r="R60" s="1126"/>
      <c r="S60" s="1126"/>
      <c r="T60" s="1126"/>
      <c r="U60" s="1123">
        <v>48191.890000000007</v>
      </c>
      <c r="V60" s="1126"/>
      <c r="W60" s="1126"/>
      <c r="X60" s="1126"/>
      <c r="Y60" s="1127">
        <f t="shared" si="4"/>
        <v>156065</v>
      </c>
      <c r="Z60" s="496">
        <f>-1976.3*Table1[[#This Row],[Year]]+4130497.79</f>
        <v>90940.590000000317</v>
      </c>
      <c r="AC60" s="496">
        <v>2044</v>
      </c>
      <c r="AD60" s="1303">
        <f>Table1[[#This Row],[Electricity]]/Table1[[#This Row],[Gasoline]]</f>
        <v>0.80969254263715107</v>
      </c>
      <c r="AE60" s="1303">
        <f>Table1[[#This Row],[Hydrogen]]/Table1[[#This Row],[Gasoline]]</f>
        <v>0.308793707749976</v>
      </c>
    </row>
    <row r="61" spans="2:31" x14ac:dyDescent="0.2">
      <c r="M61" s="1304">
        <f t="shared" si="3"/>
        <v>0.52000000000000024</v>
      </c>
      <c r="N61" s="1289">
        <f t="shared" si="7"/>
        <v>0.68958915732970893</v>
      </c>
      <c r="P61" s="1135">
        <v>2045</v>
      </c>
      <c r="Q61" s="1123">
        <f t="shared" si="5"/>
        <v>130118.40000000037</v>
      </c>
      <c r="R61" s="1126"/>
      <c r="S61" s="1126"/>
      <c r="T61" s="1126"/>
      <c r="U61" s="1123">
        <v>51068.890000000007</v>
      </c>
      <c r="V61" s="1126"/>
      <c r="W61" s="1126"/>
      <c r="X61" s="1126"/>
      <c r="Y61" s="1127">
        <f t="shared" si="4"/>
        <v>156065</v>
      </c>
      <c r="Z61" s="496">
        <f>-1976.3*Table1[[#This Row],[Year]]+4130497.79</f>
        <v>88964.290000000037</v>
      </c>
      <c r="AC61" s="496">
        <v>2045</v>
      </c>
      <c r="AD61" s="1303">
        <f>Table1[[#This Row],[Electricity]]/Table1[[#This Row],[Gasoline]]</f>
        <v>0.83374491397815254</v>
      </c>
      <c r="AE61" s="1303">
        <f>Table1[[#This Row],[Hydrogen]]/Table1[[#This Row],[Gasoline]]</f>
        <v>0.32722833434786791</v>
      </c>
    </row>
    <row r="62" spans="2:31" x14ac:dyDescent="0.2">
      <c r="M62" s="1304">
        <f t="shared" si="3"/>
        <v>0.53000000000000025</v>
      </c>
      <c r="N62" s="1289">
        <f t="shared" si="7"/>
        <v>0.71704770374006288</v>
      </c>
      <c r="P62" s="1135">
        <v>2046</v>
      </c>
      <c r="Q62" s="1123">
        <f t="shared" si="5"/>
        <v>133872.13333333377</v>
      </c>
      <c r="R62" s="1126"/>
      <c r="S62" s="1126"/>
      <c r="T62" s="1126"/>
      <c r="U62" s="1123">
        <v>53824.890000000007</v>
      </c>
      <c r="V62" s="1126"/>
      <c r="W62" s="1126"/>
      <c r="X62" s="1126"/>
      <c r="Y62" s="1127">
        <f t="shared" si="4"/>
        <v>156065</v>
      </c>
      <c r="Z62" s="496">
        <f>-1976.3*Table1[[#This Row],[Year]]+4130497.79</f>
        <v>86987.990000000224</v>
      </c>
      <c r="AC62" s="496">
        <v>2046</v>
      </c>
      <c r="AD62" s="1303">
        <f>Table1[[#This Row],[Electricity]]/Table1[[#This Row],[Gasoline]]</f>
        <v>0.857797285319154</v>
      </c>
      <c r="AE62" s="1303">
        <f>Table1[[#This Row],[Hydrogen]]/Table1[[#This Row],[Gasoline]]</f>
        <v>0.34488764296927565</v>
      </c>
    </row>
    <row r="63" spans="2:31" x14ac:dyDescent="0.2">
      <c r="M63" s="1304">
        <f t="shared" si="3"/>
        <v>0.54000000000000026</v>
      </c>
      <c r="N63" s="1289">
        <f t="shared" si="7"/>
        <v>0.74346468922347331</v>
      </c>
      <c r="P63" s="1135">
        <v>2047</v>
      </c>
      <c r="Q63" s="1123">
        <f t="shared" si="5"/>
        <v>137625.86666666716</v>
      </c>
      <c r="R63" s="1126"/>
      <c r="S63" s="1126"/>
      <c r="T63" s="1126"/>
      <c r="U63" s="1123">
        <v>56484.890000000007</v>
      </c>
      <c r="V63" s="1126"/>
      <c r="W63" s="1126"/>
      <c r="X63" s="1126"/>
      <c r="Y63" s="1127">
        <f t="shared" si="4"/>
        <v>156065</v>
      </c>
      <c r="Z63" s="496">
        <f>-1976.3*Table1[[#This Row],[Year]]+4130497.79</f>
        <v>85011.689999999944</v>
      </c>
      <c r="AC63" s="496">
        <v>2047</v>
      </c>
      <c r="AD63" s="1303">
        <f>Table1[[#This Row],[Electricity]]/Table1[[#This Row],[Gasoline]]</f>
        <v>0.88184965666015547</v>
      </c>
      <c r="AE63" s="1303">
        <f>Table1[[#This Row],[Hydrogen]]/Table1[[#This Row],[Gasoline]]</f>
        <v>0.36193182327876211</v>
      </c>
    </row>
    <row r="64" spans="2:31" x14ac:dyDescent="0.2">
      <c r="M64" s="1304">
        <f t="shared" si="3"/>
        <v>0.55000000000000027</v>
      </c>
      <c r="N64" s="1289">
        <f t="shared" si="7"/>
        <v>0.768713944715672</v>
      </c>
      <c r="P64" s="1135">
        <v>2048</v>
      </c>
      <c r="Q64" s="1123">
        <f t="shared" si="5"/>
        <v>141379.60000000056</v>
      </c>
      <c r="R64" s="1126"/>
      <c r="S64" s="1126"/>
      <c r="T64" s="1126"/>
      <c r="U64" s="1123">
        <v>59039.890000000007</v>
      </c>
      <c r="V64" s="1126"/>
      <c r="W64" s="1126"/>
      <c r="X64" s="1126"/>
      <c r="Y64" s="1127">
        <f t="shared" si="4"/>
        <v>156065</v>
      </c>
      <c r="Z64" s="496">
        <f>-1976.3*Table1[[#This Row],[Year]]+4130497.79</f>
        <v>83035.39000000013</v>
      </c>
      <c r="AC64" s="496">
        <v>2048</v>
      </c>
      <c r="AD64" s="1303">
        <f>Table1[[#This Row],[Electricity]]/Table1[[#This Row],[Gasoline]]</f>
        <v>0.90590202800115693</v>
      </c>
      <c r="AE64" s="1303">
        <f>Table1[[#This Row],[Hydrogen]]/Table1[[#This Row],[Gasoline]]</f>
        <v>0.37830320699708458</v>
      </c>
    </row>
    <row r="65" spans="13:31" x14ac:dyDescent="0.2">
      <c r="M65" s="1304">
        <f t="shared" si="3"/>
        <v>0.56000000000000028</v>
      </c>
      <c r="N65" s="1289">
        <f t="shared" si="7"/>
        <v>0.79268571663322196</v>
      </c>
      <c r="P65" s="1135">
        <v>2049</v>
      </c>
      <c r="Q65" s="1123">
        <f t="shared" si="5"/>
        <v>145133.33333333395</v>
      </c>
      <c r="R65" s="1126"/>
      <c r="S65" s="1126"/>
      <c r="T65" s="1126"/>
      <c r="U65" s="1123">
        <v>61442.890000000007</v>
      </c>
      <c r="V65" s="1126"/>
      <c r="W65" s="1126"/>
      <c r="X65" s="1126"/>
      <c r="Y65" s="1127">
        <f t="shared" si="4"/>
        <v>156065</v>
      </c>
      <c r="Z65" s="496">
        <f>-1976.3*Table1[[#This Row],[Year]]+4130497.79</f>
        <v>81059.090000000317</v>
      </c>
      <c r="AC65" s="496">
        <v>2049</v>
      </c>
      <c r="AD65" s="1303">
        <f>Table1[[#This Row],[Electricity]]/Table1[[#This Row],[Gasoline]]</f>
        <v>0.9299543993421584</v>
      </c>
      <c r="AE65" s="1303">
        <f>Table1[[#This Row],[Hydrogen]]/Table1[[#This Row],[Gasoline]]</f>
        <v>0.39370063755486501</v>
      </c>
    </row>
    <row r="66" spans="13:31" x14ac:dyDescent="0.2">
      <c r="M66" s="1304">
        <f t="shared" si="3"/>
        <v>0.57000000000000028</v>
      </c>
      <c r="N66" s="1289">
        <f t="shared" si="7"/>
        <v>0.81528850543313935</v>
      </c>
      <c r="P66" s="1135">
        <v>2050</v>
      </c>
      <c r="Q66" s="1123">
        <f t="shared" si="5"/>
        <v>148887.06666666735</v>
      </c>
      <c r="R66" s="1126"/>
      <c r="S66" s="1126"/>
      <c r="T66" s="1126"/>
      <c r="U66" s="1123">
        <v>63797.890000000007</v>
      </c>
      <c r="V66" s="1126"/>
      <c r="W66" s="1126"/>
      <c r="X66" s="1126"/>
      <c r="Y66" s="1127">
        <f t="shared" si="4"/>
        <v>156065</v>
      </c>
      <c r="Z66" s="496">
        <f>-1976.3*Table1[[#This Row],[Year]]+4130497.79</f>
        <v>79082.790000000037</v>
      </c>
      <c r="AC66" s="496">
        <v>2050</v>
      </c>
      <c r="AD66" s="1303">
        <f>Table1[[#This Row],[Electricity]]/Table1[[#This Row],[Gasoline]]</f>
        <v>0.95400677068315987</v>
      </c>
      <c r="AE66" s="1303">
        <f>Table1[[#This Row],[Hydrogen]]/Table1[[#This Row],[Gasoline]]</f>
        <v>0.40879050395668476</v>
      </c>
    </row>
    <row r="67" spans="13:31" x14ac:dyDescent="0.2">
      <c r="M67" s="1304">
        <f t="shared" si="3"/>
        <v>0.58000000000000029</v>
      </c>
      <c r="N67" s="1289">
        <f t="shared" si="7"/>
        <v>0.83645046366396225</v>
      </c>
      <c r="P67" s="1136"/>
      <c r="Q67"/>
      <c r="R67"/>
      <c r="S67"/>
      <c r="T67"/>
      <c r="U67"/>
      <c r="V67"/>
      <c r="W67"/>
      <c r="X67"/>
    </row>
    <row r="68" spans="13:31" x14ac:dyDescent="0.2">
      <c r="M68" s="1304">
        <f t="shared" si="3"/>
        <v>0.5900000000000003</v>
      </c>
      <c r="N68" s="1289">
        <f t="shared" si="7"/>
        <v>0.85612030212542312</v>
      </c>
      <c r="P68" s="1136"/>
      <c r="Q68"/>
      <c r="R68"/>
      <c r="S68"/>
      <c r="T68"/>
      <c r="U68"/>
      <c r="V68"/>
      <c r="W68"/>
      <c r="X68"/>
    </row>
    <row r="69" spans="13:31" x14ac:dyDescent="0.2">
      <c r="M69" s="1304">
        <f t="shared" si="3"/>
        <v>0.60000000000000031</v>
      </c>
      <c r="N69" s="1289">
        <f t="shared" si="7"/>
        <v>0.87426767040557263</v>
      </c>
      <c r="P69" s="1136"/>
      <c r="Q69"/>
      <c r="R69"/>
      <c r="S69"/>
      <c r="T69"/>
      <c r="U69"/>
      <c r="V69"/>
      <c r="W69"/>
      <c r="X69"/>
    </row>
    <row r="70" spans="13:31" x14ac:dyDescent="0.2">
      <c r="M70" s="1304">
        <f t="shared" si="3"/>
        <v>0.61000000000000032</v>
      </c>
      <c r="N70" s="1289">
        <f t="shared" si="7"/>
        <v>0.89088299804314675</v>
      </c>
      <c r="P70"/>
      <c r="Q70"/>
      <c r="R70"/>
      <c r="S70"/>
      <c r="T70"/>
      <c r="U70"/>
      <c r="V70"/>
      <c r="W70"/>
      <c r="X70"/>
      <c r="Y70"/>
      <c r="Z70"/>
    </row>
    <row r="71" spans="13:31" x14ac:dyDescent="0.2">
      <c r="M71" s="1304">
        <f t="shared" si="3"/>
        <v>0.62000000000000033</v>
      </c>
      <c r="N71" s="1289">
        <f t="shared" si="7"/>
        <v>0.90597680388751134</v>
      </c>
      <c r="P71"/>
      <c r="Q71" t="s">
        <v>333</v>
      </c>
      <c r="R71"/>
      <c r="S71"/>
      <c r="T71"/>
      <c r="U71"/>
      <c r="V71"/>
      <c r="W71"/>
      <c r="X71"/>
      <c r="Y71"/>
      <c r="Z71"/>
    </row>
    <row r="72" spans="13:31" ht="13.5" thickBot="1" x14ac:dyDescent="0.25">
      <c r="M72" s="1304">
        <f t="shared" si="3"/>
        <v>0.63000000000000034</v>
      </c>
      <c r="N72" s="1289">
        <f t="shared" si="7"/>
        <v>0.91957850276566688</v>
      </c>
      <c r="P72"/>
      <c r="Q72"/>
      <c r="R72"/>
      <c r="S72"/>
      <c r="T72"/>
      <c r="U72"/>
      <c r="V72"/>
      <c r="W72"/>
      <c r="X72"/>
      <c r="Y72"/>
      <c r="Z72"/>
    </row>
    <row r="73" spans="13:31" x14ac:dyDescent="0.2">
      <c r="M73" s="1304">
        <f t="shared" si="3"/>
        <v>0.64000000000000035</v>
      </c>
      <c r="N73" s="1289">
        <f t="shared" si="7"/>
        <v>0.93173475910294257</v>
      </c>
      <c r="P73"/>
      <c r="Q73" s="1284" t="s">
        <v>334</v>
      </c>
      <c r="R73" s="1284"/>
      <c r="S73"/>
      <c r="T73"/>
      <c r="U73"/>
      <c r="V73"/>
      <c r="W73"/>
      <c r="X73"/>
      <c r="Y73"/>
      <c r="Z73"/>
    </row>
    <row r="74" spans="13:31" x14ac:dyDescent="0.2">
      <c r="M74" s="1304">
        <f t="shared" si="3"/>
        <v>0.65000000000000036</v>
      </c>
      <c r="N74" s="1289">
        <f t="shared" si="7"/>
        <v>0.94250745547383585</v>
      </c>
      <c r="P74"/>
      <c r="Q74" s="1283" t="s">
        <v>335</v>
      </c>
      <c r="R74" s="1283">
        <v>0.99449967320782939</v>
      </c>
      <c r="S74"/>
      <c r="T74"/>
      <c r="U74"/>
      <c r="V74"/>
      <c r="W74"/>
      <c r="X74"/>
      <c r="Y74"/>
      <c r="Z74"/>
    </row>
    <row r="75" spans="13:31" x14ac:dyDescent="0.2">
      <c r="M75" s="1304">
        <f t="shared" si="3"/>
        <v>0.66000000000000036</v>
      </c>
      <c r="N75" s="1289">
        <f t="shared" si="7"/>
        <v>0.95197135907101305</v>
      </c>
      <c r="P75"/>
      <c r="Q75" s="1283" t="s">
        <v>336</v>
      </c>
      <c r="R75" s="1283">
        <v>0.98902960001047946</v>
      </c>
      <c r="S75"/>
      <c r="T75"/>
      <c r="U75"/>
      <c r="V75"/>
      <c r="W75"/>
      <c r="X75"/>
      <c r="Y75"/>
      <c r="Z75"/>
    </row>
    <row r="76" spans="13:31" x14ac:dyDescent="0.2">
      <c r="M76" s="1304">
        <f t="shared" ref="M76:M109" si="8">M75+0.01</f>
        <v>0.67000000000000037</v>
      </c>
      <c r="N76" s="1289">
        <f t="shared" si="7"/>
        <v>0.96021157984875782</v>
      </c>
      <c r="P76"/>
      <c r="Q76" s="1283" t="s">
        <v>337</v>
      </c>
      <c r="R76" s="1283">
        <v>0.98720120001222611</v>
      </c>
      <c r="S76"/>
      <c r="T76"/>
      <c r="U76"/>
      <c r="V76"/>
      <c r="W76"/>
      <c r="X76"/>
      <c r="Y76"/>
      <c r="Z76"/>
    </row>
    <row r="77" spans="13:31" x14ac:dyDescent="0.2">
      <c r="M77" s="1304">
        <f t="shared" si="8"/>
        <v>0.68000000000000038</v>
      </c>
      <c r="N77" s="1289">
        <f t="shared" si="7"/>
        <v>0.96732091996204717</v>
      </c>
      <c r="P77"/>
      <c r="Q77" s="1283" t="s">
        <v>338</v>
      </c>
      <c r="R77" s="1283">
        <v>1099.8062500724445</v>
      </c>
      <c r="S77"/>
      <c r="T77"/>
      <c r="U77"/>
      <c r="V77"/>
      <c r="W77"/>
      <c r="X77"/>
      <c r="Y77"/>
      <c r="Z77"/>
    </row>
    <row r="78" spans="13:31" ht="13.5" thickBot="1" x14ac:dyDescent="0.25">
      <c r="M78" s="1304">
        <f t="shared" si="8"/>
        <v>0.69000000000000039</v>
      </c>
      <c r="N78" s="1289">
        <f t="shared" si="7"/>
        <v>0.97339721474921714</v>
      </c>
      <c r="P78"/>
      <c r="Q78" s="1281" t="s">
        <v>339</v>
      </c>
      <c r="R78" s="1281">
        <v>8</v>
      </c>
      <c r="S78"/>
      <c r="T78"/>
      <c r="U78"/>
      <c r="V78"/>
      <c r="W78"/>
      <c r="X78"/>
      <c r="Y78"/>
      <c r="Z78"/>
    </row>
    <row r="79" spans="13:31" x14ac:dyDescent="0.2">
      <c r="M79" s="1304">
        <f t="shared" si="8"/>
        <v>0.7000000000000004</v>
      </c>
      <c r="N79" s="1289">
        <f t="shared" si="7"/>
        <v>0.97854076091991982</v>
      </c>
      <c r="P79"/>
      <c r="Q79"/>
      <c r="R79"/>
      <c r="S79"/>
      <c r="T79"/>
      <c r="U79"/>
      <c r="V79"/>
      <c r="W79"/>
      <c r="X79"/>
      <c r="Y79"/>
      <c r="Z79"/>
    </row>
    <row r="80" spans="13:31" ht="13.5" thickBot="1" x14ac:dyDescent="0.25">
      <c r="M80" s="1304">
        <f t="shared" si="8"/>
        <v>0.71000000000000041</v>
      </c>
      <c r="N80" s="1289">
        <f t="shared" si="7"/>
        <v>0.9828519181996197</v>
      </c>
      <c r="P80"/>
      <c r="Q80" t="s">
        <v>340</v>
      </c>
      <c r="R80"/>
      <c r="S80"/>
      <c r="T80"/>
      <c r="U80"/>
      <c r="V80"/>
      <c r="W80"/>
      <c r="X80"/>
      <c r="Y80"/>
      <c r="Z80"/>
    </row>
    <row r="81" spans="13:26" x14ac:dyDescent="0.2">
      <c r="M81" s="1304">
        <f t="shared" si="8"/>
        <v>0.72000000000000042</v>
      </c>
      <c r="N81" s="1289">
        <f t="shared" si="7"/>
        <v>0.98642895717144563</v>
      </c>
      <c r="P81"/>
      <c r="Q81" s="1282"/>
      <c r="R81" s="1282" t="s">
        <v>344</v>
      </c>
      <c r="S81" s="1282" t="s">
        <v>345</v>
      </c>
      <c r="T81" s="1282" t="s">
        <v>346</v>
      </c>
      <c r="U81" s="1282" t="s">
        <v>347</v>
      </c>
      <c r="V81" s="1282" t="s">
        <v>348</v>
      </c>
      <c r="W81"/>
      <c r="X81"/>
      <c r="Y81"/>
      <c r="Z81"/>
    </row>
    <row r="82" spans="13:26" x14ac:dyDescent="0.2">
      <c r="M82" s="1304">
        <f t="shared" si="8"/>
        <v>0.73000000000000043</v>
      </c>
      <c r="N82" s="1289">
        <f t="shared" si="7"/>
        <v>0.98936620944626497</v>
      </c>
      <c r="P82"/>
      <c r="Q82" s="1283" t="s">
        <v>341</v>
      </c>
      <c r="R82" s="1283">
        <v>1</v>
      </c>
      <c r="S82" s="1283">
        <v>654290243.14880955</v>
      </c>
      <c r="T82" s="1283">
        <v>654290243.14880955</v>
      </c>
      <c r="U82" s="1283">
        <v>540.92627486066692</v>
      </c>
      <c r="V82" s="1283">
        <v>4.1429738325697967E-7</v>
      </c>
      <c r="W82"/>
      <c r="X82"/>
      <c r="Y82"/>
      <c r="Z82"/>
    </row>
    <row r="83" spans="13:26" x14ac:dyDescent="0.2">
      <c r="M83" s="1304">
        <f t="shared" si="8"/>
        <v>0.74000000000000044</v>
      </c>
      <c r="N83" s="1289">
        <f t="shared" si="7"/>
        <v>0.99175255777467719</v>
      </c>
      <c r="P83"/>
      <c r="Q83" s="1283" t="s">
        <v>342</v>
      </c>
      <c r="R83" s="1283">
        <v>6</v>
      </c>
      <c r="S83" s="1283">
        <v>7257442.7261904757</v>
      </c>
      <c r="T83" s="1283">
        <v>1209573.7876984125</v>
      </c>
      <c r="U83" s="1283"/>
      <c r="V83" s="1283"/>
      <c r="W83"/>
      <c r="X83"/>
      <c r="Y83"/>
      <c r="Z83"/>
    </row>
    <row r="84" spans="13:26" ht="13.5" thickBot="1" x14ac:dyDescent="0.25">
      <c r="M84" s="1304">
        <f t="shared" si="8"/>
        <v>0.75000000000000044</v>
      </c>
      <c r="N84" s="1289">
        <f t="shared" si="7"/>
        <v>0.99367028457251438</v>
      </c>
      <c r="P84"/>
      <c r="Q84" s="1281" t="s">
        <v>18</v>
      </c>
      <c r="R84" s="1281">
        <v>7</v>
      </c>
      <c r="S84" s="1281">
        <v>661547685.875</v>
      </c>
      <c r="T84" s="1281"/>
      <c r="U84" s="1281"/>
      <c r="V84" s="1281"/>
      <c r="W84"/>
      <c r="X84"/>
      <c r="Y84"/>
      <c r="Z84"/>
    </row>
    <row r="85" spans="13:26" ht="13.5" thickBot="1" x14ac:dyDescent="0.25">
      <c r="M85" s="1304">
        <f t="shared" si="8"/>
        <v>0.76000000000000045</v>
      </c>
      <c r="N85" s="1289">
        <f t="shared" si="7"/>
        <v>0.9951942788280157</v>
      </c>
      <c r="P85"/>
      <c r="Q85"/>
      <c r="R85"/>
      <c r="S85"/>
      <c r="T85"/>
      <c r="U85"/>
      <c r="V85"/>
      <c r="W85"/>
      <c r="X85"/>
      <c r="Y85"/>
      <c r="Z85"/>
    </row>
    <row r="86" spans="13:26" x14ac:dyDescent="0.2">
      <c r="M86" s="1304">
        <f t="shared" si="8"/>
        <v>0.77000000000000046</v>
      </c>
      <c r="N86" s="1289">
        <f t="shared" si="7"/>
        <v>0.9963915846347442</v>
      </c>
      <c r="P86"/>
      <c r="Q86" s="1282"/>
      <c r="R86" s="1282" t="s">
        <v>349</v>
      </c>
      <c r="S86" s="1282" t="s">
        <v>338</v>
      </c>
      <c r="T86" s="1282" t="s">
        <v>350</v>
      </c>
      <c r="U86" s="1282" t="s">
        <v>351</v>
      </c>
      <c r="V86" s="1282" t="s">
        <v>352</v>
      </c>
      <c r="W86" s="1282" t="s">
        <v>353</v>
      </c>
      <c r="X86" s="1282" t="s">
        <v>354</v>
      </c>
      <c r="Y86" s="1282" t="s">
        <v>355</v>
      </c>
      <c r="Z86"/>
    </row>
    <row r="87" spans="13:26" x14ac:dyDescent="0.2">
      <c r="M87" s="1304">
        <f t="shared" si="8"/>
        <v>0.78000000000000047</v>
      </c>
      <c r="N87" s="1289">
        <f t="shared" si="7"/>
        <v>0.99732126057789017</v>
      </c>
      <c r="P87"/>
      <c r="Q87" s="1283" t="s">
        <v>343</v>
      </c>
      <c r="R87" s="1283">
        <v>-7935707.4642857136</v>
      </c>
      <c r="S87" s="1283">
        <v>341868.5034598693</v>
      </c>
      <c r="T87" s="1283">
        <v>-23.212748129683312</v>
      </c>
      <c r="U87" s="1283">
        <v>4.1910075053613936E-7</v>
      </c>
      <c r="V87" s="1283">
        <v>-8772229.5569348633</v>
      </c>
      <c r="W87" s="1283">
        <v>-7099185.3716365639</v>
      </c>
      <c r="X87" s="1283">
        <v>-8772229.5569348633</v>
      </c>
      <c r="Y87" s="1283">
        <v>-7099185.3716365639</v>
      </c>
      <c r="Z87"/>
    </row>
    <row r="88" spans="13:26" ht="13.5" thickBot="1" x14ac:dyDescent="0.25">
      <c r="M88" s="1304">
        <f t="shared" si="8"/>
        <v>0.79000000000000048</v>
      </c>
      <c r="N88" s="1289">
        <f t="shared" si="7"/>
        <v>0.99803450854380882</v>
      </c>
      <c r="P88"/>
      <c r="Q88" s="1281" t="s">
        <v>356</v>
      </c>
      <c r="R88" s="1281">
        <v>3946.9404761904757</v>
      </c>
      <c r="S88" s="1281">
        <v>169.70378869542441</v>
      </c>
      <c r="T88" s="1281">
        <v>23.257821799572433</v>
      </c>
      <c r="U88" s="1281">
        <v>4.1429738325698041E-7</v>
      </c>
      <c r="V88" s="1281">
        <v>3531.6902644474399</v>
      </c>
      <c r="W88" s="1281">
        <v>4362.1906879335111</v>
      </c>
      <c r="X88" s="1281">
        <v>3531.6902644474399</v>
      </c>
      <c r="Y88" s="1281">
        <v>4362.1906879335111</v>
      </c>
      <c r="Z88"/>
    </row>
    <row r="89" spans="13:26" x14ac:dyDescent="0.2">
      <c r="M89" s="1304">
        <f t="shared" si="8"/>
        <v>0.80000000000000049</v>
      </c>
      <c r="N89" s="1289">
        <f t="shared" si="7"/>
        <v>0.99857502356180761</v>
      </c>
      <c r="P89"/>
      <c r="Q89"/>
      <c r="R89"/>
      <c r="S89"/>
      <c r="T89"/>
      <c r="U89"/>
      <c r="V89"/>
      <c r="W89"/>
      <c r="X89"/>
      <c r="Y89"/>
      <c r="Z89"/>
    </row>
    <row r="90" spans="13:26" x14ac:dyDescent="0.2">
      <c r="M90" s="1304">
        <f t="shared" si="8"/>
        <v>0.8100000000000005</v>
      </c>
      <c r="N90" s="1289">
        <f t="shared" si="7"/>
        <v>0.99897951304628008</v>
      </c>
      <c r="Q90"/>
      <c r="R90"/>
      <c r="S90"/>
      <c r="T90"/>
      <c r="U90"/>
      <c r="V90"/>
      <c r="W90"/>
      <c r="X90"/>
      <c r="Y90"/>
    </row>
    <row r="91" spans="13:26" x14ac:dyDescent="0.2">
      <c r="M91" s="1304">
        <f t="shared" si="8"/>
        <v>0.82000000000000051</v>
      </c>
      <c r="N91" s="1289">
        <f t="shared" si="7"/>
        <v>0.99927833402166177</v>
      </c>
      <c r="Q91"/>
      <c r="R91"/>
      <c r="S91"/>
      <c r="T91"/>
      <c r="U91"/>
      <c r="V91"/>
      <c r="W91"/>
      <c r="X91"/>
      <c r="Y91"/>
    </row>
    <row r="92" spans="13:26" x14ac:dyDescent="0.2">
      <c r="M92" s="1304">
        <f t="shared" si="8"/>
        <v>0.83000000000000052</v>
      </c>
      <c r="N92" s="1289">
        <f t="shared" si="7"/>
        <v>0.99949620008360773</v>
      </c>
    </row>
    <row r="93" spans="13:26" x14ac:dyDescent="0.2">
      <c r="M93" s="1304">
        <f t="shared" si="8"/>
        <v>0.84000000000000052</v>
      </c>
      <c r="N93" s="1289">
        <f t="shared" si="7"/>
        <v>0.99965291531541611</v>
      </c>
      <c r="Q93" t="s">
        <v>333</v>
      </c>
      <c r="R93"/>
      <c r="S93"/>
      <c r="T93"/>
      <c r="U93"/>
      <c r="V93"/>
      <c r="W93"/>
      <c r="X93"/>
      <c r="Y93"/>
    </row>
    <row r="94" spans="13:26" ht="13.5" thickBot="1" x14ac:dyDescent="0.25">
      <c r="M94" s="1304">
        <f t="shared" si="8"/>
        <v>0.85000000000000053</v>
      </c>
      <c r="N94" s="1289">
        <f t="shared" si="7"/>
        <v>0.99976409939337041</v>
      </c>
      <c r="Q94"/>
      <c r="R94"/>
      <c r="S94"/>
      <c r="T94"/>
      <c r="U94"/>
      <c r="V94"/>
      <c r="W94"/>
      <c r="X94"/>
      <c r="Y94"/>
    </row>
    <row r="95" spans="13:26" x14ac:dyDescent="0.2">
      <c r="M95" s="1304">
        <f t="shared" si="8"/>
        <v>0.86000000000000054</v>
      </c>
      <c r="N95" s="1289">
        <f t="shared" si="7"/>
        <v>0.9998418759268497</v>
      </c>
      <c r="Q95" s="1284" t="s">
        <v>334</v>
      </c>
      <c r="R95" s="1284"/>
      <c r="S95"/>
      <c r="T95"/>
      <c r="U95"/>
      <c r="V95"/>
      <c r="W95"/>
      <c r="X95"/>
      <c r="Y95"/>
    </row>
    <row r="96" spans="13:26" x14ac:dyDescent="0.2">
      <c r="M96" s="1304">
        <f t="shared" si="8"/>
        <v>0.87000000000000055</v>
      </c>
      <c r="N96" s="1289">
        <f t="shared" si="7"/>
        <v>0.999895503999498</v>
      </c>
      <c r="Q96" s="1283" t="s">
        <v>335</v>
      </c>
      <c r="R96" s="1283">
        <v>0.99269784439834385</v>
      </c>
      <c r="S96"/>
      <c r="T96"/>
      <c r="U96"/>
      <c r="V96"/>
      <c r="W96"/>
      <c r="X96"/>
      <c r="Y96"/>
    </row>
    <row r="97" spans="13:25" x14ac:dyDescent="0.2">
      <c r="M97" s="1304">
        <f t="shared" si="8"/>
        <v>0.88000000000000056</v>
      </c>
      <c r="N97" s="1289">
        <f t="shared" si="7"/>
        <v>0.99993194033152688</v>
      </c>
      <c r="Q97" s="1283" t="s">
        <v>336</v>
      </c>
      <c r="R97" s="1283">
        <v>0.98544901027311849</v>
      </c>
      <c r="S97"/>
      <c r="T97"/>
      <c r="U97"/>
      <c r="V97"/>
      <c r="W97"/>
      <c r="X97"/>
      <c r="Y97"/>
    </row>
    <row r="98" spans="13:25" x14ac:dyDescent="0.2">
      <c r="M98" s="1304">
        <f t="shared" si="8"/>
        <v>0.89000000000000057</v>
      </c>
      <c r="N98" s="1289">
        <f t="shared" si="7"/>
        <v>0.99995632604198814</v>
      </c>
      <c r="Q98" s="1283" t="s">
        <v>337</v>
      </c>
      <c r="R98" s="1283">
        <v>0.9833702974549926</v>
      </c>
      <c r="S98"/>
      <c r="T98"/>
      <c r="U98"/>
      <c r="V98"/>
      <c r="W98"/>
      <c r="X98"/>
      <c r="Y98"/>
    </row>
    <row r="99" spans="13:25" x14ac:dyDescent="0.2">
      <c r="M99" s="1304">
        <f t="shared" si="8"/>
        <v>0.90000000000000058</v>
      </c>
      <c r="N99" s="1289">
        <f t="shared" si="7"/>
        <v>0.99997239738380339</v>
      </c>
      <c r="Q99" s="1283" t="s">
        <v>338</v>
      </c>
      <c r="R99" s="1283">
        <v>1335.4241024233945</v>
      </c>
      <c r="S99"/>
      <c r="T99"/>
      <c r="U99"/>
      <c r="V99"/>
      <c r="W99"/>
      <c r="X99"/>
      <c r="Y99"/>
    </row>
    <row r="100" spans="13:25" ht="13.5" thickBot="1" x14ac:dyDescent="0.25">
      <c r="M100" s="1304">
        <f t="shared" si="8"/>
        <v>0.91000000000000059</v>
      </c>
      <c r="N100" s="1289">
        <f t="shared" si="7"/>
        <v>0.99998282393580651</v>
      </c>
      <c r="Q100" s="1281" t="s">
        <v>339</v>
      </c>
      <c r="R100" s="1281">
        <v>9</v>
      </c>
      <c r="S100"/>
      <c r="T100"/>
      <c r="U100"/>
      <c r="V100"/>
      <c r="W100"/>
      <c r="X100"/>
      <c r="Y100"/>
    </row>
    <row r="101" spans="13:25" x14ac:dyDescent="0.2">
      <c r="M101" s="1304">
        <f t="shared" si="8"/>
        <v>0.9200000000000006</v>
      </c>
      <c r="N101" s="1289">
        <f t="shared" si="7"/>
        <v>0.99998948057868242</v>
      </c>
      <c r="Q101"/>
      <c r="R101"/>
      <c r="S101"/>
      <c r="T101"/>
      <c r="U101"/>
      <c r="V101"/>
      <c r="W101"/>
      <c r="X101"/>
      <c r="Y101"/>
    </row>
    <row r="102" spans="13:25" ht="13.5" thickBot="1" x14ac:dyDescent="0.25">
      <c r="M102" s="1304">
        <f t="shared" si="8"/>
        <v>0.9300000000000006</v>
      </c>
      <c r="N102" s="1289">
        <f t="shared" si="7"/>
        <v>0.9999936612702216</v>
      </c>
      <c r="Q102" t="s">
        <v>340</v>
      </c>
      <c r="R102"/>
      <c r="S102"/>
      <c r="T102"/>
      <c r="U102"/>
      <c r="V102"/>
      <c r="W102"/>
      <c r="X102"/>
      <c r="Y102"/>
    </row>
    <row r="103" spans="13:25" x14ac:dyDescent="0.2">
      <c r="M103" s="1304">
        <f t="shared" si="8"/>
        <v>0.94000000000000061</v>
      </c>
      <c r="N103" s="1289">
        <f t="shared" si="7"/>
        <v>0.99999624335152093</v>
      </c>
      <c r="Q103" s="1282"/>
      <c r="R103" s="1282" t="s">
        <v>344</v>
      </c>
      <c r="S103" s="1282" t="s">
        <v>345</v>
      </c>
      <c r="T103" s="1282" t="s">
        <v>346</v>
      </c>
      <c r="U103" s="1282" t="s">
        <v>347</v>
      </c>
      <c r="V103" s="1282" t="s">
        <v>348</v>
      </c>
      <c r="W103"/>
      <c r="X103"/>
      <c r="Y103"/>
    </row>
    <row r="104" spans="13:25" x14ac:dyDescent="0.2">
      <c r="M104" s="1304">
        <f t="shared" si="8"/>
        <v>0.95000000000000062</v>
      </c>
      <c r="N104" s="1289">
        <f t="shared" si="7"/>
        <v>0.99999781107499508</v>
      </c>
      <c r="Q104" s="1283" t="s">
        <v>341</v>
      </c>
      <c r="R104" s="1283">
        <v>1</v>
      </c>
      <c r="S104" s="1283">
        <v>845430836.26666653</v>
      </c>
      <c r="T104" s="1283">
        <v>845430836.26666653</v>
      </c>
      <c r="U104" s="1283">
        <v>474.06693299825616</v>
      </c>
      <c r="V104" s="1283">
        <v>1.0877487663116294E-7</v>
      </c>
      <c r="W104"/>
      <c r="X104"/>
      <c r="Y104"/>
    </row>
    <row r="105" spans="13:25" x14ac:dyDescent="0.2">
      <c r="M105" s="1304">
        <f t="shared" si="8"/>
        <v>0.96000000000000063</v>
      </c>
      <c r="N105" s="1289">
        <f t="shared" si="7"/>
        <v>0.99999874646745956</v>
      </c>
      <c r="Q105" s="1283" t="s">
        <v>342</v>
      </c>
      <c r="R105" s="1283">
        <v>7</v>
      </c>
      <c r="S105" s="1283">
        <v>12483502.733333301</v>
      </c>
      <c r="T105" s="1283">
        <v>1783357.5333333288</v>
      </c>
      <c r="U105" s="1283"/>
      <c r="V105" s="1283"/>
      <c r="W105"/>
      <c r="X105"/>
      <c r="Y105"/>
    </row>
    <row r="106" spans="13:25" ht="13.5" thickBot="1" x14ac:dyDescent="0.25">
      <c r="M106" s="1304">
        <f t="shared" si="8"/>
        <v>0.97000000000000064</v>
      </c>
      <c r="N106" s="1289">
        <f t="shared" si="7"/>
        <v>0.99999929472988103</v>
      </c>
      <c r="Q106" s="1281" t="s">
        <v>18</v>
      </c>
      <c r="R106" s="1281">
        <v>8</v>
      </c>
      <c r="S106" s="1281">
        <v>857914338.99999988</v>
      </c>
      <c r="T106" s="1281"/>
      <c r="U106" s="1281"/>
      <c r="V106" s="1281"/>
      <c r="W106"/>
      <c r="X106"/>
      <c r="Y106"/>
    </row>
    <row r="107" spans="13:25" ht="13.5" thickBot="1" x14ac:dyDescent="0.25">
      <c r="M107" s="1304">
        <f t="shared" si="8"/>
        <v>0.98000000000000065</v>
      </c>
      <c r="N107" s="1289">
        <f t="shared" si="7"/>
        <v>0.99999961030075424</v>
      </c>
      <c r="Q107"/>
      <c r="R107"/>
      <c r="S107"/>
      <c r="T107"/>
      <c r="U107"/>
      <c r="V107"/>
      <c r="W107"/>
      <c r="X107"/>
      <c r="Y107"/>
    </row>
    <row r="108" spans="13:25" x14ac:dyDescent="0.2">
      <c r="M108" s="1304">
        <f t="shared" si="8"/>
        <v>0.99000000000000066</v>
      </c>
      <c r="N108" s="1289">
        <f t="shared" si="7"/>
        <v>0.9999997886047346</v>
      </c>
      <c r="Q108" s="1282"/>
      <c r="R108" s="1282" t="s">
        <v>349</v>
      </c>
      <c r="S108" s="1282" t="s">
        <v>338</v>
      </c>
      <c r="T108" s="1282" t="s">
        <v>350</v>
      </c>
      <c r="U108" s="1282" t="s">
        <v>351</v>
      </c>
      <c r="V108" s="1282" t="s">
        <v>352</v>
      </c>
      <c r="W108" s="1282" t="s">
        <v>353</v>
      </c>
      <c r="X108" s="1282" t="s">
        <v>354</v>
      </c>
      <c r="Y108" s="1282" t="s">
        <v>355</v>
      </c>
    </row>
    <row r="109" spans="13:25" x14ac:dyDescent="0.2">
      <c r="M109" s="1304">
        <f t="shared" si="8"/>
        <v>1.0000000000000007</v>
      </c>
      <c r="N109" s="1289">
        <f t="shared" si="7"/>
        <v>0.99999988746482527</v>
      </c>
      <c r="Q109" s="1283" t="s">
        <v>343</v>
      </c>
      <c r="R109" s="1283">
        <v>-7546266.2666666638</v>
      </c>
      <c r="S109" s="1283">
        <v>347218.94107144978</v>
      </c>
      <c r="T109" s="1283">
        <v>-21.733452222912614</v>
      </c>
      <c r="U109" s="1283">
        <v>1.1015256825256942E-7</v>
      </c>
      <c r="V109" s="1283">
        <v>-8367308.5953365797</v>
      </c>
      <c r="W109" s="1283">
        <v>-6725223.9379967479</v>
      </c>
      <c r="X109" s="1283">
        <v>-8367308.5953365797</v>
      </c>
      <c r="Y109" s="1283">
        <v>-6725223.9379967479</v>
      </c>
    </row>
    <row r="110" spans="13:25" ht="13.5" thickBot="1" x14ac:dyDescent="0.25">
      <c r="Q110" s="1281" t="s">
        <v>356</v>
      </c>
      <c r="R110" s="1281">
        <v>3753.7333333333322</v>
      </c>
      <c r="S110" s="1281">
        <v>172.40251029365982</v>
      </c>
      <c r="T110" s="1281">
        <v>21.773078170030438</v>
      </c>
      <c r="U110" s="1281">
        <v>1.0877487663116294E-7</v>
      </c>
      <c r="V110" s="1281">
        <v>3346.0661764574693</v>
      </c>
      <c r="W110" s="1281">
        <v>4161.4004902091947</v>
      </c>
      <c r="X110" s="1281">
        <v>3346.0661764574693</v>
      </c>
      <c r="Y110" s="1281">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abSelected="1" topLeftCell="I19" workbookViewId="0">
      <selection activeCell="AQ32" sqref="AQ32"/>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136"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137</v>
      </c>
      <c r="L2" s="25" t="s">
        <v>94</v>
      </c>
      <c r="Y2" s="25" t="s">
        <v>85</v>
      </c>
      <c r="AK2" s="25" t="s">
        <v>85</v>
      </c>
      <c r="AL2" s="22"/>
    </row>
    <row r="3" spans="1:50" x14ac:dyDescent="0.25">
      <c r="A3" s="22" t="s">
        <v>398</v>
      </c>
      <c r="D3" s="22" t="s">
        <v>399</v>
      </c>
      <c r="L3" s="25" t="s">
        <v>85</v>
      </c>
      <c r="Y3" s="25" t="s">
        <v>88</v>
      </c>
      <c r="AD3" s="22" t="s">
        <v>106</v>
      </c>
      <c r="AK3" s="25" t="s">
        <v>88</v>
      </c>
      <c r="AL3" s="22"/>
    </row>
    <row r="4" spans="1:50" x14ac:dyDescent="0.25">
      <c r="L4" s="25" t="s">
        <v>88</v>
      </c>
      <c r="Y4" s="26" t="s">
        <v>78</v>
      </c>
      <c r="Z4" s="27">
        <v>2</v>
      </c>
      <c r="AA4" s="22" t="s">
        <v>86</v>
      </c>
      <c r="AD4" s="28">
        <v>2.8</v>
      </c>
      <c r="AE4" s="485">
        <v>2</v>
      </c>
      <c r="AF4" s="28">
        <v>3</v>
      </c>
      <c r="AK4" s="26" t="s">
        <v>78</v>
      </c>
      <c r="AL4" s="27">
        <v>4</v>
      </c>
    </row>
    <row r="5" spans="1:50" x14ac:dyDescent="0.25">
      <c r="A5" s="22" t="s">
        <v>78</v>
      </c>
      <c r="B5" s="27">
        <v>4</v>
      </c>
      <c r="C5" s="22" t="s">
        <v>396</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5">
      <c r="A6" s="22" t="s">
        <v>79</v>
      </c>
      <c r="B6" s="27">
        <v>1</v>
      </c>
      <c r="C6" s="22" t="s">
        <v>397</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5">
      <c r="L7" s="25" t="s">
        <v>97</v>
      </c>
      <c r="M7" s="27">
        <v>1</v>
      </c>
      <c r="O7" s="27">
        <v>1</v>
      </c>
      <c r="P7" s="22" t="s">
        <v>96</v>
      </c>
      <c r="AE7" s="29" t="s">
        <v>185</v>
      </c>
      <c r="AK7" s="25"/>
      <c r="AL7" s="22"/>
    </row>
    <row r="8" spans="1:50" s="31" customFormat="1" ht="45" x14ac:dyDescent="0.25">
      <c r="A8" s="30" t="s">
        <v>80</v>
      </c>
      <c r="B8" s="30" t="s">
        <v>401</v>
      </c>
      <c r="C8" s="31" t="s">
        <v>402</v>
      </c>
      <c r="D8" s="31" t="s">
        <v>400</v>
      </c>
      <c r="L8" s="32" t="s">
        <v>90</v>
      </c>
      <c r="M8" s="30" t="s">
        <v>138</v>
      </c>
      <c r="N8" s="30" t="s">
        <v>91</v>
      </c>
      <c r="O8" s="30" t="s">
        <v>89</v>
      </c>
      <c r="Y8" s="32" t="s">
        <v>99</v>
      </c>
      <c r="Z8" s="30" t="s">
        <v>98</v>
      </c>
      <c r="AJ8"/>
      <c r="AK8" s="1356" t="s">
        <v>3</v>
      </c>
      <c r="AL8" s="1354" t="s">
        <v>3</v>
      </c>
      <c r="AM8" s="30" t="s">
        <v>98</v>
      </c>
      <c r="AN8" s="1357" t="s">
        <v>418</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136">
        <v>2020</v>
      </c>
      <c r="AN9" s="1358">
        <f>AN10</f>
        <v>2</v>
      </c>
      <c r="AX9"/>
    </row>
    <row r="10" spans="1:50" x14ac:dyDescent="0.25">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136">
        <v>2021</v>
      </c>
      <c r="AN10" s="1358">
        <f t="shared" ref="AN10:AN22" si="5">AN11</f>
        <v>2</v>
      </c>
      <c r="AX10"/>
    </row>
    <row r="11" spans="1:50" x14ac:dyDescent="0.25">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136">
        <v>2022</v>
      </c>
      <c r="AN11" s="1358">
        <f t="shared" si="5"/>
        <v>2</v>
      </c>
      <c r="AX11"/>
    </row>
    <row r="12" spans="1:50" x14ac:dyDescent="0.25">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136">
        <v>2023</v>
      </c>
      <c r="AN12" s="1358">
        <f t="shared" si="5"/>
        <v>2</v>
      </c>
      <c r="AX12"/>
    </row>
    <row r="13" spans="1:50" x14ac:dyDescent="0.25">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136">
        <v>2024</v>
      </c>
      <c r="AN13" s="1358">
        <f t="shared" si="5"/>
        <v>2</v>
      </c>
      <c r="AX13"/>
    </row>
    <row r="14" spans="1:50" x14ac:dyDescent="0.25">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136">
        <v>2025</v>
      </c>
      <c r="AN14" s="1358">
        <f t="shared" si="5"/>
        <v>2</v>
      </c>
      <c r="AX14"/>
    </row>
    <row r="15" spans="1:50" x14ac:dyDescent="0.25">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136">
        <v>2026</v>
      </c>
      <c r="AN15" s="1358">
        <f t="shared" si="5"/>
        <v>2</v>
      </c>
      <c r="AX15"/>
    </row>
    <row r="16" spans="1:50" x14ac:dyDescent="0.25">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136">
        <v>2027</v>
      </c>
      <c r="AN16" s="1358">
        <f t="shared" si="5"/>
        <v>2</v>
      </c>
      <c r="AX16"/>
    </row>
    <row r="17" spans="1:50" x14ac:dyDescent="0.25">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136">
        <v>2028</v>
      </c>
      <c r="AN17" s="1358">
        <f t="shared" si="5"/>
        <v>2</v>
      </c>
      <c r="AX17"/>
    </row>
    <row r="18" spans="1:50" x14ac:dyDescent="0.25">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136">
        <v>2029</v>
      </c>
      <c r="AN18" s="1358">
        <f t="shared" si="5"/>
        <v>2</v>
      </c>
      <c r="AX18"/>
    </row>
    <row r="19" spans="1:50" x14ac:dyDescent="0.25">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136">
        <v>2030</v>
      </c>
      <c r="AN19" s="1358">
        <f t="shared" si="5"/>
        <v>2</v>
      </c>
      <c r="AX19"/>
    </row>
    <row r="20" spans="1:50" x14ac:dyDescent="0.25">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 t="shared" si="1"/>
        <v>0.43159062049319474</v>
      </c>
      <c r="AK20" s="1136">
        <v>2031</v>
      </c>
      <c r="AN20" s="1358">
        <f t="shared" si="5"/>
        <v>2</v>
      </c>
      <c r="AX20"/>
    </row>
    <row r="21" spans="1:50" x14ac:dyDescent="0.25">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136">
        <v>2032</v>
      </c>
      <c r="AN21" s="1358">
        <f t="shared" si="5"/>
        <v>2</v>
      </c>
      <c r="AX21"/>
    </row>
    <row r="22" spans="1:50" x14ac:dyDescent="0.25">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136">
        <v>2033</v>
      </c>
      <c r="AN22" s="1358">
        <f t="shared" si="5"/>
        <v>2</v>
      </c>
      <c r="AX22"/>
    </row>
    <row r="23" spans="1:50" ht="15" customHeight="1" x14ac:dyDescent="0.25">
      <c r="A23" s="22">
        <v>14</v>
      </c>
      <c r="B23" s="22">
        <f t="shared" si="2"/>
        <v>0.99995460213129761</v>
      </c>
      <c r="C23" s="22">
        <v>0.99995460213129761</v>
      </c>
      <c r="D23" s="22">
        <v>1</v>
      </c>
      <c r="E23" s="1351"/>
      <c r="F23" s="1351"/>
      <c r="G23" s="1351" t="s">
        <v>136</v>
      </c>
      <c r="H23" s="1351"/>
      <c r="I23" s="1351"/>
      <c r="J23" s="1351"/>
      <c r="L23" s="25">
        <v>0.375</v>
      </c>
      <c r="M23" s="22">
        <f t="shared" si="3"/>
        <v>0.9950396809351163</v>
      </c>
      <c r="N23" s="22">
        <f t="shared" si="4"/>
        <v>-0.625</v>
      </c>
      <c r="O23" s="22">
        <f t="shared" si="0"/>
        <v>0.26758881673355606</v>
      </c>
      <c r="Y23" s="35">
        <v>0.7</v>
      </c>
      <c r="Z23" s="34">
        <f t="shared" si="1"/>
        <v>0.25637575668641222</v>
      </c>
      <c r="AK23" s="1136">
        <v>2034</v>
      </c>
      <c r="AN23" s="1358">
        <f>AN24</f>
        <v>2</v>
      </c>
      <c r="AX23"/>
    </row>
    <row r="24" spans="1:50" x14ac:dyDescent="0.25">
      <c r="A24" s="22">
        <v>15</v>
      </c>
      <c r="B24" s="22">
        <f t="shared" si="2"/>
        <v>0.99998329857815205</v>
      </c>
      <c r="C24" s="22">
        <v>0.99998329857815205</v>
      </c>
      <c r="D24" s="1351">
        <v>1</v>
      </c>
      <c r="E24" s="1351"/>
      <c r="F24" s="1351"/>
      <c r="G24" s="1351"/>
      <c r="H24" s="1351"/>
      <c r="I24" s="1351"/>
      <c r="J24" s="1351"/>
      <c r="L24" s="25">
        <v>0.4</v>
      </c>
      <c r="M24" s="22">
        <f t="shared" si="3"/>
        <v>0.99221793826024351</v>
      </c>
      <c r="N24" s="22">
        <f t="shared" si="4"/>
        <v>-0.6</v>
      </c>
      <c r="O24" s="22">
        <f t="shared" si="0"/>
        <v>0.31150160758012346</v>
      </c>
      <c r="Y24" s="35">
        <v>0.75</v>
      </c>
      <c r="Z24" s="34">
        <f t="shared" si="1"/>
        <v>0.20961138715109784</v>
      </c>
      <c r="AK24" s="1136">
        <v>2035</v>
      </c>
      <c r="AL24" s="1355">
        <f t="shared" ref="AL24:AL39" si="6">(AK24-$AK$24)/15</f>
        <v>0</v>
      </c>
      <c r="AM24" s="34">
        <f t="shared" ref="AM24:AM39" si="7">WEIBULL(AL24,AL$4,AL$5,1)</f>
        <v>0</v>
      </c>
      <c r="AN24" s="1358">
        <f>2-AM24</f>
        <v>2</v>
      </c>
      <c r="AX24"/>
    </row>
    <row r="25" spans="1:50" x14ac:dyDescent="0.25">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136">
        <v>2036</v>
      </c>
      <c r="AL25" s="1355">
        <f t="shared" si="6"/>
        <v>6.6666666666666666E-2</v>
      </c>
      <c r="AM25" s="34">
        <f t="shared" si="7"/>
        <v>1.5240417557940526E-4</v>
      </c>
      <c r="AN25" s="1358">
        <f t="shared" ref="AN25:AN39" si="8">2-AM25</f>
        <v>1.9998475958244206</v>
      </c>
      <c r="AX25"/>
    </row>
    <row r="26" spans="1:50" x14ac:dyDescent="0.25">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136">
        <v>2037</v>
      </c>
      <c r="AL26" s="1355">
        <f t="shared" si="6"/>
        <v>0.13333333333333333</v>
      </c>
      <c r="AM26" s="34">
        <f t="shared" si="7"/>
        <v>2.4356815467030703E-3</v>
      </c>
      <c r="AN26" s="1358">
        <f t="shared" si="8"/>
        <v>1.997564318453297</v>
      </c>
      <c r="AX26"/>
    </row>
    <row r="27" spans="1:50" x14ac:dyDescent="0.25">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136">
        <v>2038</v>
      </c>
      <c r="AL27" s="1355">
        <f t="shared" si="6"/>
        <v>0.2</v>
      </c>
      <c r="AM27" s="34">
        <f t="shared" si="7"/>
        <v>1.2269783764389463E-2</v>
      </c>
      <c r="AN27" s="1358">
        <f t="shared" si="8"/>
        <v>1.9877302162356105</v>
      </c>
      <c r="AX27"/>
    </row>
    <row r="28" spans="1:50" x14ac:dyDescent="0.25">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136">
        <v>2039</v>
      </c>
      <c r="AL28" s="1355">
        <f t="shared" si="6"/>
        <v>0.26666666666666666</v>
      </c>
      <c r="AM28" s="34">
        <f t="shared" si="7"/>
        <v>3.826702759539987E-2</v>
      </c>
      <c r="AN28" s="1358">
        <f t="shared" si="8"/>
        <v>1.9617329724046002</v>
      </c>
      <c r="AX28"/>
    </row>
    <row r="29" spans="1:50" x14ac:dyDescent="0.25">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136">
        <v>2040</v>
      </c>
      <c r="AL29" s="1355">
        <f t="shared" si="6"/>
        <v>0.33333333333333331</v>
      </c>
      <c r="AM29" s="34">
        <f t="shared" si="7"/>
        <v>9.0863352593165345E-2</v>
      </c>
      <c r="AN29" s="1358">
        <f t="shared" si="8"/>
        <v>1.9091366474068348</v>
      </c>
      <c r="AX29"/>
    </row>
    <row r="30" spans="1:50" x14ac:dyDescent="0.25">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136">
        <v>2041</v>
      </c>
      <c r="AL30" s="1355">
        <f t="shared" si="6"/>
        <v>0.4</v>
      </c>
      <c r="AM30" s="34">
        <f t="shared" si="7"/>
        <v>0.17924519170173203</v>
      </c>
      <c r="AN30" s="1358">
        <f t="shared" si="8"/>
        <v>1.8207548082982679</v>
      </c>
      <c r="AX30"/>
    </row>
    <row r="31" spans="1:50" x14ac:dyDescent="0.25">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136">
        <v>2042</v>
      </c>
      <c r="AL31" s="1355">
        <f t="shared" si="6"/>
        <v>0.46666666666666667</v>
      </c>
      <c r="AM31" s="34">
        <f t="shared" si="7"/>
        <v>0.30646273948068542</v>
      </c>
      <c r="AN31" s="1358">
        <f t="shared" si="8"/>
        <v>1.6935372605193146</v>
      </c>
      <c r="AX31"/>
    </row>
    <row r="32" spans="1:50" x14ac:dyDescent="0.25">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136">
        <v>2043</v>
      </c>
      <c r="AL32" s="1355">
        <f t="shared" si="6"/>
        <v>0.53333333333333333</v>
      </c>
      <c r="AM32" s="34">
        <f t="shared" si="7"/>
        <v>0.46436112035159544</v>
      </c>
      <c r="AN32" s="1358">
        <f t="shared" si="8"/>
        <v>1.5356388796484046</v>
      </c>
      <c r="AX32"/>
    </row>
    <row r="33" spans="1:50" x14ac:dyDescent="0.25">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136">
        <v>2044</v>
      </c>
      <c r="AL33" s="1355">
        <f t="shared" si="6"/>
        <v>0.6</v>
      </c>
      <c r="AM33" s="34">
        <f t="shared" si="7"/>
        <v>0.63212055882855767</v>
      </c>
      <c r="AN33" s="1358">
        <f t="shared" si="8"/>
        <v>1.3678794411714423</v>
      </c>
      <c r="AX33"/>
    </row>
    <row r="34" spans="1:50" x14ac:dyDescent="0.25">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136">
        <v>2045</v>
      </c>
      <c r="AL34" s="1355">
        <f t="shared" si="6"/>
        <v>0.66666666666666663</v>
      </c>
      <c r="AM34" s="34">
        <f t="shared" si="7"/>
        <v>0.78219560786090769</v>
      </c>
      <c r="AN34" s="1358">
        <f t="shared" si="8"/>
        <v>1.2178043921390924</v>
      </c>
      <c r="AX34"/>
    </row>
    <row r="35" spans="1:50" x14ac:dyDescent="0.25">
      <c r="L35" s="25">
        <v>0.67500000000000004</v>
      </c>
      <c r="M35" s="22">
        <f t="shared" si="3"/>
        <v>0.73753897394476564</v>
      </c>
      <c r="N35" s="22">
        <f t="shared" si="4"/>
        <v>-0.32499999999999996</v>
      </c>
      <c r="O35" s="22">
        <f t="shared" si="0"/>
        <v>0.83080177321422377</v>
      </c>
      <c r="Y35" s="35">
        <v>1.3</v>
      </c>
      <c r="Z35" s="34">
        <f t="shared" si="1"/>
        <v>9.1459470384278596E-3</v>
      </c>
      <c r="AK35" s="1136">
        <v>2046</v>
      </c>
      <c r="AL35" s="1355">
        <f t="shared" si="6"/>
        <v>0.73333333333333328</v>
      </c>
      <c r="AM35" s="34">
        <f t="shared" si="7"/>
        <v>0.89263484441361618</v>
      </c>
      <c r="AN35" s="1358">
        <f t="shared" si="8"/>
        <v>1.1073651555863839</v>
      </c>
      <c r="AX35"/>
    </row>
    <row r="36" spans="1:50" x14ac:dyDescent="0.25">
      <c r="L36" s="25">
        <v>0.7</v>
      </c>
      <c r="M36" s="22">
        <f t="shared" si="3"/>
        <v>0.67523405249260549</v>
      </c>
      <c r="N36" s="22">
        <f t="shared" si="4"/>
        <v>-0.30000000000000004</v>
      </c>
      <c r="O36" s="22">
        <f t="shared" si="0"/>
        <v>0.86433586981998112</v>
      </c>
      <c r="Y36" s="35">
        <v>1.35</v>
      </c>
      <c r="Z36" s="34">
        <f t="shared" si="1"/>
        <v>6.329715427485727E-3</v>
      </c>
      <c r="AK36" s="1136">
        <v>2047</v>
      </c>
      <c r="AL36" s="1355">
        <f t="shared" si="6"/>
        <v>0.8</v>
      </c>
      <c r="AM36" s="34">
        <f t="shared" si="7"/>
        <v>0.95759520473050741</v>
      </c>
      <c r="AN36" s="1358">
        <f t="shared" si="8"/>
        <v>1.0424047952694926</v>
      </c>
      <c r="AX36"/>
    </row>
    <row r="37" spans="1:50" x14ac:dyDescent="0.25">
      <c r="L37" s="25">
        <v>0.72499999999999998</v>
      </c>
      <c r="M37" s="22">
        <f t="shared" si="3"/>
        <v>0.60529612644814879</v>
      </c>
      <c r="N37" s="22">
        <f t="shared" si="4"/>
        <v>-0.27500000000000002</v>
      </c>
      <c r="O37" s="22">
        <f t="shared" si="0"/>
        <v>0.89377752699959134</v>
      </c>
      <c r="Y37" s="35">
        <v>1.4</v>
      </c>
      <c r="Z37" s="34">
        <f t="shared" si="1"/>
        <v>4.3202394740941008E-3</v>
      </c>
      <c r="AK37" s="1136">
        <v>2048</v>
      </c>
      <c r="AL37" s="1355">
        <f t="shared" si="6"/>
        <v>0.8666666666666667</v>
      </c>
      <c r="AM37" s="34">
        <f t="shared" si="7"/>
        <v>0.98713374628095452</v>
      </c>
      <c r="AN37" s="1358">
        <f t="shared" si="8"/>
        <v>1.0128662537190456</v>
      </c>
      <c r="AX37"/>
    </row>
    <row r="38" spans="1:50" x14ac:dyDescent="0.25">
      <c r="L38" s="25">
        <v>0.75</v>
      </c>
      <c r="M38" s="22">
        <f t="shared" si="3"/>
        <v>0.52914077242073576</v>
      </c>
      <c r="N38" s="22">
        <f t="shared" si="4"/>
        <v>-0.25</v>
      </c>
      <c r="O38" s="22">
        <f t="shared" si="0"/>
        <v>0.91908980640374016</v>
      </c>
      <c r="Y38" s="35">
        <v>1.45</v>
      </c>
      <c r="Z38" s="34">
        <f t="shared" si="1"/>
        <v>2.9080347261855044E-3</v>
      </c>
      <c r="AK38" s="1136">
        <v>2049</v>
      </c>
      <c r="AL38" s="1355">
        <f t="shared" si="6"/>
        <v>0.93333333333333335</v>
      </c>
      <c r="AM38" s="34">
        <f t="shared" si="7"/>
        <v>0.99713505177129269</v>
      </c>
      <c r="AN38" s="1358">
        <f t="shared" si="8"/>
        <v>1.0028649482287073</v>
      </c>
      <c r="AX38"/>
    </row>
    <row r="39" spans="1:50" x14ac:dyDescent="0.25">
      <c r="L39" s="25">
        <v>0.77500000000000002</v>
      </c>
      <c r="M39" s="22">
        <f t="shared" si="3"/>
        <v>0.44900446071673594</v>
      </c>
      <c r="N39" s="22">
        <f t="shared" si="4"/>
        <v>-0.22499999999999998</v>
      </c>
      <c r="O39" s="22">
        <f t="shared" si="0"/>
        <v>0.94034657071919869</v>
      </c>
      <c r="Y39" s="35">
        <v>1.5</v>
      </c>
      <c r="Z39" s="34">
        <f t="shared" si="1"/>
        <v>1.9304541362277217E-3</v>
      </c>
      <c r="AK39" s="1136">
        <v>2050</v>
      </c>
      <c r="AL39" s="1355">
        <f t="shared" si="6"/>
        <v>1</v>
      </c>
      <c r="AM39" s="34">
        <f t="shared" si="7"/>
        <v>0.99955438240440797</v>
      </c>
      <c r="AN39" s="1358">
        <f t="shared" si="8"/>
        <v>1.000445617595592</v>
      </c>
      <c r="AX39"/>
    </row>
    <row r="40" spans="1:50" x14ac:dyDescent="0.25">
      <c r="L40" s="25">
        <v>0.8</v>
      </c>
      <c r="M40" s="22">
        <f t="shared" si="3"/>
        <v>0.36787944117144233</v>
      </c>
      <c r="N40" s="22">
        <f t="shared" si="4"/>
        <v>-0.19999999999999996</v>
      </c>
      <c r="O40" s="22">
        <f t="shared" si="0"/>
        <v>0.95772157283543613</v>
      </c>
      <c r="Z40" s="29"/>
    </row>
    <row r="41" spans="1:50" x14ac:dyDescent="0.25">
      <c r="L41" s="25">
        <v>0.82499999999999996</v>
      </c>
      <c r="M41" s="22">
        <f t="shared" si="3"/>
        <v>0.2892800760938834</v>
      </c>
      <c r="N41" s="22">
        <f t="shared" si="4"/>
        <v>-0.17500000000000004</v>
      </c>
      <c r="O41" s="22">
        <f t="shared" si="0"/>
        <v>0.97147533043809331</v>
      </c>
      <c r="Z41" s="29"/>
    </row>
    <row r="42" spans="1:50" x14ac:dyDescent="0.25">
      <c r="L42" s="25">
        <v>0.85</v>
      </c>
      <c r="M42" s="22">
        <f t="shared" si="3"/>
        <v>0.21683237755298213</v>
      </c>
      <c r="N42" s="22">
        <f t="shared" si="4"/>
        <v>-0.15000000000000002</v>
      </c>
      <c r="O42" s="22">
        <f t="shared" si="0"/>
        <v>0.98194082615872769</v>
      </c>
      <c r="Z42" s="29"/>
    </row>
    <row r="43" spans="1:50" x14ac:dyDescent="0.25">
      <c r="L43" s="25">
        <v>0.875</v>
      </c>
      <c r="M43" s="22">
        <f t="shared" si="3"/>
        <v>0.15373576100167052</v>
      </c>
      <c r="N43" s="22">
        <f t="shared" si="4"/>
        <v>-0.125</v>
      </c>
      <c r="O43" s="22">
        <f t="shared" si="0"/>
        <v>0.98950898865769854</v>
      </c>
      <c r="Z43" s="29"/>
    </row>
    <row r="44" spans="1:50" x14ac:dyDescent="0.25">
      <c r="L44" s="25">
        <v>0.9</v>
      </c>
      <c r="M44" s="22">
        <f t="shared" si="3"/>
        <v>0.10221290412453365</v>
      </c>
      <c r="N44" s="22">
        <f t="shared" si="4"/>
        <v>-9.9999999999999978E-2</v>
      </c>
      <c r="O44" s="22">
        <f t="shared" si="0"/>
        <v>0.99461478043461715</v>
      </c>
      <c r="Z44" s="29"/>
    </row>
    <row r="45" spans="1:50" x14ac:dyDescent="0.25">
      <c r="L45" s="25">
        <v>0.92500000000000004</v>
      </c>
      <c r="M45" s="22">
        <f t="shared" si="3"/>
        <v>6.3109670968522158E-2</v>
      </c>
      <c r="N45" s="22">
        <f t="shared" si="4"/>
        <v>-7.4999999999999956E-2</v>
      </c>
      <c r="O45" s="22">
        <f t="shared" si="0"/>
        <v>0.99772456387142661</v>
      </c>
      <c r="Z45" s="29"/>
    </row>
    <row r="46" spans="1:50" x14ac:dyDescent="0.25">
      <c r="L46" s="25">
        <v>0.95</v>
      </c>
      <c r="M46" s="22">
        <f t="shared" si="3"/>
        <v>3.5795549198594179E-2</v>
      </c>
      <c r="N46" s="22">
        <f t="shared" si="4"/>
        <v>-5.0000000000000044E-2</v>
      </c>
      <c r="O46" s="22">
        <f t="shared" si="0"/>
        <v>0.99932525622582913</v>
      </c>
      <c r="Z46" s="29"/>
    </row>
    <row r="47" spans="1:50" x14ac:dyDescent="0.25">
      <c r="L47" s="25">
        <v>0.97499999999999998</v>
      </c>
      <c r="M47" s="22">
        <f t="shared" si="3"/>
        <v>1.842682212202218E-2</v>
      </c>
      <c r="N47" s="22">
        <f t="shared" si="4"/>
        <v>-2.5000000000000022E-2</v>
      </c>
      <c r="O47" s="22">
        <f t="shared" si="0"/>
        <v>0.99991563211964452</v>
      </c>
      <c r="Z47" s="29"/>
    </row>
    <row r="48" spans="1:50" x14ac:dyDescent="0.25">
      <c r="L48" s="25">
        <v>1</v>
      </c>
      <c r="M48" s="22">
        <f t="shared" si="3"/>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233</vt:i4>
      </vt:variant>
    </vt:vector>
  </HeadingPairs>
  <TitlesOfParts>
    <vt:vector size="254"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Veh Price</vt:lpstr>
      <vt:lpstr>Fuel2ShrbyTech</vt:lpstr>
      <vt:lpstr>MPG</vt:lpstr>
      <vt:lpstr>Market Data</vt:lpstr>
      <vt:lpstr>Adoption Decision</vt:lpstr>
      <vt:lpstr>FuelAvail</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Arthur Yip</cp:lastModifiedBy>
  <cp:lastPrinted>2012-07-16T18:43:44Z</cp:lastPrinted>
  <dcterms:created xsi:type="dcterms:W3CDTF">2011-09-16T16:09:37Z</dcterms:created>
  <dcterms:modified xsi:type="dcterms:W3CDTF">2020-08-25T12:34:35Z</dcterms:modified>
</cp:coreProperties>
</file>