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4E2DA2CC-1B9A-074B-B454-BB6321009EDB}" xr6:coauthVersionLast="45" xr6:coauthVersionMax="45" xr10:uidLastSave="{00000000-0000-0000-0000-000000000000}"/>
  <bookViews>
    <workbookView xWindow="14720" yWindow="540" windowWidth="33600" windowHeight="19560" tabRatio="926" activeTab="5"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4" i="4" l="1"/>
  <c r="J29" i="4"/>
  <c r="J23" i="4"/>
  <c r="J19" i="4"/>
  <c r="AG105" i="4"/>
  <c r="AF54" i="4" s="1"/>
  <c r="AG81" i="4"/>
  <c r="AF30" i="4" s="1"/>
  <c r="AG80" i="4"/>
  <c r="AF29" i="4" s="1"/>
  <c r="AG74" i="4"/>
  <c r="AF23" i="4" s="1"/>
  <c r="AG70" i="4"/>
  <c r="AF19" i="4" s="1"/>
  <c r="K69" i="4"/>
  <c r="J18" i="4" s="1"/>
  <c r="K82" i="4"/>
  <c r="AG82" i="4" s="1"/>
  <c r="AF31" i="4" s="1"/>
  <c r="K81" i="4"/>
  <c r="J30" i="4" s="1"/>
  <c r="K75" i="4"/>
  <c r="K71" i="4" s="1"/>
  <c r="AG69" i="4" l="1"/>
  <c r="AF18" i="4" s="1"/>
  <c r="K68" i="4"/>
  <c r="K67" i="4" s="1"/>
  <c r="K66" i="4" s="1"/>
  <c r="K65" i="4" s="1"/>
  <c r="K64" i="4" s="1"/>
  <c r="K63" i="4" s="1"/>
  <c r="K62" i="4" s="1"/>
  <c r="AG62" i="4" s="1"/>
  <c r="AG75" i="4"/>
  <c r="AF24" i="4" s="1"/>
  <c r="J20" i="4"/>
  <c r="K72" i="4"/>
  <c r="AG71" i="4"/>
  <c r="AF20" i="4" s="1"/>
  <c r="J31" i="4"/>
  <c r="K76" i="4"/>
  <c r="J16" i="4"/>
  <c r="J24" i="4"/>
  <c r="J17" i="4"/>
  <c r="K83" i="4"/>
  <c r="AG67" i="4"/>
  <c r="AF16" i="4" s="1"/>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c r="F61" i="21" a="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c r="E55" i="21" a="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a="1"/>
  <c r="C53" i="21" s="1"/>
  <c r="B53" i="21" a="1"/>
  <c r="B53" i="21" s="1"/>
  <c r="G52" i="21" a="1"/>
  <c r="G52" i="21" s="1"/>
  <c r="F52" i="21" a="1"/>
  <c r="F52" i="21" s="1"/>
  <c r="E52" i="21" a="1"/>
  <c r="E52" i="21" s="1"/>
  <c r="D52" i="21" a="1"/>
  <c r="D52" i="21" s="1"/>
  <c r="C52" i="21"/>
  <c r="C52" i="21" a="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c r="G40" i="21" a="1"/>
  <c r="F40" i="21" a="1"/>
  <c r="F40" i="21" s="1"/>
  <c r="E40" i="21" a="1"/>
  <c r="E40" i="21" s="1"/>
  <c r="D40" i="21" a="1"/>
  <c r="D40" i="21" s="1"/>
  <c r="C40" i="21" a="1"/>
  <c r="C40" i="21" s="1"/>
  <c r="B40" i="21" a="1"/>
  <c r="B40" i="21" s="1"/>
  <c r="G39" i="21"/>
  <c r="G39" i="21" a="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a="1"/>
  <c r="G37" i="21" s="1"/>
  <c r="F37" i="21" a="1"/>
  <c r="F37" i="21" s="1"/>
  <c r="E37" i="21" a="1"/>
  <c r="E37" i="21" s="1"/>
  <c r="D37" i="21"/>
  <c r="D37" i="21" a="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c r="G34" i="21" a="1"/>
  <c r="F34" i="21" a="1"/>
  <c r="F34" i="21" s="1"/>
  <c r="E34" i="21" a="1"/>
  <c r="E34" i="21" s="1"/>
  <c r="D34" i="21" a="1"/>
  <c r="D34" i="21" s="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c r="C31" i="21" a="1"/>
  <c r="B31" i="21" a="1"/>
  <c r="B31" i="21" s="1"/>
  <c r="G30" i="21" a="1"/>
  <c r="G30" i="21" s="1"/>
  <c r="F30" i="21" a="1"/>
  <c r="F30" i="21" s="1"/>
  <c r="E30" i="21" a="1"/>
  <c r="E30" i="21" s="1"/>
  <c r="D30" i="21" a="1"/>
  <c r="D30" i="21" s="1"/>
  <c r="C30" i="21" a="1"/>
  <c r="C30" i="21" s="1"/>
  <c r="B30" i="21" a="1"/>
  <c r="B30" i="21" s="1"/>
  <c r="G29" i="21" a="1"/>
  <c r="G29" i="21" s="1"/>
  <c r="F29" i="21" a="1"/>
  <c r="F29" i="21" s="1"/>
  <c r="E29" i="21" a="1"/>
  <c r="E29" i="21" s="1"/>
  <c r="D29" i="21" a="1"/>
  <c r="D29" i="21" s="1"/>
  <c r="C29" i="21" a="1"/>
  <c r="C29" i="21" s="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AG65" i="4" l="1"/>
  <c r="AF14" i="4" s="1"/>
  <c r="J15" i="4"/>
  <c r="AG64" i="4"/>
  <c r="AF13" i="4" s="1"/>
  <c r="J14" i="4"/>
  <c r="AG63" i="4"/>
  <c r="AG68" i="4"/>
  <c r="AF17" i="4" s="1"/>
  <c r="AG66" i="4"/>
  <c r="AF15" i="4" s="1"/>
  <c r="K77" i="4"/>
  <c r="AG76" i="4"/>
  <c r="AF25" i="4" s="1"/>
  <c r="J25" i="4"/>
  <c r="K84" i="4"/>
  <c r="AG83" i="4"/>
  <c r="AF32" i="4" s="1"/>
  <c r="J32" i="4"/>
  <c r="J21" i="4"/>
  <c r="AG72" i="4"/>
  <c r="AF21" i="4" s="1"/>
  <c r="K73" i="4"/>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K85" i="4" l="1"/>
  <c r="AG84" i="4"/>
  <c r="AF33" i="4" s="1"/>
  <c r="J33" i="4"/>
  <c r="J22" i="4"/>
  <c r="AG73" i="4"/>
  <c r="AF22" i="4" s="1"/>
  <c r="K78" i="4"/>
  <c r="J26" i="4"/>
  <c r="AG77" i="4"/>
  <c r="AF26" i="4" s="1"/>
  <c r="B10" i="9"/>
  <c r="K79" i="4" l="1"/>
  <c r="J27" i="4"/>
  <c r="AG78" i="4"/>
  <c r="AF27" i="4" s="1"/>
  <c r="K86" i="4"/>
  <c r="J34" i="4"/>
  <c r="AG85" i="4"/>
  <c r="AF34" i="4" s="1"/>
  <c r="K87" i="4" l="1"/>
  <c r="J35" i="4"/>
  <c r="AG86" i="4"/>
  <c r="AF35" i="4" s="1"/>
  <c r="J28" i="4"/>
  <c r="AG79" i="4"/>
  <c r="AF28"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K88" i="4" l="1"/>
  <c r="J36" i="4"/>
  <c r="AG87" i="4"/>
  <c r="AF36" i="4" s="1"/>
  <c r="AE21" i="22"/>
  <c r="AD21" i="22"/>
  <c r="AC21" i="22"/>
  <c r="AB21" i="22"/>
  <c r="AA21" i="22"/>
  <c r="AE21" i="12"/>
  <c r="AD21" i="12"/>
  <c r="AC21" i="12"/>
  <c r="AB21" i="12"/>
  <c r="AA21" i="12"/>
  <c r="K89" i="4" l="1"/>
  <c r="J37" i="4"/>
  <c r="AG88" i="4"/>
  <c r="AF37" i="4" s="1"/>
  <c r="AO55" i="4"/>
  <c r="AO56" i="4"/>
  <c r="AO57" i="4"/>
  <c r="AO58" i="4"/>
  <c r="AL24" i="9"/>
  <c r="AM24" i="9" s="1"/>
  <c r="AN24" i="9" s="1"/>
  <c r="AN23"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AN22" i="9" l="1"/>
  <c r="U38" i="4"/>
  <c r="K90" i="4"/>
  <c r="J38" i="4"/>
  <c r="AG89" i="4"/>
  <c r="AF38" i="4" s="1"/>
  <c r="S50" i="4"/>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K91" i="4" l="1"/>
  <c r="AG90" i="4"/>
  <c r="AF39" i="4" s="1"/>
  <c r="J39" i="4"/>
  <c r="AN21" i="9"/>
  <c r="U37" i="4"/>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K92" i="4"/>
  <c r="J40" i="4"/>
  <c r="AG91" i="4"/>
  <c r="AF40" i="4" s="1"/>
  <c r="S38" i="4"/>
  <c r="AO38" i="4"/>
  <c r="Y31" i="23"/>
  <c r="G21" i="1"/>
  <c r="K93" i="4" l="1"/>
  <c r="AG92" i="4"/>
  <c r="AF41" i="4" s="1"/>
  <c r="J41" i="4"/>
  <c r="AN19" i="9"/>
  <c r="U35" i="4"/>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K94" i="4"/>
  <c r="J42" i="4"/>
  <c r="AG93" i="4"/>
  <c r="AF42" i="4" s="1"/>
  <c r="S36" i="4"/>
  <c r="AO36" i="4"/>
  <c r="Y33" i="23"/>
  <c r="P2" i="4"/>
  <c r="AP19" i="4" s="1"/>
  <c r="K95" i="4" l="1"/>
  <c r="J43" i="4"/>
  <c r="AG94" i="4"/>
  <c r="AF43" i="4" s="1"/>
  <c r="AN17" i="9"/>
  <c r="U33" i="4"/>
  <c r="S35" i="4"/>
  <c r="AO35" i="4"/>
  <c r="Y34" i="23"/>
  <c r="T30" i="4"/>
  <c r="AP33" i="4"/>
  <c r="T37" i="4"/>
  <c r="T21" i="4"/>
  <c r="T20" i="4"/>
  <c r="T39" i="4"/>
  <c r="T31" i="4"/>
  <c r="T23" i="4"/>
  <c r="AP42" i="4"/>
  <c r="AP34" i="4"/>
  <c r="AP26" i="4"/>
  <c r="T38" i="4"/>
  <c r="AP24" i="4"/>
  <c r="T36" i="4"/>
  <c r="T28" i="4"/>
  <c r="AP20" i="4"/>
  <c r="AP39" i="4"/>
  <c r="AP31" i="4"/>
  <c r="AP23" i="4"/>
  <c r="T22" i="4"/>
  <c r="AP25" i="4"/>
  <c r="T29" i="4"/>
  <c r="AP32" i="4"/>
  <c r="T43" i="4"/>
  <c r="T35" i="4"/>
  <c r="T27" i="4"/>
  <c r="AP54" i="4"/>
  <c r="AP38" i="4"/>
  <c r="AP30" i="4"/>
  <c r="AP22" i="4"/>
  <c r="T54" i="4"/>
  <c r="T42" i="4"/>
  <c r="T34" i="4"/>
  <c r="T26" i="4"/>
  <c r="AP37" i="4"/>
  <c r="AP29" i="4"/>
  <c r="AP21" i="4"/>
  <c r="AP41" i="4"/>
  <c r="AP40" i="4"/>
  <c r="T41" i="4"/>
  <c r="T33" i="4"/>
  <c r="T25" i="4"/>
  <c r="AP36" i="4"/>
  <c r="AP28" i="4"/>
  <c r="T19" i="4"/>
  <c r="T40" i="4"/>
  <c r="T32" i="4"/>
  <c r="T24" i="4"/>
  <c r="AP43"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K96"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K97" i="4" l="1"/>
  <c r="J45" i="4"/>
  <c r="T45" i="4" s="1"/>
  <c r="AG96" i="4"/>
  <c r="AF45" i="4" s="1"/>
  <c r="AP45" i="4" s="1"/>
  <c r="AN15" i="9"/>
  <c r="U31" i="4"/>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K98" i="4"/>
  <c r="J46" i="4"/>
  <c r="T46" i="4" s="1"/>
  <c r="AG97" i="4"/>
  <c r="AF46" i="4" s="1"/>
  <c r="AP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K99" i="4" l="1"/>
  <c r="AG98" i="4"/>
  <c r="AF47" i="4" s="1"/>
  <c r="AP47" i="4" s="1"/>
  <c r="J47" i="4"/>
  <c r="T47" i="4" s="1"/>
  <c r="AN13" i="9"/>
  <c r="U29" i="4"/>
  <c r="S31" i="4"/>
  <c r="AO31" i="4"/>
  <c r="Y38" i="23"/>
  <c r="J8" i="5"/>
  <c r="J45" i="5"/>
  <c r="J47" i="5"/>
  <c r="J48" i="5"/>
  <c r="J7" i="5"/>
  <c r="Y16" i="11"/>
  <c r="Y17" i="11" s="1"/>
  <c r="AN12" i="9" l="1"/>
  <c r="U28" i="4"/>
  <c r="K100"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K101" i="4" l="1"/>
  <c r="AG100" i="4"/>
  <c r="AF49" i="4" s="1"/>
  <c r="AP49" i="4" s="1"/>
  <c r="J49" i="4"/>
  <c r="T49" i="4" s="1"/>
  <c r="AN11" i="9"/>
  <c r="U27" i="4"/>
  <c r="S29" i="4"/>
  <c r="AO29" i="4"/>
  <c r="Y40" i="23"/>
  <c r="AN10" i="9" l="1"/>
  <c r="U26" i="4"/>
  <c r="K102"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K103" i="4" l="1"/>
  <c r="J51" i="4"/>
  <c r="T51" i="4" s="1"/>
  <c r="AG102" i="4"/>
  <c r="AF51" i="4" s="1"/>
  <c r="AP51" i="4" s="1"/>
  <c r="AN9" i="9"/>
  <c r="U24" i="4" s="1"/>
  <c r="U23" i="4" s="1"/>
  <c r="U25" i="4"/>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2" i="4" l="1"/>
  <c r="S23" i="4"/>
  <c r="AO23" i="4"/>
  <c r="K104" i="4"/>
  <c r="J52" i="4"/>
  <c r="T52" i="4" s="1"/>
  <c r="AG103" i="4"/>
  <c r="AF52" i="4" s="1"/>
  <c r="AP52" i="4" s="1"/>
  <c r="S26" i="4"/>
  <c r="AO26" i="4"/>
  <c r="AD24" i="23"/>
  <c r="AD25" i="23"/>
  <c r="AD26" i="23"/>
  <c r="AD23" i="23"/>
  <c r="Y43" i="23"/>
  <c r="Q34" i="23"/>
  <c r="Q33" i="23"/>
  <c r="Q32" i="23"/>
  <c r="Q31" i="23"/>
  <c r="Q30" i="23"/>
  <c r="Q29" i="23"/>
  <c r="Q28" i="23"/>
  <c r="Q27" i="23"/>
  <c r="J53" i="4" l="1"/>
  <c r="T53" i="4" s="1"/>
  <c r="AG104" i="4"/>
  <c r="AF53" i="4" s="1"/>
  <c r="AP53" i="4" s="1"/>
  <c r="U21" i="4"/>
  <c r="S22" i="4"/>
  <c r="AO22" i="4"/>
  <c r="S25" i="4"/>
  <c r="AO25" i="4"/>
  <c r="AD27" i="23"/>
  <c r="AD28" i="23"/>
  <c r="Y44" i="23"/>
  <c r="W69" i="11"/>
  <c r="U20" i="4" l="1"/>
  <c r="S21" i="4"/>
  <c r="AO21" i="4"/>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U19" i="4" l="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S19" i="4"/>
  <c r="AO19" i="4"/>
  <c r="Y47" i="23"/>
  <c r="Z6" i="4"/>
  <c r="Z12" i="4" s="1"/>
  <c r="AJ12" i="4" s="1"/>
  <c r="Y6" i="4"/>
  <c r="X6" i="4"/>
  <c r="AB6" i="4"/>
  <c r="AD6" i="4"/>
  <c r="AD14" i="4" s="1"/>
  <c r="AN14" i="4" s="1"/>
  <c r="U17" i="4" l="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S17" i="4"/>
  <c r="AO17" i="4"/>
  <c r="Y49" i="23"/>
  <c r="L20" i="27"/>
  <c r="O20" i="27"/>
  <c r="M20" i="27"/>
  <c r="H11" i="27"/>
  <c r="R20" i="27"/>
  <c r="K20" i="27"/>
  <c r="B11" i="27"/>
  <c r="Q20" i="27"/>
  <c r="N11" i="27"/>
  <c r="S20" i="27"/>
  <c r="I20" i="27"/>
  <c r="J20" i="27"/>
  <c r="J15" i="11"/>
  <c r="J14" i="11"/>
  <c r="J13" i="11"/>
  <c r="J12" i="11"/>
  <c r="U15" i="4" l="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S14" i="4"/>
  <c r="AO14" i="4"/>
  <c r="Y52" i="23"/>
  <c r="J17" i="27"/>
  <c r="M17" i="27"/>
  <c r="R17" i="27"/>
  <c r="S17" i="27"/>
  <c r="I17" i="27"/>
  <c r="P16" i="27"/>
  <c r="O17" i="27"/>
  <c r="Q17" i="27"/>
  <c r="K17" i="27"/>
  <c r="L17" i="27"/>
  <c r="K56" i="24"/>
  <c r="K55" i="24"/>
  <c r="U12" i="4" l="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AD56" i="23" l="1"/>
  <c r="J14" i="23"/>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U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a="1"/>
  <c r="Z32" i="21" l="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0" i="21" a="1"/>
  <c r="AA54" i="21" a="1"/>
  <c r="AA47" i="21" a="1"/>
  <c r="AA50" i="21" a="1"/>
  <c r="AA52" i="21" a="1"/>
  <c r="AA38" i="21" a="1"/>
  <c r="AA39" i="21" a="1"/>
  <c r="AA41" i="21" a="1"/>
  <c r="AA44" i="21" a="1"/>
  <c r="AA48" i="21" a="1"/>
  <c r="AA49" i="21" a="1"/>
  <c r="AA43" i="21" a="1"/>
  <c r="AA53" i="21" a="1"/>
  <c r="AA51" i="21" a="1"/>
  <c r="AA45" i="21" a="1"/>
  <c r="AA46" i="21" a="1"/>
  <c r="AA57" i="21" a="1"/>
  <c r="AA55" i="21" a="1"/>
  <c r="AA42" i="21" a="1"/>
  <c r="AA56" i="21" a="1"/>
  <c r="AA42" i="11"/>
  <c r="AA47" i="11"/>
  <c r="AA46" i="11"/>
  <c r="AA48" i="11"/>
  <c r="AA43" i="11"/>
  <c r="AA50" i="11"/>
  <c r="AA44" i="11"/>
  <c r="AA39" i="11"/>
  <c r="AA45" i="11"/>
  <c r="AA38" i="11"/>
  <c r="AA41" i="11"/>
  <c r="AA40" i="11"/>
  <c r="AA49" i="11"/>
  <c r="Y46" i="21" a="1"/>
  <c r="AC53" i="11"/>
  <c r="AB32" i="21" a="1"/>
  <c r="Z42" i="21" a="1"/>
  <c r="AC45" i="21" a="1"/>
  <c r="Y47" i="21" a="1"/>
  <c r="AB28" i="11"/>
  <c r="Y39" i="21" a="1"/>
  <c r="AC32" i="11"/>
  <c r="AC37" i="21" a="1"/>
  <c r="Z56" i="21" a="1"/>
  <c r="Z31" i="21" a="1"/>
  <c r="AB42" i="21" a="1"/>
  <c r="Z43" i="21" a="1"/>
  <c r="Z49" i="21" a="1"/>
  <c r="Y44" i="21" a="1"/>
  <c r="AC28" i="11"/>
  <c r="AB34" i="21" a="1"/>
  <c r="Z47" i="21" a="1"/>
  <c r="AC47" i="11"/>
  <c r="Y55" i="21" a="1"/>
  <c r="AC48" i="11"/>
  <c r="Z27" i="21" a="1"/>
  <c r="Z34" i="21" a="1"/>
  <c r="AC24" i="11"/>
  <c r="Y50" i="21" a="1"/>
  <c r="AC36" i="21" a="1"/>
  <c r="AB50" i="21" a="1"/>
  <c r="Z40" i="21" a="1"/>
  <c r="AC30" i="11"/>
  <c r="AB51" i="21" a="1"/>
  <c r="AC41" i="11"/>
  <c r="Y42" i="21" a="1"/>
  <c r="AC52" i="11"/>
  <c r="AC43" i="21" a="1"/>
  <c r="Y27" i="21" a="1"/>
  <c r="AC57" i="21" a="1"/>
  <c r="AC45" i="11"/>
  <c r="Z41" i="21" a="1"/>
  <c r="Y26" i="21" a="1"/>
  <c r="AB33" i="21" a="1"/>
  <c r="AB33" i="11"/>
  <c r="AC54" i="21" a="1"/>
  <c r="AC51" i="11"/>
  <c r="AC24" i="21" a="1"/>
  <c r="AB41" i="21" a="1"/>
  <c r="Z39" i="21" a="1"/>
  <c r="AC28" i="21" a="1"/>
  <c r="Z38" i="21" a="1"/>
  <c r="Y56" i="21" a="1"/>
  <c r="AB39" i="11"/>
  <c r="AB37" i="11"/>
  <c r="AB31" i="21" a="1"/>
  <c r="Z51" i="21" a="1"/>
  <c r="AC31" i="21" a="1"/>
  <c r="Y24" i="21" a="1"/>
  <c r="Z24" i="21" a="1"/>
  <c r="Y25" i="21" a="1"/>
  <c r="AC46" i="11"/>
  <c r="AB30" i="21" a="1"/>
  <c r="AB37" i="21" a="1"/>
  <c r="AB28" i="21" a="1"/>
  <c r="AB32" i="11"/>
  <c r="Z37" i="21" a="1"/>
  <c r="Z30" i="21" a="1"/>
  <c r="AB24" i="11"/>
  <c r="AB47" i="21" a="1"/>
  <c r="Z45" i="21" a="1"/>
  <c r="AC33" i="21" a="1"/>
  <c r="AC51" i="21" a="1"/>
  <c r="AC57" i="11"/>
  <c r="Y48" i="21" a="1"/>
  <c r="Z53" i="21" a="1"/>
  <c r="AB45" i="21" a="1"/>
  <c r="AB35" i="21" a="1"/>
  <c r="AC54" i="11"/>
  <c r="AB39" i="21" a="1"/>
  <c r="Y36" i="21" a="1"/>
  <c r="Y43" i="21" a="1"/>
  <c r="Z48" i="21" a="1"/>
  <c r="AC29" i="11"/>
  <c r="AC44" i="11"/>
  <c r="AB30" i="11"/>
  <c r="AC27" i="21" a="1"/>
  <c r="AB43" i="21" a="1"/>
  <c r="AC41" i="21" a="1"/>
  <c r="AC55" i="21" a="1"/>
  <c r="AC46" i="21" a="1"/>
  <c r="AB29" i="21" a="1"/>
  <c r="AB49" i="21" a="1"/>
  <c r="Z29" i="21" a="1"/>
  <c r="AC29" i="21" a="1"/>
  <c r="Y41" i="21" a="1"/>
  <c r="AB38" i="21" a="1"/>
  <c r="Y32" i="21" a="1"/>
  <c r="AC50" i="11"/>
  <c r="Z50" i="21" a="1"/>
  <c r="AC56" i="11"/>
  <c r="AC49" i="21" a="1"/>
  <c r="AB26" i="11"/>
  <c r="Z35" i="21" a="1"/>
  <c r="AC25" i="21" a="1"/>
  <c r="AC42" i="21" a="1"/>
  <c r="AC50" i="21" a="1"/>
  <c r="Z26" i="21" a="1"/>
  <c r="Z46" i="21" a="1"/>
  <c r="AC30" i="21" a="1"/>
  <c r="AC39" i="11"/>
  <c r="AB26" i="21" a="1"/>
  <c r="AC26" i="21" a="1"/>
  <c r="Y51" i="21" a="1"/>
  <c r="AC26" i="11"/>
  <c r="Y34" i="21" a="1"/>
  <c r="AC48" i="21" a="1"/>
  <c r="Z52" i="21" a="1"/>
  <c r="Y54" i="21" a="1"/>
  <c r="AB38" i="11"/>
  <c r="AC47" i="21" a="1"/>
  <c r="AC56" i="21" a="1"/>
  <c r="Y37" i="21" a="1"/>
  <c r="AB44" i="21" a="1"/>
  <c r="Y57" i="21" a="1"/>
  <c r="AC37" i="11"/>
  <c r="Y45" i="21" a="1"/>
  <c r="AC36" i="11"/>
  <c r="Z33" i="21" a="1"/>
  <c r="AC42" i="11"/>
  <c r="AB27" i="21" a="1"/>
  <c r="AC38" i="21" a="1"/>
  <c r="AC25" i="11"/>
  <c r="AC35" i="11"/>
  <c r="AC39" i="21" a="1"/>
  <c r="AC38" i="11"/>
  <c r="AB25" i="21" a="1"/>
  <c r="AB27" i="11"/>
  <c r="AC27" i="11"/>
  <c r="Y28" i="21" a="1"/>
  <c r="AC34" i="11"/>
  <c r="Z25" i="21" a="1"/>
  <c r="Z57" i="21" a="1"/>
  <c r="Y49" i="21" a="1"/>
  <c r="AB40" i="21" a="1"/>
  <c r="AB34" i="11"/>
  <c r="AC55" i="11"/>
  <c r="AC40" i="11"/>
  <c r="Y35" i="21" a="1"/>
  <c r="Y30" i="21" a="1"/>
  <c r="Y53" i="21" a="1"/>
  <c r="AC43" i="11"/>
  <c r="Z44" i="21" a="1"/>
  <c r="AB36" i="11"/>
  <c r="AB46" i="21" a="1"/>
  <c r="AC34" i="21" a="1"/>
  <c r="AB36" i="21" a="1"/>
  <c r="Y31" i="21" a="1"/>
  <c r="Z28" i="21" a="1"/>
  <c r="Y29" i="21" a="1"/>
  <c r="AB35" i="11"/>
  <c r="Y52" i="21" a="1"/>
  <c r="AC52" i="21" a="1"/>
  <c r="Y33" i="21" a="1"/>
  <c r="AC35" i="21" a="1"/>
  <c r="AB48" i="21" a="1"/>
  <c r="AB31" i="11"/>
  <c r="AC53" i="21" a="1"/>
  <c r="AC32" i="21" a="1"/>
  <c r="Z54" i="21" a="1"/>
  <c r="AC49" i="11"/>
  <c r="AB24" i="21" a="1"/>
  <c r="AC31" i="11"/>
  <c r="AC44" i="21" a="1"/>
  <c r="AB25" i="11"/>
  <c r="AC33" i="11"/>
  <c r="AC40" i="21" a="1"/>
  <c r="AB29" i="11"/>
  <c r="Z55" i="21" a="1"/>
  <c r="Y38" i="21" a="1"/>
  <c r="Y40" i="21" a="1"/>
  <c r="Z36" i="21" a="1"/>
  <c r="AT32" i="21" l="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8" i="21" a="1"/>
  <c r="AA59" i="21" a="1"/>
  <c r="Y59" i="21" a="1"/>
  <c r="Z58" i="21" a="1"/>
  <c r="Y58" i="21" a="1"/>
  <c r="AC59" i="11"/>
  <c r="AB52" i="21" a="1"/>
  <c r="AC58" i="21" a="1"/>
  <c r="AC58" i="11"/>
  <c r="Z59" i="21" a="1"/>
  <c r="AC59" i="21" a="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1" i="11"/>
  <c r="AA52" i="11"/>
  <c r="AB53" i="21" a="1"/>
  <c r="AC60" i="21" a="1"/>
  <c r="Y60" i="21" a="1"/>
  <c r="AB41" i="11"/>
  <c r="AC60" i="11"/>
  <c r="AB40" i="11"/>
  <c r="Z60" i="21" a="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AB54" i="21" a="1"/>
  <c r="Z61" i="21" a="1"/>
  <c r="AC61" i="21" a="1"/>
  <c r="AB42" i="11"/>
  <c r="AC61" i="11"/>
  <c r="Y61" i="21" a="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C62" i="11"/>
  <c r="AB55" i="21" a="1"/>
  <c r="Y62" i="21" a="1"/>
  <c r="AB43" i="11"/>
  <c r="AC62" i="21" a="1"/>
  <c r="Z62" i="21" a="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Z63" i="21" a="1"/>
  <c r="AC63" i="11"/>
  <c r="AB56" i="21" a="1"/>
  <c r="AB44" i="11"/>
  <c r="Y63" i="21" a="1"/>
  <c r="AC63" i="21" a="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Z64" i="21" a="1"/>
  <c r="AB45" i="11"/>
  <c r="AC64" i="21" a="1"/>
  <c r="Y64" i="21" a="1"/>
  <c r="AC64" i="11"/>
  <c r="AB57" i="21" a="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Z65" i="21" a="1"/>
  <c r="AB46" i="11"/>
  <c r="AC65" i="11"/>
  <c r="Y65" i="21" a="1"/>
  <c r="AC65" i="21" a="1"/>
  <c r="AB58" i="21" a="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AC66" i="11"/>
  <c r="Y66" i="21" a="1"/>
  <c r="Z66" i="21" a="1"/>
  <c r="AC67" i="21" a="1"/>
  <c r="AB59" i="21" a="1"/>
  <c r="AC67" i="11"/>
  <c r="AC66" i="21" a="1"/>
  <c r="Z67" i="21" a="1"/>
  <c r="Y67" i="21" a="1"/>
  <c r="AB47" i="1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a="1"/>
  <c r="AB48" i="1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4" i="13"/>
  <c r="AA57" i="13"/>
  <c r="AA41" i="13"/>
  <c r="AA58" i="13"/>
  <c r="AA63" i="13"/>
  <c r="AA46" i="13"/>
  <c r="AA67" i="13"/>
  <c r="AA55" i="13"/>
  <c r="AA53" i="13"/>
  <c r="AA65" i="13"/>
  <c r="AA56" i="13"/>
  <c r="AA51" i="13"/>
  <c r="AA38" i="13"/>
  <c r="AA47" i="13"/>
  <c r="AA48" i="13"/>
  <c r="AA42" i="13"/>
  <c r="AA59" i="13"/>
  <c r="AA64" i="13"/>
  <c r="AA66" i="13"/>
  <c r="AA44" i="13"/>
  <c r="AA60" i="13"/>
  <c r="AA62" i="13"/>
  <c r="AA61" i="13"/>
  <c r="AA39" i="13"/>
  <c r="AA40" i="13"/>
  <c r="AA45" i="13"/>
  <c r="AA43" i="13"/>
  <c r="AA52" i="13"/>
  <c r="AA49" i="13"/>
  <c r="AA50" i="13"/>
  <c r="AA60" i="11"/>
  <c r="AB36" i="13"/>
  <c r="Y24" i="13"/>
  <c r="AB37" i="13"/>
  <c r="Z51" i="13"/>
  <c r="AB44" i="13"/>
  <c r="Z65" i="13"/>
  <c r="Y43" i="13"/>
  <c r="AC35" i="13"/>
  <c r="AC57" i="13"/>
  <c r="Y37" i="13"/>
  <c r="Z52" i="13"/>
  <c r="AB42" i="13"/>
  <c r="AC45" i="13"/>
  <c r="AC64" i="13"/>
  <c r="Y49" i="13"/>
  <c r="AC48" i="13"/>
  <c r="AC54" i="13"/>
  <c r="Y32" i="13"/>
  <c r="Y55" i="13"/>
  <c r="AC32" i="13"/>
  <c r="Y46" i="13"/>
  <c r="Z39" i="13"/>
  <c r="Y63" i="13"/>
  <c r="Z48" i="13"/>
  <c r="Y58" i="13"/>
  <c r="AC61" i="13"/>
  <c r="AB45" i="13"/>
  <c r="AB28" i="13"/>
  <c r="AB32" i="13"/>
  <c r="Z37" i="13"/>
  <c r="Z28" i="13"/>
  <c r="AB24" i="13"/>
  <c r="Z66" i="13"/>
  <c r="Y52" i="13"/>
  <c r="AC55" i="13"/>
  <c r="Z42" i="13"/>
  <c r="AC39" i="13"/>
  <c r="Y40" i="13"/>
  <c r="AC46" i="13"/>
  <c r="AC27" i="13"/>
  <c r="AB61" i="21" a="1"/>
  <c r="Y45" i="13"/>
  <c r="AC24" i="13"/>
  <c r="AC65" i="13"/>
  <c r="AB31" i="13"/>
  <c r="Y60" i="13"/>
  <c r="Z54" i="13"/>
  <c r="Y35" i="13"/>
  <c r="AC60" i="13"/>
  <c r="Y29" i="13"/>
  <c r="Y62" i="13"/>
  <c r="Y61" i="13"/>
  <c r="Y44" i="13"/>
  <c r="Y41" i="13"/>
  <c r="Z61" i="13"/>
  <c r="AC52" i="13"/>
  <c r="AB41" i="13"/>
  <c r="AC33" i="13"/>
  <c r="Y65" i="13"/>
  <c r="Y57" i="13"/>
  <c r="Z58" i="13"/>
  <c r="Y30" i="13"/>
  <c r="Y27" i="13"/>
  <c r="Y59" i="13"/>
  <c r="Z55" i="13"/>
  <c r="AB34" i="13"/>
  <c r="Z47" i="13"/>
  <c r="Z24" i="13"/>
  <c r="AC28" i="13"/>
  <c r="Z26" i="13"/>
  <c r="AB30" i="13"/>
  <c r="Y56" i="13"/>
  <c r="AB33" i="13"/>
  <c r="AB35" i="13"/>
  <c r="Y67" i="13"/>
  <c r="AC66" i="13"/>
  <c r="AC50" i="13"/>
  <c r="Y31" i="13"/>
  <c r="AC41" i="13"/>
  <c r="Y51" i="13"/>
  <c r="Y48" i="13"/>
  <c r="AC36" i="13"/>
  <c r="AC38" i="13"/>
  <c r="AB40" i="13"/>
  <c r="Y28" i="13"/>
  <c r="Z63" i="13"/>
  <c r="Z41" i="13"/>
  <c r="AC34" i="13"/>
  <c r="AC42" i="13"/>
  <c r="Y66" i="13"/>
  <c r="AC58" i="13"/>
  <c r="Z33" i="13"/>
  <c r="AC67" i="13"/>
  <c r="AB39" i="13"/>
  <c r="Z36" i="13"/>
  <c r="Z43" i="13"/>
  <c r="Z35" i="13"/>
  <c r="AC56" i="13"/>
  <c r="Z56" i="13"/>
  <c r="AB43" i="13"/>
  <c r="AB29" i="13"/>
  <c r="Z60" i="13"/>
  <c r="Z50" i="13"/>
  <c r="Z59" i="13"/>
  <c r="Z31" i="13"/>
  <c r="AC26" i="13"/>
  <c r="Y42" i="13"/>
  <c r="AC44" i="13"/>
  <c r="AB46" i="13"/>
  <c r="AC31" i="13"/>
  <c r="Z62" i="13"/>
  <c r="AB26" i="13"/>
  <c r="Z67" i="13"/>
  <c r="Y47" i="13"/>
  <c r="AC63" i="13"/>
  <c r="Z44" i="13"/>
  <c r="Z46" i="13"/>
  <c r="Y36" i="13"/>
  <c r="Z32" i="13"/>
  <c r="Y50" i="13"/>
  <c r="Y53" i="13"/>
  <c r="AC25" i="13"/>
  <c r="Y33" i="13"/>
  <c r="Y34" i="13"/>
  <c r="AC40" i="13"/>
  <c r="Z34" i="13"/>
  <c r="Z49" i="13"/>
  <c r="Z27" i="13"/>
  <c r="Z38" i="13"/>
  <c r="Y39" i="13"/>
  <c r="Y54" i="13"/>
  <c r="Z30" i="13"/>
  <c r="AC47" i="13"/>
  <c r="Z29" i="13"/>
  <c r="AC30" i="13"/>
  <c r="Y25" i="13"/>
  <c r="AC37" i="13"/>
  <c r="AC43" i="13"/>
  <c r="Z53" i="13"/>
  <c r="AC49" i="13"/>
  <c r="AB38" i="13"/>
  <c r="Z45" i="13"/>
  <c r="Y26" i="13"/>
  <c r="AC29" i="13"/>
  <c r="Z57" i="13"/>
  <c r="Z40" i="13"/>
  <c r="AC59" i="13"/>
  <c r="AB25" i="13"/>
  <c r="AC53" i="13"/>
  <c r="Y64" i="13"/>
  <c r="AC62" i="13"/>
  <c r="AB49" i="11"/>
  <c r="AC51" i="13"/>
  <c r="AB27" i="13"/>
  <c r="Z25" i="13"/>
  <c r="Y38" i="13"/>
  <c r="Z64" i="13"/>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Z65" i="11"/>
  <c r="Z57" i="11"/>
  <c r="Y59" i="11"/>
  <c r="Z31" i="11"/>
  <c r="Z24" i="11"/>
  <c r="Y63" i="11"/>
  <c r="Z25" i="11"/>
  <c r="Y26" i="11"/>
  <c r="Y60" i="11"/>
  <c r="AB50" i="11"/>
  <c r="Y58" i="11"/>
  <c r="Z67" i="11"/>
  <c r="Z44" i="11"/>
  <c r="Y48" i="11"/>
  <c r="Y34" i="11"/>
  <c r="Y56" i="11"/>
  <c r="Y36" i="11"/>
  <c r="Z29" i="11"/>
  <c r="Z63" i="11"/>
  <c r="Z59" i="11"/>
  <c r="Z41" i="11"/>
  <c r="Y64" i="11"/>
  <c r="Z48" i="11"/>
  <c r="Y25" i="11"/>
  <c r="Y66" i="11"/>
  <c r="Y45" i="11"/>
  <c r="Y27" i="11"/>
  <c r="Z26" i="11"/>
  <c r="Y67" i="11"/>
  <c r="Y42" i="11"/>
  <c r="Y44" i="11"/>
  <c r="Z56" i="11"/>
  <c r="Y50" i="11"/>
  <c r="Y37" i="11"/>
  <c r="Y65" i="11"/>
  <c r="Y47" i="11"/>
  <c r="Z40" i="11"/>
  <c r="Z34" i="11"/>
  <c r="Z35" i="11"/>
  <c r="Z33" i="11"/>
  <c r="Z50" i="11"/>
  <c r="Z27" i="11"/>
  <c r="Z37" i="11"/>
  <c r="Y54" i="11"/>
  <c r="Z47" i="11"/>
  <c r="Y51" i="11"/>
  <c r="Y30" i="11"/>
  <c r="Y52" i="11"/>
  <c r="Y55" i="11"/>
  <c r="Z28" i="11"/>
  <c r="Z66" i="11"/>
  <c r="Z51" i="11"/>
  <c r="Y39" i="11"/>
  <c r="Z55" i="11"/>
  <c r="Z42" i="11"/>
  <c r="Y57" i="11"/>
  <c r="Z39" i="11"/>
  <c r="Y62" i="11"/>
  <c r="Y24" i="11"/>
  <c r="Z36" i="11"/>
  <c r="Z46" i="11"/>
  <c r="Y31" i="11"/>
  <c r="Y35" i="11"/>
  <c r="Y32" i="11"/>
  <c r="Y49" i="11"/>
  <c r="AB47" i="13"/>
  <c r="Y28" i="11"/>
  <c r="Y29" i="11"/>
  <c r="Y41" i="11"/>
  <c r="Z61" i="11"/>
  <c r="Z53" i="11"/>
  <c r="Z54" i="11"/>
  <c r="Y40" i="11"/>
  <c r="Y43" i="11"/>
  <c r="Z45" i="11"/>
  <c r="Z43" i="11"/>
  <c r="Y46" i="11"/>
  <c r="Z32" i="11"/>
  <c r="Z60" i="11"/>
  <c r="Y38" i="11"/>
  <c r="Z38" i="11"/>
  <c r="Y33" i="11"/>
  <c r="Z30" i="11"/>
  <c r="Z52" i="11"/>
  <c r="Z62" i="11"/>
  <c r="Z49" i="11"/>
  <c r="AB62" i="21" a="1"/>
  <c r="Y53" i="11"/>
  <c r="Z64" i="11"/>
  <c r="Z58" i="11"/>
  <c r="Y61"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63" i="21" a="1"/>
  <c r="AB48" i="13"/>
  <c r="AB51" i="11"/>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52" i="11"/>
  <c r="AB49" i="13"/>
  <c r="AB64" i="21" a="1"/>
  <c r="AB64" i="21" l="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50" i="13"/>
  <c r="AB65" i="21" a="1"/>
  <c r="AB53" i="1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51" i="13"/>
  <c r="AB54" i="11"/>
  <c r="AB66" i="21" a="1"/>
  <c r="AB67" i="21" a="1"/>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2" i="13"/>
  <c r="AB55" i="11"/>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6" i="11"/>
  <c r="AB53" i="13"/>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4" i="13"/>
  <c r="AB57" i="11"/>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5" i="13"/>
  <c r="AB58" i="11"/>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9" i="11"/>
  <c r="AB56" i="13"/>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60" i="11"/>
  <c r="AB57" i="13"/>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58" i="13"/>
  <c r="AB61" i="11"/>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62" i="11"/>
  <c r="AB59" i="13"/>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0" i="13"/>
  <c r="AB63" i="11"/>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4" i="11"/>
  <c r="AB61" i="13"/>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3" i="13"/>
  <c r="AB66" i="11"/>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7" i="11"/>
  <c r="AB65" i="13"/>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<sst xmlns="http://schemas.openxmlformats.org/spreadsheetml/2006/main" count="2120" uniqueCount="453">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</sst>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2">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27" xfId="40" applyFont="1" applyFill="1" applyBorder="1" applyAlignment="1">
      <alignment horizontal="center"/>
    </xf>
    <xf numFmtId="0" fontId="28" fillId="0" borderId="44" xfId="40" applyFont="1" applyFill="1" applyBorder="1" applyAlignment="1">
      <alignment horizontal="center"/>
    </xf>
    <xf numFmtId="0" fontId="28" fillId="0" borderId="58" xfId="40" applyFont="1" applyFill="1" applyBorder="1" applyAlignment="1">
      <alignment horizont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1000000</c:v>
                </c:pt>
                <c:pt idx="1">
                  <c:v>1000000</c:v>
                </c:pt>
                <c:pt idx="2">
                  <c:v>1000000</c:v>
                </c:pt>
                <c:pt idx="3">
                  <c:v>1000000</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1000000</c:v>
                </c:pt>
                <c:pt idx="1">
                  <c:v>1000000</c:v>
                </c:pt>
                <c:pt idx="2">
                  <c:v>1000000</c:v>
                </c:pt>
                <c:pt idx="3">
                  <c:v>1000000</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1000000</c:v>
                </c:pt>
                <c:pt idx="1">
                  <c:v>1000000</c:v>
                </c:pt>
                <c:pt idx="2">
                  <c:v>1000000</c:v>
                </c:pt>
                <c:pt idx="3">
                  <c:v>1000000</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1000000</c:v>
                </c:pt>
                <c:pt idx="1">
                  <c:v>1000000</c:v>
                </c:pt>
                <c:pt idx="2">
                  <c:v>1000000</c:v>
                </c:pt>
                <c:pt idx="3">
                  <c:v>1000000</c:v>
                </c:pt>
                <c:pt idx="4">
                  <c:v>82769.352682547236</c:v>
                </c:pt>
                <c:pt idx="5">
                  <c:v>75629.930640704086</c:v>
                </c:pt>
                <c:pt idx="6">
                  <c:v>67079.833333333358</c:v>
                </c:pt>
                <c:pt idx="7">
                  <c:v>62164.647097111483</c:v>
                </c:pt>
                <c:pt idx="8">
                  <c:v>59495.376089159094</c:v>
                </c:pt>
                <c:pt idx="9">
                  <c:v>57152.331176924781</c:v>
                </c:pt>
                <c:pt idx="10">
                  <c:v>55612.772875017552</c:v>
                </c:pt>
                <c:pt idx="11">
                  <c:v>54784.068503439463</c:v>
                </c:pt>
                <c:pt idx="12">
                  <c:v>54385.365072001012</c:v>
                </c:pt>
                <c:pt idx="13">
                  <c:v>54203.913548318422</c:v>
                </c:pt>
                <c:pt idx="14">
                  <c:v>54060.875</c:v>
                </c:pt>
                <c:pt idx="15">
                  <c:v>53035.341997820513</c:v>
                </c:pt>
                <c:pt idx="16">
                  <c:v>52398.057262611786</c:v>
                </c:pt>
                <c:pt idx="17">
                  <c:v>51392.21499644639</c:v>
                </c:pt>
                <c:pt idx="18">
                  <c:v>49845.703005422496</c:v>
                </c:pt>
                <c:pt idx="19">
                  <c:v>47561.096890209017</c:v>
                </c:pt>
                <c:pt idx="20">
                  <c:v>44377.964394286326</c:v>
                </c:pt>
                <c:pt idx="21">
                  <c:v>40286.472251300744</c:v>
                </c:pt>
                <c:pt idx="22">
                  <c:v>35539.719126765405</c:v>
                </c:pt>
                <c:pt idx="23">
                  <c:v>30645.580719039648</c:v>
                </c:pt>
                <c:pt idx="24">
                  <c:v>26176.455450829933</c:v>
                </c:pt>
                <c:pt idx="25">
                  <c:v>22525.812465021441</c:v>
                </c:pt>
                <c:pt idx="26">
                  <c:v>19805.70106332592</c:v>
                </c:pt>
                <c:pt idx="27">
                  <c:v>17914.624982279245</c:v>
                </c:pt>
                <c:pt idx="28">
                  <c:v>16662.378779980143</c:v>
                </c:pt>
                <c:pt idx="29">
                  <c:v>14552.5</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6.4864337636120455</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443977</xdr:colOff>
      <xdr:row>8</xdr:row>
      <xdr:rowOff>64434</xdr:rowOff>
    </xdr:from>
    <xdr:to>
      <xdr:col>21</xdr:col>
      <xdr:colOff>768948</xdr:colOff>
      <xdr:row>25</xdr:row>
      <xdr:rowOff>140634</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458993</xdr:colOff>
      <xdr:row>25</xdr:row>
      <xdr:rowOff>154866</xdr:rowOff>
    </xdr:from>
    <xdr:to>
      <xdr:col>21</xdr:col>
      <xdr:colOff>783964</xdr:colOff>
      <xdr:row>43</xdr:row>
      <xdr:rowOff>74184</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385</v>
      </c>
    </row>
    <row r="4" spans="2:4" ht="14" x14ac:dyDescent="0.15">
      <c r="B4" s="1337" t="s">
        <v>376</v>
      </c>
      <c r="C4" s="1337" t="s">
        <v>377</v>
      </c>
      <c r="D4" s="1338" t="s">
        <v>378</v>
      </c>
    </row>
    <row r="5" spans="2:4" ht="14" x14ac:dyDescent="0.15">
      <c r="B5" s="1340">
        <v>43763</v>
      </c>
      <c r="C5" s="1337" t="s">
        <v>379</v>
      </c>
      <c r="D5" s="1338" t="s">
        <v>406</v>
      </c>
    </row>
    <row r="6" spans="2:4" ht="14" x14ac:dyDescent="0.15">
      <c r="B6" s="1340">
        <v>43763</v>
      </c>
      <c r="C6" s="1337" t="s">
        <v>380</v>
      </c>
      <c r="D6" s="1338" t="s">
        <v>381</v>
      </c>
    </row>
    <row r="7" spans="2:4" ht="28" x14ac:dyDescent="0.15">
      <c r="B7" s="1340">
        <v>43763</v>
      </c>
      <c r="C7" s="1337" t="s">
        <v>382</v>
      </c>
      <c r="D7" s="1338" t="s">
        <v>383</v>
      </c>
    </row>
    <row r="8" spans="2:4" ht="28" x14ac:dyDescent="0.15">
      <c r="B8" s="1340">
        <v>43763</v>
      </c>
      <c r="C8" s="1337" t="s">
        <v>372</v>
      </c>
      <c r="D8" s="1338" t="s">
        <v>383</v>
      </c>
    </row>
    <row r="9" spans="2:4" ht="28" x14ac:dyDescent="0.15">
      <c r="B9" s="1340">
        <v>43763</v>
      </c>
      <c r="C9" s="1337" t="s">
        <v>384</v>
      </c>
      <c r="D9" s="1338" t="s">
        <v>383</v>
      </c>
    </row>
    <row r="10" spans="2:4" ht="42" x14ac:dyDescent="0.15">
      <c r="B10" s="1340">
        <v>43763</v>
      </c>
      <c r="C10" s="1337" t="s">
        <v>386</v>
      </c>
      <c r="D10" s="1338" t="s">
        <v>387</v>
      </c>
    </row>
    <row r="11" spans="2:4" ht="28" x14ac:dyDescent="0.15">
      <c r="B11" s="1340">
        <v>43763</v>
      </c>
      <c r="C11" s="1337" t="s">
        <v>382</v>
      </c>
      <c r="D11" s="1338" t="s">
        <v>388</v>
      </c>
    </row>
    <row r="12" spans="2:4" ht="28" x14ac:dyDescent="0.15">
      <c r="B12" s="1340">
        <v>43763</v>
      </c>
      <c r="C12" s="1337" t="s">
        <v>372</v>
      </c>
      <c r="D12" s="1338" t="s">
        <v>388</v>
      </c>
    </row>
    <row r="13" spans="2:4" ht="28" x14ac:dyDescent="0.15">
      <c r="B13" s="1340">
        <v>43763</v>
      </c>
      <c r="C13" s="1337" t="s">
        <v>384</v>
      </c>
      <c r="D13" s="1338" t="s">
        <v>388</v>
      </c>
    </row>
    <row r="14" spans="2:4" ht="42" x14ac:dyDescent="0.15">
      <c r="B14" s="1340">
        <v>43763</v>
      </c>
      <c r="C14" s="1337" t="s">
        <v>379</v>
      </c>
      <c r="D14" s="1338" t="s">
        <v>389</v>
      </c>
    </row>
    <row r="15" spans="2:4" ht="28" x14ac:dyDescent="0.15">
      <c r="B15" s="1340">
        <v>43768</v>
      </c>
      <c r="C15" s="1337" t="s">
        <v>397</v>
      </c>
      <c r="D15" s="1338" t="s">
        <v>400</v>
      </c>
    </row>
    <row r="16" spans="2:4" ht="14" x14ac:dyDescent="0.15">
      <c r="B16" s="1337" t="s">
        <v>399</v>
      </c>
      <c r="C16" s="1337" t="s">
        <v>401</v>
      </c>
      <c r="D16" s="1338" t="s">
        <v>402</v>
      </c>
    </row>
    <row r="17" spans="2:4" ht="14" x14ac:dyDescent="0.15">
      <c r="B17" s="1340">
        <v>43770</v>
      </c>
      <c r="C17" s="1337" t="s">
        <v>401</v>
      </c>
      <c r="D17" s="1338" t="s">
        <v>403</v>
      </c>
    </row>
    <row r="18" spans="2:4" ht="28" x14ac:dyDescent="0.15">
      <c r="B18" s="1493">
        <v>43770</v>
      </c>
      <c r="C18" s="1337" t="s">
        <v>404</v>
      </c>
      <c r="D18" s="1338" t="s">
        <v>405</v>
      </c>
    </row>
    <row r="19" spans="2:4" ht="14" x14ac:dyDescent="0.15">
      <c r="B19" s="1340">
        <v>43775</v>
      </c>
      <c r="C19" s="1337" t="s">
        <v>397</v>
      </c>
      <c r="D19" s="1338" t="s">
        <v>408</v>
      </c>
    </row>
    <row r="20" spans="2:4" ht="14" x14ac:dyDescent="0.15">
      <c r="B20" s="1340">
        <v>43775</v>
      </c>
      <c r="C20" s="1337" t="s">
        <v>404</v>
      </c>
      <c r="D20" s="1338" t="s">
        <v>409</v>
      </c>
    </row>
    <row r="21" spans="2:4" ht="28" x14ac:dyDescent="0.15">
      <c r="B21" s="1340">
        <v>43775</v>
      </c>
      <c r="C21" s="1337" t="s">
        <v>386</v>
      </c>
      <c r="D21" s="1338" t="s">
        <v>410</v>
      </c>
    </row>
    <row r="22" spans="2:4" ht="56" x14ac:dyDescent="0.15">
      <c r="B22" s="1340">
        <v>43775</v>
      </c>
      <c r="C22" s="1337" t="s">
        <v>404</v>
      </c>
      <c r="D22" s="1338" t="s">
        <v>411</v>
      </c>
    </row>
    <row r="23" spans="2:4" ht="14" x14ac:dyDescent="0.15">
      <c r="B23" s="1340">
        <v>43775</v>
      </c>
      <c r="C23" s="1337" t="s">
        <v>414</v>
      </c>
      <c r="D23" s="1338" t="s">
        <v>413</v>
      </c>
    </row>
    <row r="24" spans="2:4" ht="28" x14ac:dyDescent="0.15">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07" t="s">
        <v>435</v>
      </c>
      <c r="B1" s="1507"/>
    </row>
    <row r="2" spans="1:3" x14ac:dyDescent="0.15">
      <c r="A2" s="1508" t="s">
        <v>369</v>
      </c>
      <c r="B2" s="1509"/>
    </row>
    <row r="3" spans="1:3" x14ac:dyDescent="0.15">
      <c r="A3" s="354"/>
      <c r="B3" s="355"/>
    </row>
    <row r="4" spans="1:3" ht="14" x14ac:dyDescent="0.15">
      <c r="A4" s="356" t="s">
        <v>130</v>
      </c>
      <c r="B4" s="357"/>
    </row>
    <row r="5" spans="1:3" ht="28" x14ac:dyDescent="0.15">
      <c r="A5" s="358">
        <v>1</v>
      </c>
      <c r="B5" s="1313" t="s">
        <v>437</v>
      </c>
      <c r="C5" s="376"/>
    </row>
    <row r="6" spans="1:3" ht="14" x14ac:dyDescent="0.15">
      <c r="A6" s="359">
        <v>2</v>
      </c>
      <c r="B6" s="1314" t="s">
        <v>438</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439</v>
      </c>
    </row>
    <row r="14" spans="1:3" ht="16.5" customHeight="1" x14ac:dyDescent="0.15">
      <c r="A14" s="360"/>
      <c r="B14" s="1317" t="s">
        <v>440</v>
      </c>
    </row>
    <row r="15" spans="1:3" ht="14" x14ac:dyDescent="0.15">
      <c r="A15" s="360"/>
      <c r="B15" s="1317" t="s">
        <v>442</v>
      </c>
    </row>
    <row r="16" spans="1:3" ht="14" x14ac:dyDescent="0.15">
      <c r="A16" s="360"/>
      <c r="B16" s="1317" t="s">
        <v>443</v>
      </c>
    </row>
    <row r="17" spans="1:3" x14ac:dyDescent="0.15">
      <c r="A17" s="360"/>
      <c r="B17" s="1317"/>
    </row>
    <row r="18" spans="1:3" ht="14" x14ac:dyDescent="0.15">
      <c r="A18" s="366"/>
      <c r="B18" s="1318" t="s">
        <v>441</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366</v>
      </c>
    </row>
    <row r="29" spans="1:3" x14ac:dyDescent="0.15">
      <c r="A29" s="372"/>
      <c r="B29" s="406"/>
    </row>
    <row r="30" spans="1:3" ht="14" x14ac:dyDescent="0.15">
      <c r="A30" s="372"/>
      <c r="B30" s="406" t="s">
        <v>149</v>
      </c>
    </row>
    <row r="31" spans="1:3" ht="14" x14ac:dyDescent="0.15">
      <c r="A31" s="372"/>
      <c r="B31" s="409" t="s">
        <v>367</v>
      </c>
    </row>
    <row r="32" spans="1:3" x14ac:dyDescent="0.15">
      <c r="A32" s="370"/>
      <c r="B32" s="373"/>
    </row>
    <row r="33" spans="1:2" ht="18.75" customHeight="1" x14ac:dyDescent="0.15">
      <c r="A33" s="368">
        <v>4</v>
      </c>
      <c r="B33" s="369" t="s">
        <v>142</v>
      </c>
    </row>
    <row r="34" spans="1:2" ht="14" x14ac:dyDescent="0.15">
      <c r="A34" s="372"/>
      <c r="B34" s="364" t="s">
        <v>436</v>
      </c>
    </row>
    <row r="35" spans="1:2" ht="14" x14ac:dyDescent="0.15">
      <c r="A35" s="372"/>
      <c r="B35" s="364" t="s">
        <v>368</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4" sqref="B4"/>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10" t="s">
        <v>452</v>
      </c>
      <c r="C3" s="1511"/>
      <c r="D3" s="1512"/>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44070.814513888887</v>
      </c>
      <c r="E14" s="478"/>
    </row>
    <row r="15" spans="1:7" x14ac:dyDescent="0.2">
      <c r="A15" s="479"/>
      <c r="B15" s="904"/>
      <c r="C15" s="481" t="s">
        <v>246</v>
      </c>
      <c r="D15" s="908">
        <v>44070.814525462964</v>
      </c>
      <c r="E15" s="478"/>
      <c r="G15" s="914"/>
    </row>
    <row r="16" spans="1:7" x14ac:dyDescent="0.2">
      <c r="A16" s="479"/>
      <c r="B16" s="904"/>
      <c r="C16" s="481" t="s">
        <v>247</v>
      </c>
      <c r="D16" s="908">
        <v>44070.81453703704</v>
      </c>
      <c r="E16" s="478"/>
      <c r="G16" s="914"/>
    </row>
    <row r="17" spans="1:7" x14ac:dyDescent="0.2">
      <c r="A17" s="479"/>
      <c r="B17" s="904"/>
      <c r="C17" s="481" t="s">
        <v>248</v>
      </c>
      <c r="D17" s="908">
        <v>44070.81454861111</v>
      </c>
      <c r="E17" s="478"/>
      <c r="G17" s="914"/>
    </row>
    <row r="18" spans="1:7" x14ac:dyDescent="0.2">
      <c r="A18" s="837"/>
      <c r="B18" s="905"/>
      <c r="C18" s="907" t="s">
        <v>200</v>
      </c>
      <c r="D18" s="909">
        <v>44070.814560185187</v>
      </c>
      <c r="E18" s="838"/>
      <c r="G18" s="914"/>
    </row>
    <row r="19" spans="1:7" x14ac:dyDescent="0.2">
      <c r="A19" s="837"/>
      <c r="B19" s="905"/>
      <c r="C19" s="907" t="s">
        <v>199</v>
      </c>
      <c r="D19" s="909">
        <v>44070.814560185187</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opLeftCell="A16" zoomScaleNormal="100" workbookViewId="0">
      <selection activeCell="J30" sqref="J30"/>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2:27" s="538" customFormat="1" ht="16" x14ac:dyDescent="0.2">
      <c r="B1" s="771" t="s">
        <v>241</v>
      </c>
      <c r="C1" s="772"/>
      <c r="D1" s="772"/>
      <c r="E1" s="773"/>
      <c r="F1" s="772"/>
      <c r="G1" s="773"/>
    </row>
    <row r="2" spans="2:27" ht="5.25" customHeight="1" x14ac:dyDescent="0.2">
      <c r="B2" s="499"/>
      <c r="C2" s="497"/>
      <c r="D2" s="497"/>
      <c r="F2" s="497"/>
    </row>
    <row r="3" spans="2:27" x14ac:dyDescent="0.2">
      <c r="B3" s="497" t="s">
        <v>227</v>
      </c>
      <c r="D3" s="1115" t="s">
        <v>228</v>
      </c>
      <c r="E3" s="1379">
        <v>250</v>
      </c>
    </row>
    <row r="4" spans="2:27" x14ac:dyDescent="0.2">
      <c r="B4" s="497"/>
      <c r="D4" s="1115"/>
      <c r="E4" s="770"/>
    </row>
    <row r="5" spans="2:27" ht="16" thickBot="1" x14ac:dyDescent="0.25">
      <c r="B5" s="500" t="s">
        <v>74</v>
      </c>
      <c r="E5" s="496"/>
      <c r="G5" s="496"/>
      <c r="N5" s="501"/>
      <c r="O5" s="501"/>
    </row>
    <row r="6" spans="2:27" ht="24" customHeight="1" x14ac:dyDescent="0.2">
      <c r="B6" s="502"/>
      <c r="C6" s="503"/>
      <c r="D6" s="504"/>
      <c r="E6" s="504"/>
      <c r="F6" s="503"/>
      <c r="G6" s="503"/>
      <c r="H6" s="833"/>
      <c r="I6" s="603"/>
      <c r="J6" s="1513" t="s">
        <v>76</v>
      </c>
      <c r="K6" s="1514"/>
      <c r="L6" s="1521" t="s">
        <v>83</v>
      </c>
      <c r="M6" s="1514"/>
      <c r="N6" s="1513" t="s">
        <v>109</v>
      </c>
      <c r="O6" s="1514"/>
    </row>
    <row r="7" spans="2: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6" x14ac:dyDescent="0.2">
      <c r="B14" s="499"/>
      <c r="C14" s="496" t="s">
        <v>265</v>
      </c>
      <c r="D14" s="497"/>
      <c r="F14" s="497"/>
    </row>
    <row r="15" spans="2:27" ht="16" thickBot="1" x14ac:dyDescent="0.25">
      <c r="B15" s="520" t="s">
        <v>119</v>
      </c>
      <c r="C15" s="521"/>
      <c r="D15" s="497"/>
      <c r="F15" s="497"/>
    </row>
    <row r="16" spans="2:27" ht="1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5" thickBot="1" x14ac:dyDescent="0.25">
      <c r="B18" s="1502"/>
      <c r="C18" s="1503"/>
      <c r="F18" s="1503"/>
      <c r="G18" s="1499"/>
      <c r="H18" s="1500"/>
      <c r="I18" s="1501"/>
      <c r="J18" s="1501"/>
      <c r="K18" s="1500"/>
      <c r="L18" s="1500"/>
      <c r="M18" s="1500"/>
      <c r="N18" s="1500"/>
      <c r="O18" s="1500"/>
      <c r="P18" s="1500"/>
      <c r="Z18" s="1497" t="s">
        <v>415</v>
      </c>
    </row>
    <row r="19" spans="2:31" ht="17" thickBot="1" x14ac:dyDescent="0.25">
      <c r="B19" s="748"/>
      <c r="C19" s="1515" t="s">
        <v>221</v>
      </c>
      <c r="D19" s="1516"/>
      <c r="E19" s="1516"/>
      <c r="F19" s="1516"/>
      <c r="G19" s="1516"/>
      <c r="H19" s="1516"/>
      <c r="I19" s="1516" t="s">
        <v>222</v>
      </c>
      <c r="J19" s="1516"/>
      <c r="K19" s="1516"/>
      <c r="L19" s="1516"/>
      <c r="M19" s="1517"/>
      <c r="N19" s="1518" t="s">
        <v>319</v>
      </c>
      <c r="O19" s="1519"/>
      <c r="P19" s="1519"/>
      <c r="Q19" s="1519"/>
      <c r="R19" s="1519"/>
      <c r="S19" s="1520"/>
      <c r="T19" s="1518" t="s">
        <v>320</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1000000</v>
      </c>
      <c r="E36" s="1426">
        <v>1000000</v>
      </c>
      <c r="F36" s="1426">
        <v>1000000</v>
      </c>
      <c r="G36" s="1426">
        <v>1000000</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1000000</v>
      </c>
      <c r="E37" s="1420">
        <v>1000000</v>
      </c>
      <c r="F37" s="1420">
        <v>1000000</v>
      </c>
      <c r="G37" s="1420">
        <v>1000000</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1000000</v>
      </c>
      <c r="E38" s="1420">
        <v>1000000</v>
      </c>
      <c r="F38" s="1420">
        <v>1000000</v>
      </c>
      <c r="G38" s="1420">
        <v>1000000</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1000000</v>
      </c>
      <c r="E39" s="1420">
        <v>1000000</v>
      </c>
      <c r="F39" s="1420">
        <v>1000000</v>
      </c>
      <c r="G39" s="1420">
        <v>1000000</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5" thickBot="1" x14ac:dyDescent="0.25">
      <c r="B40" s="525">
        <v>2025</v>
      </c>
      <c r="C40" s="1422">
        <v>157278.03996967364</v>
      </c>
      <c r="D40" s="1423">
        <v>1370.3512113064376</v>
      </c>
      <c r="E40" s="1423">
        <v>9327.4806667977791</v>
      </c>
      <c r="F40" s="1423">
        <v>548412.8458185317</v>
      </c>
      <c r="G40" s="1423">
        <v>140076.3663988047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126559.32027063987</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v>109479.32998771468</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v>104645.12572423878</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v>100981.2349698481</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5" thickBot="1" x14ac:dyDescent="0.25">
      <c r="B45" s="525">
        <v>2030</v>
      </c>
      <c r="C45" s="1422">
        <v>162980.88423840102</v>
      </c>
      <c r="D45" s="1423">
        <v>2518.770537790489</v>
      </c>
      <c r="E45" s="1423">
        <v>9183.2522594530437</v>
      </c>
      <c r="F45" s="1423">
        <v>323956.67394311365</v>
      </c>
      <c r="G45" s="1423">
        <v>96807.214524941635</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v>93368.06999806207</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v>91213.679749424511</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v>90086.690634655271</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v>89552.35531173335</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5" thickBot="1" x14ac:dyDescent="0.25">
      <c r="B50" s="530">
        <v>2035</v>
      </c>
      <c r="C50" s="1428">
        <v>163848.29249390995</v>
      </c>
      <c r="D50" s="1429">
        <v>2830.1879733511887</v>
      </c>
      <c r="E50" s="1429">
        <v>9200.1879733511887</v>
      </c>
      <c r="F50" s="1429">
        <v>241847.18797335122</v>
      </c>
      <c r="G50" s="1429">
        <v>89121.187973351189</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v>86768.041239421364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v>85333.229355044721</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5" thickBot="1" x14ac:dyDescent="0.25">
      <c r="C66" s="497"/>
      <c r="D66" s="497"/>
      <c r="F66" s="497"/>
    </row>
    <row r="67" spans="2:31" ht="1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8" zoomScaleNormal="100" workbookViewId="0">
      <selection activeCell="K10" sqref="K10"/>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6" t="s">
        <v>228</v>
      </c>
      <c r="E3" s="1379">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5"/>
      <c r="J6" s="1522" t="s">
        <v>76</v>
      </c>
      <c r="K6" s="1523"/>
      <c r="L6" s="1524" t="s">
        <v>83</v>
      </c>
      <c r="M6" s="1525"/>
      <c r="N6" s="1524" t="s">
        <v>109</v>
      </c>
      <c r="O6" s="1525"/>
      <c r="P6"/>
      <c r="R6" s="3"/>
    </row>
    <row r="7" spans="1:27" ht="27" customHeight="1" thickBot="1" x14ac:dyDescent="0.25">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6" x14ac:dyDescent="0.2">
      <c r="B14" s="12"/>
      <c r="C14" s="496" t="s">
        <v>265</v>
      </c>
      <c r="D14" s="1"/>
      <c r="F14" s="1"/>
    </row>
    <row r="15" spans="1:27" ht="16" thickBot="1" x14ac:dyDescent="0.25">
      <c r="B15" s="47" t="s">
        <v>119</v>
      </c>
      <c r="C15" s="4"/>
      <c r="D15" s="4"/>
      <c r="G15" s="5"/>
      <c r="H15" s="6"/>
      <c r="I15" s="1526"/>
      <c r="J15" s="1526"/>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1:31" s="232" customFormat="1" ht="1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5" thickBot="1" x14ac:dyDescent="0.25">
      <c r="A40" s="3"/>
      <c r="B40" s="525">
        <v>2025</v>
      </c>
      <c r="C40" s="1422">
        <v>138005</v>
      </c>
      <c r="D40" s="1423">
        <v>6997.0616326849868</v>
      </c>
      <c r="E40" s="1423">
        <v>15029.191529721053</v>
      </c>
      <c r="F40" s="1423">
        <v>327492.98570994998</v>
      </c>
      <c r="G40" s="1423">
        <v>99856.657580742802</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91524.856671100715</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82928</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79682.37753190755</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77242.301689609696</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5" thickBot="1" x14ac:dyDescent="0.25">
      <c r="A45" s="3"/>
      <c r="B45" s="525">
        <v>2030</v>
      </c>
      <c r="C45" s="1422">
        <v>139523.14024300172</v>
      </c>
      <c r="D45" s="1423">
        <v>11247.358954172012</v>
      </c>
      <c r="E45" s="1423">
        <v>17977.417986053151</v>
      </c>
      <c r="F45" s="1423">
        <v>194727.29020537995</v>
      </c>
      <c r="G45" s="1423">
        <v>74202.739346593662</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71329.635545986472</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69241.307400381003</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67995.465795086551</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67337.897905007194</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5" thickBot="1" x14ac:dyDescent="0.25">
      <c r="A50" s="3"/>
      <c r="B50" s="530">
        <v>2035</v>
      </c>
      <c r="C50" s="1428">
        <v>139788.33333333334</v>
      </c>
      <c r="D50" s="1429">
        <v>11716.666666666657</v>
      </c>
      <c r="E50" s="1429">
        <v>18086.666666666657</v>
      </c>
      <c r="F50" s="1429">
        <v>136498.66666666666</v>
      </c>
      <c r="G50" s="1429">
        <v>66721.666666666657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C19:H19"/>
    <mergeCell ref="I19:M19"/>
    <mergeCell ref="N19:S19"/>
    <mergeCell ref="T19:Y19"/>
    <mergeCell ref="Z19:AE19"/>
    <mergeCell ref="J6:K6"/>
    <mergeCell ref="L6:M6"/>
    <mergeCell ref="N6:O6"/>
    <mergeCell ref="I15:J15"/>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abSelected="1" topLeftCell="A18" zoomScaleNormal="100" workbookViewId="0">
      <selection activeCell="K10" sqref="K10:K12"/>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152</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2" t="s">
        <v>76</v>
      </c>
      <c r="K6" s="1523"/>
      <c r="L6" s="1513" t="s">
        <v>83</v>
      </c>
      <c r="M6" s="1514"/>
      <c r="N6" s="1513" t="s">
        <v>109</v>
      </c>
      <c r="O6" s="1514"/>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5" thickBot="1" x14ac:dyDescent="0.25">
      <c r="B40" s="525">
        <v>2025</v>
      </c>
      <c r="C40" s="1422">
        <v>82474.172613639836</v>
      </c>
      <c r="D40" s="1423">
        <v>119.27416004567138</v>
      </c>
      <c r="E40" s="1423">
        <v>5817.1878111532897</v>
      </c>
      <c r="F40" s="1423">
        <v>234567.37950945646</v>
      </c>
      <c r="G40" s="1423">
        <v>82769.352682547236</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75629.930640704086</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0">
        <v>67079.833333333358</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0">
        <v>62164.647097111483</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0">
        <v>59495.376089159094</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5" thickBot="1" x14ac:dyDescent="0.25">
      <c r="B45" s="525">
        <v>2030</v>
      </c>
      <c r="C45" s="1422">
        <v>83815.84790700287</v>
      </c>
      <c r="D45" s="1423">
        <v>1681.2099123330988</v>
      </c>
      <c r="E45" s="1423">
        <v>5922.5374843617083</v>
      </c>
      <c r="F45" s="1423">
        <v>120755.69387116659</v>
      </c>
      <c r="G45" s="1423">
        <v>57152.331176924781</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55612.772875017552</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54784.068503439463</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54385.365072001012</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54203.913548318422</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5" thickBot="1" x14ac:dyDescent="0.25">
      <c r="B50" s="530">
        <v>2035</v>
      </c>
      <c r="C50" s="1428">
        <v>84301.125</v>
      </c>
      <c r="D50" s="1429">
        <v>2146.875</v>
      </c>
      <c r="E50" s="1429">
        <v>6119.875</v>
      </c>
      <c r="F50" s="1429">
        <v>100621.875</v>
      </c>
      <c r="G50" s="1429">
        <v>54060.875</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17">
        <v>53035.341997820513</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0">
        <v>52398.057262611786</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0">
        <v>51392.21499644639</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0">
        <v>49845.703005422496</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5" thickBot="1" x14ac:dyDescent="0.25">
      <c r="B55" s="525">
        <v>2040</v>
      </c>
      <c r="C55" s="1422">
        <v>84354.477774657062</v>
      </c>
      <c r="D55" s="1423">
        <v>1903.4934577023982</v>
      </c>
      <c r="E55" s="1423">
        <v>5053.4175938308936</v>
      </c>
      <c r="F55" s="1423">
        <v>86230.900230912463</v>
      </c>
      <c r="G55" s="1423">
        <v>47561.096890209017</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17">
        <v>44377.964394286326</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0">
        <v>40286.472251300744</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0">
        <v>35539.719126765405</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0">
        <v>30645.580719039648</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5" thickBot="1" x14ac:dyDescent="0.25">
      <c r="B60" s="525">
        <v>2045</v>
      </c>
      <c r="C60" s="1422">
        <v>84486.497002834571</v>
      </c>
      <c r="D60" s="1423">
        <v>1102.7542744436228</v>
      </c>
      <c r="E60" s="1423">
        <v>1544.7117801750601</v>
      </c>
      <c r="F60" s="1423">
        <v>38883.770805599823</v>
      </c>
      <c r="G60" s="1423">
        <v>26176.455450829933</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17">
        <v>22525.812465021441</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0">
        <v>19805.70106332592</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0">
        <v>17914.624982279245</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0">
        <v>16662.378779980143</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5" thickBot="1" x14ac:dyDescent="0.25">
      <c r="B65" s="525">
        <v>2050</v>
      </c>
      <c r="C65" s="1422">
        <v>84730.5</v>
      </c>
      <c r="D65" s="1423">
        <v>667.5</v>
      </c>
      <c r="E65" s="1490">
        <v>100</v>
      </c>
      <c r="F65" s="1423">
        <v>13147.5</v>
      </c>
      <c r="G65" s="1423">
        <v>14552.5</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B11" activePane="bottomRight" state="frozen"/>
      <selection activeCell="B5" sqref="B5:H5"/>
      <selection pane="topRight" activeCell="B5" sqref="B5:H5"/>
      <selection pane="bottomLeft" activeCell="B5" sqref="B5:H5"/>
      <selection pane="bottomRight" activeCell="K40" sqref="K40"/>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6" x14ac:dyDescent="0.2">
      <c r="A5" s="58"/>
      <c r="B5" s="48"/>
      <c r="C5" s="59"/>
      <c r="D5" s="48"/>
      <c r="E5" s="53"/>
      <c r="F5" s="53"/>
      <c r="G5" s="1261"/>
      <c r="L5" s="612"/>
      <c r="X5" s="1376" t="s">
        <v>326</v>
      </c>
    </row>
    <row r="6" spans="1:52" ht="17" thickBot="1" x14ac:dyDescent="0.25">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25">
      <c r="A7" s="1527" t="s">
        <v>282</v>
      </c>
      <c r="B7" s="1528"/>
      <c r="C7" s="1528"/>
      <c r="D7" s="1528"/>
      <c r="E7" s="1528"/>
      <c r="F7" s="1528"/>
      <c r="G7" s="1528"/>
      <c r="H7" s="1528"/>
      <c r="I7" s="1528"/>
      <c r="J7" s="1528"/>
      <c r="K7" s="1528"/>
      <c r="L7" s="1528"/>
      <c r="M7" s="1528"/>
      <c r="N7" s="1528"/>
      <c r="O7" s="1528"/>
      <c r="P7" s="1528"/>
      <c r="Q7" s="1528"/>
      <c r="R7" s="1528"/>
      <c r="S7" s="1528"/>
      <c r="T7" s="1528"/>
      <c r="U7" s="1379" t="b">
        <v>1</v>
      </c>
      <c r="W7" s="1527" t="s">
        <v>281</v>
      </c>
      <c r="X7" s="1528"/>
      <c r="Y7" s="1528"/>
      <c r="Z7" s="1528"/>
      <c r="AA7" s="1528"/>
      <c r="AB7" s="1528"/>
      <c r="AC7" s="1528"/>
      <c r="AD7" s="1528"/>
      <c r="AE7" s="1528"/>
      <c r="AF7" s="1528"/>
      <c r="AG7" s="1528"/>
      <c r="AH7" s="1528"/>
      <c r="AI7" s="1528"/>
      <c r="AJ7" s="1528"/>
      <c r="AK7" s="1528"/>
      <c r="AL7" s="1528"/>
      <c r="AM7" s="1528"/>
      <c r="AN7" s="1528"/>
      <c r="AO7" s="1528"/>
      <c r="AP7" s="1529"/>
      <c r="AQ7" s="969"/>
      <c r="AU7" s="3" t="s">
        <v>426</v>
      </c>
    </row>
    <row r="8" spans="1:52" ht="12.75" customHeight="1" x14ac:dyDescent="0.2">
      <c r="A8" s="557"/>
      <c r="B8" s="1530" t="s">
        <v>420</v>
      </c>
      <c r="C8" s="1530"/>
      <c r="D8" s="1530"/>
      <c r="E8" s="1530"/>
      <c r="F8" s="1530"/>
      <c r="G8" s="1530"/>
      <c r="H8" s="1530"/>
      <c r="I8" s="1530"/>
      <c r="J8" s="952"/>
      <c r="K8" s="952"/>
      <c r="L8" s="1531" t="s">
        <v>421</v>
      </c>
      <c r="M8" s="1531"/>
      <c r="N8" s="1531"/>
      <c r="O8" s="1531"/>
      <c r="P8" s="1531"/>
      <c r="Q8" s="1531"/>
      <c r="R8" s="1531"/>
      <c r="S8" s="1531"/>
      <c r="T8" s="558"/>
      <c r="U8" s="496"/>
      <c r="W8" s="959"/>
      <c r="X8" s="1531" t="s">
        <v>422</v>
      </c>
      <c r="Y8" s="1531"/>
      <c r="Z8" s="1531"/>
      <c r="AA8" s="1531"/>
      <c r="AB8" s="1531"/>
      <c r="AC8" s="1531"/>
      <c r="AD8" s="1531"/>
      <c r="AE8" s="1531"/>
      <c r="AF8" s="1367"/>
      <c r="AG8" s="1367"/>
      <c r="AH8" s="1531" t="s">
        <v>421</v>
      </c>
      <c r="AI8" s="1531"/>
      <c r="AJ8" s="1531"/>
      <c r="AK8" s="1531"/>
      <c r="AL8" s="1531"/>
      <c r="AM8" s="1531"/>
      <c r="AN8" s="1531"/>
      <c r="AO8" s="1531"/>
      <c r="AP8" s="960"/>
      <c r="AQ8" s="970"/>
      <c r="AU8" s="3" t="s">
        <v>427</v>
      </c>
      <c r="AW8" s="3" t="s">
        <v>428</v>
      </c>
      <c r="AY8" s="3" t="s">
        <v>429</v>
      </c>
    </row>
    <row r="9" spans="1:52" ht="12.75" hidden="1" customHeight="1" x14ac:dyDescent="0.2">
      <c r="A9" s="559"/>
      <c r="B9" s="1532"/>
      <c r="C9" s="1532"/>
      <c r="D9" s="1532"/>
      <c r="E9" s="1532"/>
      <c r="F9" s="1532"/>
      <c r="G9" s="1532"/>
      <c r="H9" s="1532"/>
      <c r="I9" s="1532"/>
      <c r="J9" s="953"/>
      <c r="K9" s="953"/>
      <c r="L9" s="1533"/>
      <c r="M9" s="1533"/>
      <c r="N9" s="1533"/>
      <c r="O9" s="1533"/>
      <c r="P9" s="1533"/>
      <c r="Q9" s="1533"/>
      <c r="R9" s="1533"/>
      <c r="S9" s="1533"/>
      <c r="T9" s="560"/>
      <c r="U9" s="496"/>
      <c r="W9" s="559"/>
      <c r="X9" s="1532"/>
      <c r="Y9" s="1532"/>
      <c r="Z9" s="1532"/>
      <c r="AA9" s="1532"/>
      <c r="AB9" s="1532"/>
      <c r="AC9" s="1532"/>
      <c r="AD9" s="1532"/>
      <c r="AE9" s="1532"/>
      <c r="AF9" s="1368"/>
      <c r="AG9" s="1368"/>
      <c r="AH9" s="1533"/>
      <c r="AI9" s="1533"/>
      <c r="AJ9" s="1533"/>
      <c r="AK9" s="1533"/>
      <c r="AL9" s="1533"/>
      <c r="AM9" s="1533"/>
      <c r="AN9" s="1533"/>
      <c r="AO9" s="1533"/>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89.418777943368113</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12.402384500745157</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89.418777943368113</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12.402384500745157</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89.418777943368113</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12.402384500745157</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89.418777943368113</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12.402384500745157</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89.418777943368113</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12.402384500745157</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89.418777943368113</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12.402384500745157</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89.418777943368113</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12.402384500745157</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89.418777943368113</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12.402384500745157</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89.418777943368113</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12.402384500745157</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89.418777943368113</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12.402384500745157</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89.418777943368113</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12.402384500745157</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89.418777943368113</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12.402384500745157</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89.418777943368113</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12.402384500745157</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89.418777943368113</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12.402384500745157</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89.418777943368113</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12.402384500745157</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89.418777943368113</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12.402384500745157</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89.418777943368113</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12.402384500745157</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89.418777943368113</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12.402384500745157</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85.692995529061108</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11.885618479880776</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85.692995529061108</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11.885618479880776</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81.967213114754102</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11.368852459016393</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81.967213114754102</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11.368852459016393</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78.241430700447097</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10.852086438152012</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78.241430700447097</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74.515648286140092</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10.335320417287631</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74.515648286140092</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70.789865871833086</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9.8185543964232487</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70.789865871833086</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9.8185543964232487</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67.064083457526081</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9.3017883755588677</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67.064083457526081</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9.3017883755588677</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63.338301043219076</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8.785022354694485</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63.338301043219076</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8.785022354694485</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59.612518628912071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8.2682563338301041</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59.612518628912071</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8.2682563338301041</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55.886736214605065</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7.7514903129657231</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55.886736214605065</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7.7514903129657231</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52.16095380029806</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7.2347242921013413</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52.16095380029806</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7.2347242921013413</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51.266766020864381</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7.1107004470938904</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51.266766020864381</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7.1107004470938904</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50.372578241430702</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6.9866766020864386</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50.372578241430702</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6.9866766020864386</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49.478390461997016</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6.8626527570789859</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49.478390461997016</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6.8626527570789859</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48.584202682563337</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6.7386289120715341</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48.584202682563337</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6.7386289120715341</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47.690014903129651</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6.6146050670640824</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47.690014903129651</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6.6146050670640824</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46.795827123695972</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6.4905812220566306</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46.795827123695972</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6.4905812220566306</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45.901639344262293</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6.3665573770491797</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45.901639344262293</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6.3665573770491797</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45.007451564828607</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6.2425335320417279</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45.007451564828607</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6.2425335320417279</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44.113263785394928</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6.1185096870342761</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44.113263785394928</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6.1185096870342761</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43.219076005961242</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5.9944858420268243</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43.219076005961242</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5.9944858420268243</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42.324888226527563</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5.8704619970193725</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42.324888226527563</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5.8704619970193725</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41.430700447093884</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5.7464381520119217</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41.430700447093884</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5.7464381520119217</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40.536512667660197</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5.6224143070044699</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40.536512667660197</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5.6224143070044699</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39.642324888226511</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5.4983904619970172</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39.642324888226511</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5.4983904619970172</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38.748137108792832</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5.3743666169895663</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38.748137108792832</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5.3743666169895663</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37.853949329359153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5.2503427719821145</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37.853949329359153</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5.2503427719821145</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36.959761549925474</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5.1263189269746636</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36.959761549925474</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5.1263189269746636</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36.065573770491788</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5.002295081967211</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36.065573770491788</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5.002295081967211</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35.171385991058102</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4.8782712369597592</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35.171385991058102</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4.8782712369597592</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34.277198211624423</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4.7542473919523083</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34.277198211624423</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4.7542473919523083</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33.383010432190744</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4.6302235469448565</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33.383010432190744</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4.6302235469448565</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32.488822652757065</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4.5061997019374056</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32.488822652757065</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4.5061997019374056</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31.594634873323376</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4.382175856929952</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31.594634873323376</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4.382175856929952</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30.700447093889697</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4.2581520119225011</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30.700447093889697</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4.2581520119225011</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29.806259314456035</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4.134128166915052</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29.806259314456035</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4.134128166915052</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5" thickBot="1" x14ac:dyDescent="0.25">
      <c r="A61" s="571" t="s">
        <v>433</v>
      </c>
      <c r="F61" s="64"/>
      <c r="K61" s="7" t="s">
        <v>354</v>
      </c>
      <c r="W61" s="571"/>
      <c r="AA61" s="7"/>
      <c r="AB61" s="64"/>
      <c r="AC61" s="7"/>
      <c r="AD61" s="7"/>
      <c r="AF61" s="53"/>
      <c r="AG61" s="7" t="s">
        <v>354</v>
      </c>
    </row>
    <row r="62" spans="1:43" x14ac:dyDescent="0.2">
      <c r="A62" s="69" t="s">
        <v>7</v>
      </c>
      <c r="J62" s="961">
        <v>2007</v>
      </c>
      <c r="K62" s="652">
        <f t="shared" ref="K62:K68" si="44">K63</f>
        <v>12</v>
      </c>
      <c r="W62" s="69"/>
      <c r="AA62" s="7"/>
      <c r="AB62" s="7"/>
      <c r="AC62" s="7"/>
      <c r="AD62" s="7"/>
      <c r="AF62" s="1285">
        <v>2007</v>
      </c>
      <c r="AG62" s="652">
        <f>K62</f>
        <v>12</v>
      </c>
    </row>
    <row r="63" spans="1:43" x14ac:dyDescent="0.2">
      <c r="A63" s="3" t="s">
        <v>8</v>
      </c>
      <c r="J63" s="487">
        <v>2008</v>
      </c>
      <c r="K63" s="652">
        <f t="shared" si="44"/>
        <v>12</v>
      </c>
      <c r="AA63" s="7"/>
      <c r="AB63" s="7"/>
      <c r="AC63" s="7"/>
      <c r="AD63" s="7"/>
      <c r="AF63" s="489">
        <v>2008</v>
      </c>
      <c r="AG63" s="652">
        <f t="shared" ref="AG63:AG105" si="45">K63</f>
        <v>12</v>
      </c>
    </row>
    <row r="64" spans="1:43" x14ac:dyDescent="0.2">
      <c r="J64" s="487">
        <v>2009</v>
      </c>
      <c r="K64" s="652">
        <f t="shared" si="44"/>
        <v>12</v>
      </c>
      <c r="AF64" s="489">
        <v>2009</v>
      </c>
      <c r="AG64" s="652">
        <f t="shared" si="45"/>
        <v>12</v>
      </c>
    </row>
    <row r="65" spans="2:33" x14ac:dyDescent="0.2">
      <c r="J65" s="488">
        <v>2010</v>
      </c>
      <c r="K65" s="652">
        <f t="shared" si="44"/>
        <v>12</v>
      </c>
      <c r="AF65" s="489">
        <v>2010</v>
      </c>
      <c r="AG65" s="652">
        <f t="shared" si="45"/>
        <v>12</v>
      </c>
    </row>
    <row r="66" spans="2:33" x14ac:dyDescent="0.2">
      <c r="J66" s="489">
        <v>2011</v>
      </c>
      <c r="K66" s="652">
        <f t="shared" si="44"/>
        <v>12</v>
      </c>
      <c r="AF66" s="489">
        <v>2011</v>
      </c>
      <c r="AG66" s="652">
        <f t="shared" si="45"/>
        <v>12</v>
      </c>
    </row>
    <row r="67" spans="2:33" x14ac:dyDescent="0.2">
      <c r="J67" s="963">
        <v>2012</v>
      </c>
      <c r="K67" s="652">
        <f t="shared" si="44"/>
        <v>12</v>
      </c>
      <c r="AF67" s="963">
        <v>2012</v>
      </c>
      <c r="AG67" s="652">
        <f t="shared" si="45"/>
        <v>12</v>
      </c>
    </row>
    <row r="68" spans="2:33" x14ac:dyDescent="0.2">
      <c r="J68" s="963">
        <v>2013</v>
      </c>
      <c r="K68" s="652">
        <f t="shared" si="44"/>
        <v>12</v>
      </c>
      <c r="AF68" s="963">
        <v>2013</v>
      </c>
      <c r="AG68" s="652">
        <f t="shared" si="45"/>
        <v>12</v>
      </c>
    </row>
    <row r="69" spans="2:33" x14ac:dyDescent="0.2">
      <c r="J69" s="963">
        <v>2014</v>
      </c>
      <c r="K69" s="652">
        <f>K70</f>
        <v>12</v>
      </c>
      <c r="AF69" s="963">
        <v>2014</v>
      </c>
      <c r="AG69" s="652">
        <f t="shared" si="45"/>
        <v>12</v>
      </c>
    </row>
    <row r="70" spans="2:33" x14ac:dyDescent="0.2">
      <c r="J70" s="964">
        <v>2015</v>
      </c>
      <c r="K70" s="1505">
        <v>12</v>
      </c>
      <c r="AF70" s="963">
        <v>2015</v>
      </c>
      <c r="AG70" s="652">
        <f t="shared" si="45"/>
        <v>12</v>
      </c>
    </row>
    <row r="71" spans="2:33" x14ac:dyDescent="0.2">
      <c r="B71" s="70"/>
      <c r="D71" s="70"/>
      <c r="J71" s="963">
        <v>2016</v>
      </c>
      <c r="K71" s="652">
        <f>K70+($K$75-$K$70)/($J$75-$J$70)</f>
        <v>11.5</v>
      </c>
      <c r="AF71" s="963">
        <v>2016</v>
      </c>
      <c r="AG71" s="651">
        <f t="shared" si="45"/>
        <v>11.5</v>
      </c>
    </row>
    <row r="72" spans="2:33" x14ac:dyDescent="0.2">
      <c r="B72" s="70"/>
      <c r="D72" s="70"/>
      <c r="J72" s="963">
        <v>2017</v>
      </c>
      <c r="K72" s="652">
        <f>K71+($K$75-$K$70)/($J$75-$J$70)</f>
        <v>11</v>
      </c>
      <c r="AF72" s="963">
        <v>2017</v>
      </c>
      <c r="AG72" s="652">
        <f t="shared" si="45"/>
        <v>11</v>
      </c>
    </row>
    <row r="73" spans="2:33" x14ac:dyDescent="0.2">
      <c r="B73" s="70"/>
      <c r="D73" s="70"/>
      <c r="J73" s="963">
        <v>2018</v>
      </c>
      <c r="K73" s="652">
        <f>K72+($K$75-$K$70)/($J$75-$J$70)</f>
        <v>10.5</v>
      </c>
      <c r="AF73" s="963">
        <v>2018</v>
      </c>
      <c r="AG73" s="652">
        <f t="shared" si="45"/>
        <v>10.5</v>
      </c>
    </row>
    <row r="74" spans="2:33" x14ac:dyDescent="0.2">
      <c r="B74" s="70"/>
      <c r="D74" s="70"/>
      <c r="J74" s="963">
        <v>2019</v>
      </c>
      <c r="K74" s="1505">
        <v>10</v>
      </c>
      <c r="AF74" s="963">
        <v>2019</v>
      </c>
      <c r="AG74" s="652">
        <f t="shared" si="45"/>
        <v>10</v>
      </c>
    </row>
    <row r="75" spans="2:33" x14ac:dyDescent="0.2">
      <c r="B75" s="70"/>
      <c r="D75" s="70"/>
      <c r="J75" s="964">
        <v>2020</v>
      </c>
      <c r="K75" s="652">
        <f>K74+($K$80-$K$74)/($J$80-$J$74)</f>
        <v>9.5</v>
      </c>
      <c r="AF75" s="963">
        <v>2020</v>
      </c>
      <c r="AG75" s="652">
        <f t="shared" si="45"/>
        <v>9.5</v>
      </c>
    </row>
    <row r="76" spans="2:33" x14ac:dyDescent="0.2">
      <c r="B76" s="70"/>
      <c r="D76" s="70"/>
      <c r="J76" s="963">
        <v>2021</v>
      </c>
      <c r="K76" s="652">
        <f t="shared" ref="K76:K79" si="46">K75+($K$80-$K$74)/($J$80-$J$74)</f>
        <v>9</v>
      </c>
      <c r="AF76" s="963">
        <v>2021</v>
      </c>
      <c r="AG76" s="652">
        <f t="shared" si="45"/>
        <v>9</v>
      </c>
    </row>
    <row r="77" spans="2:33" x14ac:dyDescent="0.2">
      <c r="B77" s="70"/>
      <c r="D77" s="70"/>
      <c r="J77" s="963">
        <v>2022</v>
      </c>
      <c r="K77" s="652">
        <f t="shared" si="46"/>
        <v>8.5</v>
      </c>
      <c r="AF77" s="963">
        <v>2022</v>
      </c>
      <c r="AG77" s="652">
        <f t="shared" si="45"/>
        <v>8.5</v>
      </c>
    </row>
    <row r="78" spans="2:33" x14ac:dyDescent="0.2">
      <c r="B78" s="70"/>
      <c r="D78" s="70"/>
      <c r="J78" s="963">
        <v>2023</v>
      </c>
      <c r="K78" s="652">
        <f t="shared" si="46"/>
        <v>8</v>
      </c>
      <c r="AF78" s="963">
        <v>2023</v>
      </c>
      <c r="AG78" s="652">
        <f t="shared" si="45"/>
        <v>8</v>
      </c>
    </row>
    <row r="79" spans="2:33" x14ac:dyDescent="0.2">
      <c r="B79" s="70"/>
      <c r="D79" s="70"/>
      <c r="J79" s="963">
        <v>2024</v>
      </c>
      <c r="K79" s="652">
        <f t="shared" si="46"/>
        <v>7.5</v>
      </c>
      <c r="AF79" s="963">
        <v>2024</v>
      </c>
      <c r="AG79" s="652">
        <f t="shared" si="45"/>
        <v>7.5</v>
      </c>
    </row>
    <row r="80" spans="2:33" x14ac:dyDescent="0.2">
      <c r="B80" s="70"/>
      <c r="D80" s="70"/>
      <c r="J80" s="964">
        <v>2025</v>
      </c>
      <c r="K80" s="1505">
        <v>7</v>
      </c>
      <c r="AF80" s="963">
        <v>2025</v>
      </c>
      <c r="AG80" s="652">
        <f t="shared" si="45"/>
        <v>7</v>
      </c>
    </row>
    <row r="81" spans="2:33" x14ac:dyDescent="0.2">
      <c r="B81" s="70"/>
      <c r="D81" s="70"/>
      <c r="J81" s="963">
        <v>2026</v>
      </c>
      <c r="K81" s="652">
        <f>K80+($K$105-$K$80)/($J$105-$J$80)</f>
        <v>6.88</v>
      </c>
      <c r="AF81" s="963">
        <v>2026</v>
      </c>
      <c r="AG81" s="652">
        <f t="shared" si="45"/>
        <v>6.88</v>
      </c>
    </row>
    <row r="82" spans="2:33" x14ac:dyDescent="0.2">
      <c r="B82" s="70"/>
      <c r="D82" s="70"/>
      <c r="J82" s="963">
        <v>2027</v>
      </c>
      <c r="K82" s="652">
        <f t="shared" ref="K82:K104" si="47">K81+($K$105-$K$80)/($J$105-$J$80)</f>
        <v>6.76</v>
      </c>
      <c r="AF82" s="963">
        <v>2027</v>
      </c>
      <c r="AG82" s="652">
        <f t="shared" si="45"/>
        <v>6.76</v>
      </c>
    </row>
    <row r="83" spans="2:33" x14ac:dyDescent="0.2">
      <c r="B83" s="70"/>
      <c r="D83" s="70"/>
      <c r="J83" s="963">
        <v>2028</v>
      </c>
      <c r="K83" s="652">
        <f t="shared" si="47"/>
        <v>6.64</v>
      </c>
      <c r="AF83" s="963">
        <v>2028</v>
      </c>
      <c r="AG83" s="652">
        <f t="shared" si="45"/>
        <v>6.64</v>
      </c>
    </row>
    <row r="84" spans="2:33" x14ac:dyDescent="0.2">
      <c r="B84" s="70"/>
      <c r="D84" s="70"/>
      <c r="J84" s="963">
        <v>2029</v>
      </c>
      <c r="K84" s="652">
        <f t="shared" si="47"/>
        <v>6.52</v>
      </c>
      <c r="AF84" s="963">
        <v>2029</v>
      </c>
      <c r="AG84" s="652">
        <f t="shared" si="45"/>
        <v>6.52</v>
      </c>
    </row>
    <row r="85" spans="2:33" x14ac:dyDescent="0.2">
      <c r="B85" s="70"/>
      <c r="D85" s="70"/>
      <c r="J85" s="964">
        <v>2030</v>
      </c>
      <c r="K85" s="652">
        <f t="shared" si="47"/>
        <v>6.3999999999999995</v>
      </c>
      <c r="AF85" s="963">
        <v>2030</v>
      </c>
      <c r="AG85" s="652">
        <f t="shared" si="45"/>
        <v>6.3999999999999995</v>
      </c>
    </row>
    <row r="86" spans="2:33" x14ac:dyDescent="0.2">
      <c r="B86" s="70"/>
      <c r="D86" s="70"/>
      <c r="J86" s="963">
        <v>2031</v>
      </c>
      <c r="K86" s="652">
        <f t="shared" si="47"/>
        <v>6.2799999999999994</v>
      </c>
      <c r="AF86" s="963">
        <v>2031</v>
      </c>
      <c r="AG86" s="652">
        <f t="shared" si="45"/>
        <v>6.2799999999999994</v>
      </c>
    </row>
    <row r="87" spans="2:33" x14ac:dyDescent="0.2">
      <c r="B87" s="70"/>
      <c r="D87" s="70"/>
      <c r="J87" s="963">
        <v>2032</v>
      </c>
      <c r="K87" s="652">
        <f t="shared" si="47"/>
        <v>6.1599999999999993</v>
      </c>
      <c r="AF87" s="963">
        <v>2032</v>
      </c>
      <c r="AG87" s="652">
        <f t="shared" si="45"/>
        <v>6.1599999999999993</v>
      </c>
    </row>
    <row r="88" spans="2:33" x14ac:dyDescent="0.2">
      <c r="B88" s="70"/>
      <c r="D88" s="70"/>
      <c r="J88" s="963">
        <v>2033</v>
      </c>
      <c r="K88" s="652">
        <f t="shared" si="47"/>
        <v>6.0399999999999991</v>
      </c>
      <c r="AF88" s="963">
        <v>2033</v>
      </c>
      <c r="AG88" s="652">
        <f t="shared" si="45"/>
        <v>6.0399999999999991</v>
      </c>
    </row>
    <row r="89" spans="2:33" x14ac:dyDescent="0.2">
      <c r="B89" s="70"/>
      <c r="D89" s="70"/>
      <c r="J89" s="963">
        <v>2034</v>
      </c>
      <c r="K89" s="652">
        <f t="shared" si="47"/>
        <v>5.919999999999999</v>
      </c>
      <c r="AF89" s="963">
        <v>2034</v>
      </c>
      <c r="AG89" s="652">
        <f t="shared" si="45"/>
        <v>5.919999999999999</v>
      </c>
    </row>
    <row r="90" spans="2:33" x14ac:dyDescent="0.2">
      <c r="B90" s="70"/>
      <c r="D90" s="70"/>
      <c r="J90" s="964">
        <v>2035</v>
      </c>
      <c r="K90" s="652">
        <f t="shared" si="47"/>
        <v>5.7999999999999989</v>
      </c>
      <c r="AF90" s="963">
        <v>2035</v>
      </c>
      <c r="AG90" s="652">
        <f t="shared" si="45"/>
        <v>5.7999999999999989</v>
      </c>
    </row>
    <row r="91" spans="2:33" x14ac:dyDescent="0.2">
      <c r="B91" s="70"/>
      <c r="D91" s="70"/>
      <c r="J91" s="963">
        <v>2036</v>
      </c>
      <c r="K91" s="652">
        <f t="shared" si="47"/>
        <v>5.6799999999999988</v>
      </c>
      <c r="AF91" s="963">
        <v>2036</v>
      </c>
      <c r="AG91" s="652">
        <f t="shared" si="45"/>
        <v>5.6799999999999988</v>
      </c>
    </row>
    <row r="92" spans="2:33" x14ac:dyDescent="0.2">
      <c r="B92" s="70"/>
      <c r="D92" s="70"/>
      <c r="J92" s="963">
        <v>2037</v>
      </c>
      <c r="K92" s="652">
        <f t="shared" si="47"/>
        <v>5.5599999999999987</v>
      </c>
      <c r="AF92" s="963">
        <v>2037</v>
      </c>
      <c r="AG92" s="652">
        <f t="shared" si="45"/>
        <v>5.5599999999999987</v>
      </c>
    </row>
    <row r="93" spans="2:33" x14ac:dyDescent="0.2">
      <c r="B93" s="70"/>
      <c r="D93" s="70"/>
      <c r="J93" s="963">
        <v>2038</v>
      </c>
      <c r="K93" s="652">
        <f t="shared" si="47"/>
        <v>5.4399999999999986</v>
      </c>
      <c r="AF93" s="963">
        <v>2038</v>
      </c>
      <c r="AG93" s="652">
        <f t="shared" si="45"/>
        <v>5.4399999999999986</v>
      </c>
    </row>
    <row r="94" spans="2:33" x14ac:dyDescent="0.2">
      <c r="B94" s="70"/>
      <c r="D94" s="70"/>
      <c r="J94" s="963">
        <v>2039</v>
      </c>
      <c r="K94" s="652">
        <f t="shared" si="47"/>
        <v>5.3199999999999985</v>
      </c>
      <c r="AF94" s="963">
        <v>2039</v>
      </c>
      <c r="AG94" s="652">
        <f t="shared" si="45"/>
        <v>5.3199999999999985</v>
      </c>
    </row>
    <row r="95" spans="2:33" x14ac:dyDescent="0.2">
      <c r="J95" s="964">
        <v>2040</v>
      </c>
      <c r="K95" s="652">
        <f t="shared" si="47"/>
        <v>5.1999999999999984</v>
      </c>
      <c r="AF95" s="963">
        <v>2040</v>
      </c>
      <c r="AG95" s="652">
        <f t="shared" si="45"/>
        <v>5.1999999999999984</v>
      </c>
    </row>
    <row r="96" spans="2:33" x14ac:dyDescent="0.2">
      <c r="J96" s="963">
        <v>2041</v>
      </c>
      <c r="K96" s="652">
        <f t="shared" si="47"/>
        <v>5.0799999999999983</v>
      </c>
      <c r="AF96" s="963">
        <v>2041</v>
      </c>
      <c r="AG96" s="652">
        <f t="shared" si="45"/>
        <v>5.0799999999999983</v>
      </c>
    </row>
    <row r="97" spans="10:33" x14ac:dyDescent="0.2">
      <c r="J97" s="963">
        <v>2042</v>
      </c>
      <c r="K97" s="652">
        <f t="shared" si="47"/>
        <v>4.9599999999999982</v>
      </c>
      <c r="AF97" s="963">
        <v>2042</v>
      </c>
      <c r="AG97" s="652">
        <f t="shared" si="45"/>
        <v>4.9599999999999982</v>
      </c>
    </row>
    <row r="98" spans="10:33" x14ac:dyDescent="0.2">
      <c r="J98" s="963">
        <v>2043</v>
      </c>
      <c r="K98" s="652">
        <f t="shared" si="47"/>
        <v>4.8399999999999981</v>
      </c>
      <c r="AF98" s="963">
        <v>2043</v>
      </c>
      <c r="AG98" s="652">
        <f t="shared" si="45"/>
        <v>4.8399999999999981</v>
      </c>
    </row>
    <row r="99" spans="10:33" x14ac:dyDescent="0.2">
      <c r="J99" s="963">
        <v>2044</v>
      </c>
      <c r="K99" s="652">
        <f t="shared" si="47"/>
        <v>4.719999999999998</v>
      </c>
      <c r="AF99" s="963">
        <v>2044</v>
      </c>
      <c r="AG99" s="652">
        <f t="shared" si="45"/>
        <v>4.719999999999998</v>
      </c>
    </row>
    <row r="100" spans="10:33" x14ac:dyDescent="0.2">
      <c r="J100" s="964">
        <v>2045</v>
      </c>
      <c r="K100" s="652">
        <f t="shared" si="47"/>
        <v>4.5999999999999979</v>
      </c>
      <c r="AF100" s="963">
        <v>2045</v>
      </c>
      <c r="AG100" s="652">
        <f t="shared" si="45"/>
        <v>4.5999999999999979</v>
      </c>
    </row>
    <row r="101" spans="10:33" x14ac:dyDescent="0.2">
      <c r="J101" s="963">
        <v>2046</v>
      </c>
      <c r="K101" s="652">
        <f t="shared" si="47"/>
        <v>4.4799999999999978</v>
      </c>
      <c r="AF101" s="963">
        <v>2046</v>
      </c>
      <c r="AG101" s="652">
        <f t="shared" si="45"/>
        <v>4.4799999999999978</v>
      </c>
    </row>
    <row r="102" spans="10:33" x14ac:dyDescent="0.2">
      <c r="J102" s="963">
        <v>2047</v>
      </c>
      <c r="K102" s="652">
        <f t="shared" si="47"/>
        <v>4.3599999999999977</v>
      </c>
      <c r="AF102" s="963">
        <v>2047</v>
      </c>
      <c r="AG102" s="652">
        <f t="shared" si="45"/>
        <v>4.3599999999999977</v>
      </c>
    </row>
    <row r="103" spans="10:33" x14ac:dyDescent="0.2">
      <c r="J103" s="963">
        <v>2048</v>
      </c>
      <c r="K103" s="652">
        <f t="shared" si="47"/>
        <v>4.2399999999999975</v>
      </c>
      <c r="AF103" s="963">
        <v>2048</v>
      </c>
      <c r="AG103" s="652">
        <f t="shared" si="45"/>
        <v>4.2399999999999975</v>
      </c>
    </row>
    <row r="104" spans="10:33" x14ac:dyDescent="0.2">
      <c r="J104" s="963">
        <v>2049</v>
      </c>
      <c r="K104" s="652">
        <f t="shared" si="47"/>
        <v>4.1199999999999974</v>
      </c>
      <c r="AF104" s="963">
        <v>2049</v>
      </c>
      <c r="AG104" s="652">
        <f t="shared" si="45"/>
        <v>4.1199999999999974</v>
      </c>
    </row>
    <row r="105" spans="10:33" ht="15" thickBot="1" x14ac:dyDescent="0.25">
      <c r="J105" s="965">
        <v>2050</v>
      </c>
      <c r="K105" s="1506">
        <v>4</v>
      </c>
      <c r="AF105" s="1286">
        <v>2050</v>
      </c>
      <c r="AG105" s="653">
        <f t="shared" si="45"/>
        <v>4</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f>'Run Model'!C6</f>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tr">
        <f>'Run Model'!C7</f>
        <v>Moderate</v>
      </c>
      <c r="F4"/>
      <c r="G4"/>
      <c r="H4"/>
      <c r="N4" s="227" t="s">
        <v>126</v>
      </c>
      <c r="P4" s="1548">
        <v>44070.814513888887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44070.814525462964</v>
      </c>
      <c r="Q5" s="1535"/>
      <c r="R5" s="1535"/>
      <c r="S5" s="1535"/>
      <c r="T5" s="1535"/>
      <c r="U5" s="1536"/>
      <c r="V5" s="227" t="s">
        <v>15</v>
      </c>
      <c r="AI5" s="227"/>
      <c r="AJ5" s="227"/>
      <c r="AK5" s="227"/>
      <c r="AL5" s="227"/>
      <c r="AM5" s="227"/>
    </row>
    <row r="6" spans="2:64" x14ac:dyDescent="0.2">
      <c r="B6" s="1551" t="s">
        <v>68</v>
      </c>
      <c r="C6" s="1552"/>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2" t="s">
        <v>76</v>
      </c>
      <c r="K9" s="1523"/>
      <c r="L9" s="1543" t="s">
        <v>83</v>
      </c>
      <c r="M9" s="1544"/>
      <c r="N9" s="1549" t="s">
        <v>109</v>
      </c>
      <c r="O9" s="1549"/>
      <c r="P9" s="1549"/>
      <c r="Q9" s="1550"/>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5"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56" t="s">
        <v>117</v>
      </c>
      <c r="U21" s="1557"/>
      <c r="V21" s="1557"/>
      <c r="W21" s="1557"/>
      <c r="X21" s="1558"/>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231554.58773875586</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-224185.02017000638</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231554.58773875586</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-221467.38410057194</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231554.58773875586</v>
      </c>
      <c r="S26" s="278">
        <f t="shared" si="33"/>
        <v>38649.549005981295</v>
      </c>
      <c r="T26" s="289">
        <f t="shared" si="61"/>
        <v>-32129.5808057387</v>
      </c>
      <c r="U26" s="290">
        <f t="shared" si="62"/>
        <v>-32129.5808057387</v>
      </c>
      <c r="V26" s="290">
        <f t="shared" si="63"/>
        <v>-316088.63328449859</v>
      </c>
      <c r="W26" s="290">
        <f t="shared" si="64"/>
        <v>-225034.61953851327</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231554.58773875586</v>
      </c>
      <c r="S27" s="777">
        <f t="shared" si="33"/>
        <v>47646.016403140064</v>
      </c>
      <c r="T27" s="303">
        <f t="shared" si="61"/>
        <v>-39217.53930322067</v>
      </c>
      <c r="U27" s="304">
        <f t="shared" si="62"/>
        <v>-39217.53930322067</v>
      </c>
      <c r="V27" s="304">
        <f t="shared" si="63"/>
        <v>-223580.25608151252</v>
      </c>
      <c r="W27" s="304">
        <f t="shared" si="64"/>
        <v>-223126.11063883646</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231554.58773875586</v>
      </c>
      <c r="S28" s="745">
        <f t="shared" si="33"/>
        <v>63075.865131559083</v>
      </c>
      <c r="T28" s="736">
        <f t="shared" si="61"/>
        <v>-52143.771788460203</v>
      </c>
      <c r="U28" s="632">
        <f t="shared" si="62"/>
        <v>-52143.771788460203</v>
      </c>
      <c r="V28" s="632">
        <f t="shared" si="63"/>
        <v>-172350.3993329386</v>
      </c>
      <c r="W28" s="632">
        <f t="shared" si="64"/>
        <v>-220622.49439565698</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231554.58773875586</v>
      </c>
      <c r="S29" s="278">
        <f t="shared" si="33"/>
        <v>66527.610335728168</v>
      </c>
      <c r="T29" s="734">
        <f t="shared" si="61"/>
        <v>-55088.167661819505</v>
      </c>
      <c r="U29" s="290">
        <f t="shared" si="62"/>
        <v>-55088.167661819505</v>
      </c>
      <c r="V29" s="290">
        <f t="shared" si="63"/>
        <v>-145222.71296281923</v>
      </c>
      <c r="W29" s="290">
        <f t="shared" si="64"/>
        <v>-220115.14506484719</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231554.58773875586</v>
      </c>
      <c r="S30" s="278">
        <f t="shared" si="33"/>
        <v>66723.214973263486</v>
      </c>
      <c r="T30" s="734">
        <f t="shared" si="61"/>
        <v>-55460.891235352676</v>
      </c>
      <c r="U30" s="290">
        <f t="shared" si="62"/>
        <v>-55460.891235352676</v>
      </c>
      <c r="V30" s="290">
        <f t="shared" si="63"/>
        <v>-149321.64646490681</v>
      </c>
      <c r="W30" s="290">
        <f t="shared" si="64"/>
        <v>-220292.26400084505</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231554.58773875586</v>
      </c>
      <c r="S31" s="278">
        <f t="shared" si="33"/>
        <v>66124.310363758137</v>
      </c>
      <c r="T31" s="734">
        <f t="shared" si="61"/>
        <v>-55209.753369194499</v>
      </c>
      <c r="U31" s="290">
        <f t="shared" si="62"/>
        <v>-55209.753369194499</v>
      </c>
      <c r="V31" s="290">
        <f t="shared" si="63"/>
        <v>-155754.88663170638</v>
      </c>
      <c r="W31" s="290">
        <f t="shared" si="64"/>
        <v>-220640.03074419222</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231554.58773875586</v>
      </c>
      <c r="S32" s="780">
        <f t="shared" si="33"/>
        <v>46858.358645460277</v>
      </c>
      <c r="T32" s="737">
        <f t="shared" si="61"/>
        <v>-39264.273444815735</v>
      </c>
      <c r="U32" s="304">
        <f t="shared" si="62"/>
        <v>-39264.273444815735</v>
      </c>
      <c r="V32" s="304">
        <f t="shared" si="63"/>
        <v>-145114.32669211313</v>
      </c>
      <c r="W32" s="304">
        <f t="shared" si="64"/>
        <v>-223960.50253811132</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221906.47991630773</v>
      </c>
      <c r="S33" s="278">
        <f t="shared" si="33"/>
        <v>40385.092465463989</v>
      </c>
      <c r="T33" s="733">
        <f t="shared" si="61"/>
        <v>-33973.9500776778</v>
      </c>
      <c r="U33" s="276">
        <f t="shared" si="62"/>
        <v>-33973.9500776778</v>
      </c>
      <c r="V33" s="276">
        <f t="shared" si="63"/>
        <v>-143189.41850469643</v>
      </c>
      <c r="W33" s="276">
        <f t="shared" si="64"/>
        <v>-215495.33752852154</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212258.37209385951</v>
      </c>
      <c r="S34" s="278">
        <f t="shared" si="33"/>
        <v>47441.038429456799</v>
      </c>
      <c r="T34" s="734">
        <f t="shared" si="61"/>
        <v>-40062.823412361678</v>
      </c>
      <c r="U34" s="290">
        <f t="shared" si="62"/>
        <v>-40062.823412361678</v>
      </c>
      <c r="V34" s="290">
        <f t="shared" si="63"/>
        <v>-143341.23956384213</v>
      </c>
      <c r="W34" s="290">
        <f t="shared" si="64"/>
        <v>-204880.15707676439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202610.26427141138</v>
      </c>
      <c r="S35" s="278">
        <f t="shared" si="33"/>
        <v>58280.207939799562</v>
      </c>
      <c r="T35" s="734">
        <f t="shared" si="61"/>
        <v>-49163.637625308467</v>
      </c>
      <c r="U35" s="290">
        <f t="shared" si="62"/>
        <v>-49163.637625308467</v>
      </c>
      <c r="V35" s="290">
        <f t="shared" si="63"/>
        <v>-163282.71836080321</v>
      </c>
      <c r="W35" s="290">
        <f t="shared" si="64"/>
        <v>-193493.6939569203</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192962.15644896321</v>
      </c>
      <c r="S36" s="278">
        <f t="shared" si="33"/>
        <v>57257.038372427814</v>
      </c>
      <c r="T36" s="734">
        <f t="shared" si="61"/>
        <v>-48357.006454665243</v>
      </c>
      <c r="U36" s="290">
        <f t="shared" si="62"/>
        <v>-48357.006454665243</v>
      </c>
      <c r="V36" s="290">
        <f t="shared" si="63"/>
        <v>-163318.64067490277</v>
      </c>
      <c r="W36" s="290">
        <f t="shared" si="64"/>
        <v>-184062.12453120065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183314.04862651505</v>
      </c>
      <c r="S37" s="777">
        <f t="shared" si="33"/>
        <v>55271.206650039851</v>
      </c>
      <c r="T37" s="735">
        <f t="shared" si="61"/>
        <v>-46750.159698153388</v>
      </c>
      <c r="U37" s="619">
        <f t="shared" si="62"/>
        <v>-46750.159698153388</v>
      </c>
      <c r="V37" s="619">
        <f t="shared" si="63"/>
        <v>-167116.80295747856</v>
      </c>
      <c r="W37" s="619">
        <f t="shared" si="64"/>
        <v>-174793.00167462858</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1000000</v>
      </c>
      <c r="D38" s="818">
        <f t="shared" si="74"/>
        <v>1000000</v>
      </c>
      <c r="E38" s="818">
        <f t="shared" si="74"/>
        <v>1000000</v>
      </c>
      <c r="F38" s="818">
        <f t="shared" si="74"/>
        <v>1000000</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20090.990679903305</v>
      </c>
      <c r="S38" s="745">
        <f t="shared" si="33"/>
        <v>55562.02630307147</v>
      </c>
      <c r="T38" s="736">
        <f t="shared" si="61"/>
        <v>13.939256076902893</v>
      </c>
      <c r="U38" s="632">
        <f t="shared" si="62"/>
        <v>539.86582049966091</v>
      </c>
      <c r="V38" s="632">
        <f t="shared" si="63"/>
        <v>-4524.1856930187569</v>
      </c>
      <c r="W38" s="632">
        <f t="shared" si="64"/>
        <v>-11528.356317823416</v>
      </c>
      <c r="X38" s="633">
        <f t="shared" si="65"/>
        <v>-46999.391940991583</v>
      </c>
      <c r="Y38" s="634">
        <f ca="1">IF(AND(Y$22=TRUE,INDEX(CDRANGE_CLS1,MATCH($A38,$A$24:$A$67,0),MATCH(Y$20,$B$20:$G$20,0))&lt;$D$6/OPDAYS_Cls1),86,payback(C38,T38,disc_rate/12,85))</f>
        <v>86</v>
      </c>
      <c r="Z38" s="635">
        <f ca="1">IF(AND(Z$22=TRUE,INDEX(CDRANGE_CLS1,MATCH($A38,$A$24:$A$67,0),MATCH(Z$20,$B$20:$G$20,0))&lt;$D$6/OPDAYS_Cls1),86,payback(D38,U38,disc_rate/12,85))</f>
        <v>86</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v>
      </c>
      <c r="AO38" s="641">
        <f t="shared" si="67"/>
        <v>0</v>
      </c>
      <c r="AP38" s="641">
        <f t="shared" si="68"/>
        <v>0</v>
      </c>
      <c r="AQ38" s="641">
        <f t="shared" si="69"/>
        <v>0</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1000000</v>
      </c>
      <c r="D39" s="821">
        <f t="shared" si="74"/>
        <v>1000000</v>
      </c>
      <c r="E39" s="821">
        <f t="shared" si="74"/>
        <v>1000000</v>
      </c>
      <c r="F39" s="821">
        <f t="shared" si="74"/>
        <v>1000000</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18490.212351596812</v>
      </c>
      <c r="S39" s="278">
        <f t="shared" si="33"/>
        <v>56432.615605521547</v>
      </c>
      <c r="T39" s="734">
        <f t="shared" si="61"/>
        <v>105.08545860863705</v>
      </c>
      <c r="U39" s="290">
        <f t="shared" si="62"/>
        <v>634.52671421121158</v>
      </c>
      <c r="V39" s="290">
        <f t="shared" si="63"/>
        <v>-4455.4159239554083</v>
      </c>
      <c r="W39" s="290">
        <f t="shared" si="64"/>
        <v>-9963.9239453501032</v>
      </c>
      <c r="X39" s="291">
        <f t="shared" si="65"/>
        <v>-47906.327199274834</v>
      </c>
      <c r="Y39" s="293">
        <f ca="1">IF(AND(Y$22=TRUE,INDEX(CDRANGE_CLS1,MATCH($A39,$A$24:$A$67,0),MATCH(Y$20,$B$20:$G$20,0))&lt;$D$6/OPDAYS_Cls1),86,payback(C39,T39,disc_rate/12,85))</f>
        <v>86</v>
      </c>
      <c r="Z39" s="294">
        <f ca="1">IF(AND(Z$22=TRUE,INDEX(CDRANGE_CLS1,MATCH($A39,$A$24:$A$67,0),MATCH(Z$20,$B$20:$G$20,0))&lt;$D$6/OPDAYS_Cls1),86,payback(D39,U39,disc_rate/12,85))</f>
        <v>86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v>
      </c>
      <c r="AO39" s="300">
        <f t="shared" si="67"/>
        <v>0</v>
      </c>
      <c r="AP39" s="300">
        <f t="shared" si="68"/>
        <v>0</v>
      </c>
      <c r="AQ39" s="300">
        <f t="shared" si="69"/>
        <v>0</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1000000</v>
      </c>
      <c r="D40" s="821">
        <f t="shared" si="74"/>
        <v>1000000</v>
      </c>
      <c r="E40" s="821">
        <f t="shared" si="74"/>
        <v>1000000</v>
      </c>
      <c r="F40" s="821">
        <f t="shared" si="74"/>
        <v>1000000</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17057.779810173233</v>
      </c>
      <c r="S40" s="278">
        <f t="shared" si="33"/>
        <v>56756.679928920646</v>
      </c>
      <c r="T40" s="734">
        <f t="shared" si="61"/>
        <v>149.0969838171477</v>
      </c>
      <c r="U40" s="290">
        <f t="shared" si="62"/>
        <v>677.52894628951253</v>
      </c>
      <c r="V40" s="290">
        <f t="shared" si="63"/>
        <v>-4565.0401886195759</v>
      </c>
      <c r="W40" s="290">
        <f t="shared" si="64"/>
        <v>-8636.2486424637427</v>
      </c>
      <c r="X40" s="291">
        <f t="shared" si="65"/>
        <v>-48335.148761211152</v>
      </c>
      <c r="Y40" s="293">
        <f ca="1">IF(AND(Y$22=TRUE,INDEX(CDRANGE_CLS1,MATCH($A40,$A$24:$A$67,0),MATCH(Y$20,$B$20:$G$20,0))&lt;$D$6/OPDAYS_Cls1),86,payback(C40,T40,disc_rate/12,85))</f>
        <v>86</v>
      </c>
      <c r="Z40" s="294">
        <f ca="1">IF(AND(Z$22=TRUE,INDEX(CDRANGE_CLS1,MATCH($A40,$A$24:$A$67,0),MATCH(Z$20,$B$20:$G$20,0))&lt;$D$6/OPDAYS_Cls1),86,payback(D40,U40,disc_rate/12,85))</f>
        <v>86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v>
      </c>
      <c r="AO40" s="300">
        <f t="shared" si="67"/>
        <v>0</v>
      </c>
      <c r="AP40" s="300">
        <f t="shared" si="68"/>
        <v>0</v>
      </c>
      <c r="AQ40" s="300">
        <f t="shared" si="69"/>
        <v>0</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1000000</v>
      </c>
      <c r="D41" s="821">
        <f t="shared" si="74"/>
        <v>1000000</v>
      </c>
      <c r="E41" s="821">
        <f t="shared" si="74"/>
        <v>1000000</v>
      </c>
      <c r="F41" s="821">
        <f t="shared" si="74"/>
        <v>1000000</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15586.910038029206</v>
      </c>
      <c r="S41" s="278">
        <f t="shared" si="33"/>
        <v>57780.182285210867</v>
      </c>
      <c r="T41" s="734">
        <f t="shared" si="61"/>
        <v>202.20436532723033</v>
      </c>
      <c r="U41" s="290">
        <f t="shared" si="62"/>
        <v>734.45540183897265</v>
      </c>
      <c r="V41" s="290">
        <f t="shared" si="63"/>
        <v>-4539.642266846291</v>
      </c>
      <c r="W41" s="290">
        <f t="shared" si="64"/>
        <v>-7212.4071206647695</v>
      </c>
      <c r="X41" s="291">
        <f t="shared" si="65"/>
        <v>-49405.679367846431</v>
      </c>
      <c r="Y41" s="293">
        <f ca="1">IF(AND(Y$22=TRUE,INDEX(CDRANGE_CLS1,MATCH($A41,$A$24:$A$67,0),MATCH(Y$20,$B$20:$G$20,0))&lt;$D$6/OPDAYS_Cls1),86,payback(C41,T41,disc_rate/12,85))</f>
        <v>86</v>
      </c>
      <c r="Z41" s="294">
        <f ca="1">IF(AND(Z$22=TRUE,INDEX(CDRANGE_CLS1,MATCH($A41,$A$24:$A$67,0),MATCH(Z$20,$B$20:$G$20,0))&lt;$D$6/OPDAYS_Cls1),86,payback(D41,U41,disc_rate/12,85))</f>
        <v>86</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v>
      </c>
      <c r="AO41" s="300">
        <f t="shared" si="67"/>
        <v>0</v>
      </c>
      <c r="AP41" s="300">
        <f t="shared" si="68"/>
        <v>0</v>
      </c>
      <c r="AQ41" s="300">
        <f t="shared" si="69"/>
        <v>0</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5" thickBot="1" x14ac:dyDescent="0.25">
      <c r="A42" s="302">
        <v>2025</v>
      </c>
      <c r="B42" s="823">
        <f t="shared" si="74"/>
        <v>157278.04</v>
      </c>
      <c r="C42" s="824">
        <f t="shared" si="74"/>
        <v>1370.35</v>
      </c>
      <c r="D42" s="824">
        <f t="shared" si="74"/>
        <v>9327.48</v>
      </c>
      <c r="E42" s="824">
        <f t="shared" si="74"/>
        <v>548412.85</v>
      </c>
      <c r="F42" s="824">
        <f t="shared" si="74"/>
        <v>140076.37</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14188.659390629802</v>
      </c>
      <c r="S42" s="780">
        <f t="shared" si="33"/>
        <v>58124.644510813137</v>
      </c>
      <c r="T42" s="737">
        <f t="shared" si="61"/>
        <v>221.98830307200569</v>
      </c>
      <c r="U42" s="304">
        <f t="shared" si="62"/>
        <v>751.40013187036129</v>
      </c>
      <c r="V42" s="304">
        <f t="shared" si="63"/>
        <v>-4732.3552397766889</v>
      </c>
      <c r="W42" s="304">
        <f t="shared" si="64"/>
        <v>-5982.0302248594071</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0.11042833637250005</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126559.32</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13687.639051903427</v>
      </c>
      <c r="S43" s="278">
        <f t="shared" si="33"/>
        <v>59190.14940280679</v>
      </c>
      <c r="T43" s="733">
        <f t="shared" si="61"/>
        <v>157.9507723156612</v>
      </c>
      <c r="U43" s="276">
        <f t="shared" si="62"/>
        <v>692.25961761423787</v>
      </c>
      <c r="V43" s="276">
        <f t="shared" si="63"/>
        <v>-4859.0324149340986</v>
      </c>
      <c r="W43" s="276">
        <f t="shared" si="64"/>
        <v>-5573.2142223765777</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0.1734714759527326</v>
      </c>
      <c r="AR43" s="611">
        <f t="shared" si="70"/>
        <v>0</v>
      </c>
      <c r="AS43" s="282">
        <f t="shared" ca="1" si="46"/>
        <v>4.4690938134007409E-2</v>
      </c>
      <c r="AT43" s="283">
        <f t="shared" ca="1" si="47"/>
        <v>4.1295493531863924E-2</v>
      </c>
      <c r="AU43" s="283">
        <f t="shared" si="48"/>
        <v>0</v>
      </c>
      <c r="AV43" s="283">
        <f t="shared" ca="1" si="49"/>
        <v>0</v>
      </c>
      <c r="AW43" s="284">
        <f t="shared" ca="1" si="50"/>
        <v>0</v>
      </c>
      <c r="AX43" s="282">
        <f t="shared" ca="1" si="51"/>
        <v>4.4677619416676362E-2</v>
      </c>
      <c r="AY43" s="283">
        <f t="shared" ca="1" si="52"/>
        <v>4.0910750048632219E-2</v>
      </c>
      <c r="AZ43" s="283">
        <f t="shared" si="53"/>
        <v>0</v>
      </c>
      <c r="BA43" s="283">
        <f t="shared" ca="1" si="71"/>
        <v>0</v>
      </c>
      <c r="BB43" s="284">
        <f t="shared" ca="1" si="72"/>
        <v>0</v>
      </c>
      <c r="BC43" s="282">
        <f t="shared" ca="1" si="73"/>
        <v>0.95532238058332364</v>
      </c>
      <c r="BD43" s="283">
        <f t="shared" ca="1" si="56"/>
        <v>2.3321973408436631E-2</v>
      </c>
      <c r="BE43" s="283">
        <f t="shared" ca="1" si="57"/>
        <v>2.1355646008239727E-2</v>
      </c>
      <c r="BF43" s="283">
        <f t="shared" ca="1" si="58"/>
        <v>0</v>
      </c>
      <c r="BG43" s="283">
        <f t="shared" ca="1" si="59"/>
        <v>0</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109479.33</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13141.933272982218</v>
      </c>
      <c r="S44" s="278">
        <f t="shared" si="33"/>
        <v>59338.981322474989</v>
      </c>
      <c r="T44" s="734">
        <f t="shared" si="61"/>
        <v>142.03999956850657</v>
      </c>
      <c r="U44" s="290">
        <f t="shared" si="62"/>
        <v>671.47946223203053</v>
      </c>
      <c r="V44" s="290">
        <f t="shared" si="63"/>
        <v>-4929.8060838656502</v>
      </c>
      <c r="W44" s="290">
        <f t="shared" si="64"/>
        <v>-5234.050365308859</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0.27874489140954828</v>
      </c>
      <c r="AR44" s="598">
        <f t="shared" si="70"/>
        <v>0</v>
      </c>
      <c r="AS44" s="296">
        <f t="shared" ca="1" si="46"/>
        <v>0.10045649987984681</v>
      </c>
      <c r="AT44" s="297">
        <f t="shared" ca="1" si="47"/>
        <v>0.10045649987984681</v>
      </c>
      <c r="AU44" s="297">
        <f t="shared" si="48"/>
        <v>0</v>
      </c>
      <c r="AV44" s="297">
        <f t="shared" ca="1" si="49"/>
        <v>0</v>
      </c>
      <c r="AW44" s="298">
        <f t="shared" ca="1" si="50"/>
        <v>0</v>
      </c>
      <c r="AX44" s="296">
        <f t="shared" ca="1" si="51"/>
        <v>0.10041345325130829</v>
      </c>
      <c r="AY44" s="297">
        <f t="shared" ca="1" si="52"/>
        <v>9.956305033313588E-2</v>
      </c>
      <c r="AZ44" s="297">
        <f t="shared" si="53"/>
        <v>0</v>
      </c>
      <c r="BA44" s="297">
        <f t="shared" ca="1" si="71"/>
        <v>0</v>
      </c>
      <c r="BB44" s="298">
        <f t="shared" ca="1" si="72"/>
        <v>0</v>
      </c>
      <c r="BC44" s="296">
        <f t="shared" ca="1" si="73"/>
        <v>0.89958654674869165</v>
      </c>
      <c r="BD44" s="297">
        <f t="shared" ca="1" si="56"/>
        <v>5.0420231442815384E-2</v>
      </c>
      <c r="BE44" s="297">
        <f t="shared" ca="1" si="57"/>
        <v>4.9993221808492909E-2</v>
      </c>
      <c r="BF44" s="297">
        <f t="shared" ca="1" si="58"/>
        <v>0</v>
      </c>
      <c r="BG44" s="297">
        <f t="shared" ca="1" si="59"/>
        <v>0</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104645.13</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12626.322247111206</v>
      </c>
      <c r="S45" s="278">
        <f t="shared" si="33"/>
        <v>60249.100138335249</v>
      </c>
      <c r="T45" s="734">
        <f t="shared" si="61"/>
        <v>312.5433844268855</v>
      </c>
      <c r="U45" s="290">
        <f t="shared" si="62"/>
        <v>838.71837154768673</v>
      </c>
      <c r="V45" s="290">
        <f t="shared" si="63"/>
        <v>-4567.9940108579276</v>
      </c>
      <c r="W45" s="290">
        <f t="shared" si="64"/>
        <v>-4717.4562560589156</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0.31344731571217055</v>
      </c>
      <c r="AR45" s="598">
        <f t="shared" si="70"/>
        <v>0</v>
      </c>
      <c r="AS45" s="296">
        <f t="shared" ca="1" si="46"/>
        <v>0.26588892548350462</v>
      </c>
      <c r="AT45" s="297">
        <f t="shared" ca="1" si="47"/>
        <v>0.24765195347247992</v>
      </c>
      <c r="AU45" s="297">
        <f t="shared" si="48"/>
        <v>0</v>
      </c>
      <c r="AV45" s="297">
        <f t="shared" ca="1" si="49"/>
        <v>0</v>
      </c>
      <c r="AW45" s="298">
        <f t="shared" ca="1" si="50"/>
        <v>0</v>
      </c>
      <c r="AX45" s="296">
        <f t="shared" ca="1" si="51"/>
        <v>0.26575247528911466</v>
      </c>
      <c r="AY45" s="297">
        <f t="shared" ca="1" si="52"/>
        <v>0.24545745844193989</v>
      </c>
      <c r="AZ45" s="297">
        <f t="shared" si="53"/>
        <v>0</v>
      </c>
      <c r="BA45" s="297">
        <f t="shared" ca="1" si="71"/>
        <v>0</v>
      </c>
      <c r="BB45" s="298">
        <f t="shared" ca="1" si="72"/>
        <v>0</v>
      </c>
      <c r="BC45" s="296">
        <f t="shared" ca="1" si="73"/>
        <v>0.73424752471088528</v>
      </c>
      <c r="BD45" s="297">
        <f t="shared" ca="1" si="56"/>
        <v>0.13815141972465406</v>
      </c>
      <c r="BE45" s="297">
        <f t="shared" ca="1" si="57"/>
        <v>0.12760105556446061</v>
      </c>
      <c r="BF45" s="297">
        <f t="shared" ca="1" si="58"/>
        <v>0</v>
      </c>
      <c r="BG45" s="297">
        <f t="shared" ca="1" si="59"/>
        <v>0</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100981.23</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12195.974173034783</v>
      </c>
      <c r="S46" s="278">
        <f t="shared" si="33"/>
        <v>60811.258243652665</v>
      </c>
      <c r="T46" s="734">
        <f t="shared" si="61"/>
        <v>380.7572494692231</v>
      </c>
      <c r="U46" s="290">
        <f t="shared" si="62"/>
        <v>903.27981338159952</v>
      </c>
      <c r="V46" s="290">
        <f t="shared" si="63"/>
        <v>-4344.6041341532673</v>
      </c>
      <c r="W46" s="290">
        <f t="shared" si="64"/>
        <v>-4354.9884483218302</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0.34214691484258264</v>
      </c>
      <c r="AR46" s="598">
        <f t="shared" si="70"/>
        <v>0</v>
      </c>
      <c r="AS46" s="296">
        <f t="shared" ca="1" si="46"/>
        <v>0.49836364270351485</v>
      </c>
      <c r="AT46" s="297">
        <f t="shared" ca="1" si="47"/>
        <v>0.47116621307825446</v>
      </c>
      <c r="AU46" s="297">
        <f t="shared" si="48"/>
        <v>0</v>
      </c>
      <c r="AV46" s="297">
        <f t="shared" ca="1" si="49"/>
        <v>0</v>
      </c>
      <c r="AW46" s="298">
        <f t="shared" ca="1" si="50"/>
        <v>0</v>
      </c>
      <c r="AX46" s="296">
        <f t="shared" ca="1" si="51"/>
        <v>0.49807434252366911</v>
      </c>
      <c r="AY46" s="297">
        <f t="shared" ca="1" si="52"/>
        <v>0.46701381872347408</v>
      </c>
      <c r="AZ46" s="297">
        <f t="shared" si="53"/>
        <v>0</v>
      </c>
      <c r="BA46" s="297">
        <f t="shared" ca="1" si="71"/>
        <v>0</v>
      </c>
      <c r="BB46" s="298">
        <f t="shared" ca="1" si="72"/>
        <v>0</v>
      </c>
      <c r="BC46" s="296">
        <f t="shared" ca="1" si="73"/>
        <v>0.50192565747633089</v>
      </c>
      <c r="BD46" s="297">
        <f t="shared" ca="1" si="56"/>
        <v>0.25705221620354801</v>
      </c>
      <c r="BE46" s="297">
        <f t="shared" ca="1" si="57"/>
        <v>0.2410221263201211</v>
      </c>
      <c r="BF46" s="297">
        <f t="shared" ca="1" si="58"/>
        <v>0</v>
      </c>
      <c r="BG46" s="297">
        <f t="shared" ca="1" si="59"/>
        <v>0</v>
      </c>
      <c r="BH46" s="298">
        <f t="shared" ca="1" si="60"/>
        <v>0</v>
      </c>
    </row>
    <row r="47" spans="1:62" ht="15" thickBot="1" x14ac:dyDescent="0.25">
      <c r="A47" s="618">
        <v>2030</v>
      </c>
      <c r="B47" s="814">
        <f t="shared" si="76"/>
        <v>162980.88</v>
      </c>
      <c r="C47" s="815">
        <f t="shared" si="76"/>
        <v>2518.77</v>
      </c>
      <c r="D47" s="815">
        <f t="shared" si="76"/>
        <v>9183.25</v>
      </c>
      <c r="E47" s="815">
        <f t="shared" si="76"/>
        <v>323956.67</v>
      </c>
      <c r="F47" s="815">
        <f t="shared" si="76"/>
        <v>96807.21</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11753.180318519489</v>
      </c>
      <c r="S47" s="777">
        <f t="shared" si="33"/>
        <v>62079.470687577756</v>
      </c>
      <c r="T47" s="735">
        <f t="shared" si="61"/>
        <v>504.27141532865244</v>
      </c>
      <c r="U47" s="619">
        <f t="shared" si="62"/>
        <v>1027.9159313276314</v>
      </c>
      <c r="V47" s="619">
        <f t="shared" si="63"/>
        <v>-3973.9258014221205</v>
      </c>
      <c r="W47" s="619">
        <f t="shared" si="64"/>
        <v>-3860.3192134436422</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0.37529965342830673</v>
      </c>
      <c r="AR47" s="629">
        <f t="shared" si="70"/>
        <v>0</v>
      </c>
      <c r="AS47" s="624">
        <f t="shared" ca="1" si="46"/>
        <v>0.7310585786300049</v>
      </c>
      <c r="AT47" s="625">
        <f t="shared" ca="1" si="47"/>
        <v>0.70256958544885761</v>
      </c>
      <c r="AU47" s="625">
        <f t="shared" si="48"/>
        <v>0</v>
      </c>
      <c r="AV47" s="625">
        <f t="shared" ca="1" si="49"/>
        <v>0</v>
      </c>
      <c r="AW47" s="626">
        <f t="shared" ca="1" si="50"/>
        <v>0</v>
      </c>
      <c r="AX47" s="624">
        <f t="shared" ca="1" si="51"/>
        <v>0.73057372647749019</v>
      </c>
      <c r="AY47" s="625">
        <f t="shared" ca="1" si="52"/>
        <v>0.69640089839213715</v>
      </c>
      <c r="AZ47" s="625">
        <f t="shared" si="53"/>
        <v>0</v>
      </c>
      <c r="BA47" s="625">
        <f t="shared" ca="1" si="71"/>
        <v>0</v>
      </c>
      <c r="BB47" s="626">
        <f t="shared" ca="1" si="72"/>
        <v>0</v>
      </c>
      <c r="BC47" s="624">
        <f t="shared" ca="1" si="73"/>
        <v>0.2694262735225097</v>
      </c>
      <c r="BD47" s="625">
        <f t="shared" ca="1" si="56"/>
        <v>0.37403466082515002</v>
      </c>
      <c r="BE47" s="625">
        <f t="shared" ca="1" si="57"/>
        <v>0.35653906565234023</v>
      </c>
      <c r="BF47" s="625">
        <f t="shared" ca="1" si="58"/>
        <v>0</v>
      </c>
      <c r="BG47" s="625">
        <f t="shared" ca="1" si="59"/>
        <v>0</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93368.07</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11362.07644699921</v>
      </c>
      <c r="S48" s="745">
        <f t="shared" si="33"/>
        <v>62775.355854933419</v>
      </c>
      <c r="T48" s="736">
        <f t="shared" si="61"/>
        <v>594.22211931003676</v>
      </c>
      <c r="U48" s="632">
        <f t="shared" si="62"/>
        <v>1115.7518912997866</v>
      </c>
      <c r="V48" s="632">
        <f t="shared" si="63"/>
        <v>-3749.7948106438889</v>
      </c>
      <c r="W48" s="632">
        <f t="shared" si="64"/>
        <v>-3475.7018794932301</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0.40368054888224236</v>
      </c>
      <c r="AR48" s="642">
        <f t="shared" si="70"/>
        <v>0</v>
      </c>
      <c r="AS48" s="637">
        <f t="shared" ca="1" si="46"/>
        <v>0.88079707797788231</v>
      </c>
      <c r="AT48" s="638">
        <f t="shared" ca="1" si="47"/>
        <v>0.86018217360447413</v>
      </c>
      <c r="AU48" s="638">
        <f t="shared" si="48"/>
        <v>0</v>
      </c>
      <c r="AV48" s="638">
        <f t="shared" ca="1" si="49"/>
        <v>0</v>
      </c>
      <c r="AW48" s="639">
        <f t="shared" ca="1" si="50"/>
        <v>0</v>
      </c>
      <c r="AX48" s="637">
        <f t="shared" ca="1" si="51"/>
        <v>0.88014972844103112</v>
      </c>
      <c r="AY48" s="638">
        <f t="shared" ca="1" si="52"/>
        <v>0.85265440852244023</v>
      </c>
      <c r="AZ48" s="638">
        <f t="shared" si="53"/>
        <v>0</v>
      </c>
      <c r="BA48" s="638">
        <f t="shared" ca="1" si="71"/>
        <v>0</v>
      </c>
      <c r="BB48" s="639">
        <f t="shared" ca="1" si="72"/>
        <v>0</v>
      </c>
      <c r="BC48" s="637">
        <f t="shared" ca="1" si="73"/>
        <v>0.11985027155896888</v>
      </c>
      <c r="BD48" s="638">
        <f t="shared" ca="1" si="56"/>
        <v>0.4470577648968016</v>
      </c>
      <c r="BE48" s="638">
        <f t="shared" ca="1" si="57"/>
        <v>0.43309196354422946</v>
      </c>
      <c r="BF48" s="638">
        <f t="shared" ca="1" si="58"/>
        <v>0</v>
      </c>
      <c r="BG48" s="638">
        <f t="shared" ca="1" si="59"/>
        <v>0</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91213.68</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11042.561280909331</v>
      </c>
      <c r="S49" s="278">
        <f t="shared" si="33"/>
        <v>63230.70011359889</v>
      </c>
      <c r="T49" s="734">
        <f t="shared" si="61"/>
        <v>646.39545688396811</v>
      </c>
      <c r="U49" s="290">
        <f t="shared" si="62"/>
        <v>1166.7478329036958</v>
      </c>
      <c r="V49" s="290">
        <f t="shared" si="63"/>
        <v>-3618.0821568425117</v>
      </c>
      <c r="W49" s="290">
        <f t="shared" si="64"/>
        <v>-3159.8798249962701</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0.42190370090478302</v>
      </c>
      <c r="AR49" s="598">
        <f t="shared" si="70"/>
        <v>0</v>
      </c>
      <c r="AS49" s="296">
        <f t="shared" ca="1" si="46"/>
        <v>0.95257412682243336</v>
      </c>
      <c r="AT49" s="297">
        <f t="shared" ca="1" si="47"/>
        <v>0.93027929294524792</v>
      </c>
      <c r="AU49" s="297">
        <f t="shared" si="48"/>
        <v>0</v>
      </c>
      <c r="AV49" s="297">
        <f t="shared" ca="1" si="49"/>
        <v>0</v>
      </c>
      <c r="AW49" s="298">
        <f t="shared" ca="1" si="50"/>
        <v>0</v>
      </c>
      <c r="AX49" s="296">
        <f t="shared" ca="1" si="51"/>
        <v>0.95182969777070647</v>
      </c>
      <c r="AY49" s="297">
        <f t="shared" ca="1" si="52"/>
        <v>0.92215569700959388</v>
      </c>
      <c r="AZ49" s="297">
        <f t="shared" si="53"/>
        <v>0</v>
      </c>
      <c r="BA49" s="297">
        <f t="shared" ca="1" si="71"/>
        <v>0</v>
      </c>
      <c r="BB49" s="298">
        <f t="shared" ca="1" si="72"/>
        <v>0</v>
      </c>
      <c r="BC49" s="296">
        <f t="shared" ca="1" si="73"/>
        <v>4.8170302229293416E-2</v>
      </c>
      <c r="BD49" s="297">
        <f t="shared" ca="1" si="56"/>
        <v>0.48345081881734114</v>
      </c>
      <c r="BE49" s="297">
        <f t="shared" ca="1" si="57"/>
        <v>0.46837887895336539</v>
      </c>
      <c r="BF49" s="297">
        <f t="shared" ca="1" si="58"/>
        <v>0</v>
      </c>
      <c r="BG49" s="297">
        <f t="shared" ca="1" si="59"/>
        <v>0</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90086.69</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10775.652016481552</v>
      </c>
      <c r="S50" s="278">
        <f t="shared" si="33"/>
        <v>64248.016029827733</v>
      </c>
      <c r="T50" s="734">
        <f t="shared" si="61"/>
        <v>695.32230618313224</v>
      </c>
      <c r="U50" s="290">
        <f t="shared" si="62"/>
        <v>1221.434863094717</v>
      </c>
      <c r="V50" s="290">
        <f t="shared" si="63"/>
        <v>-3505.1487066664004</v>
      </c>
      <c r="W50" s="290">
        <f t="shared" si="64"/>
        <v>-2784.1350113398994</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0.43128205769086725</v>
      </c>
      <c r="AR50" s="598">
        <f t="shared" si="70"/>
        <v>0</v>
      </c>
      <c r="AS50" s="296">
        <f t="shared" ca="1" si="46"/>
        <v>0.98201379003790845</v>
      </c>
      <c r="AT50" s="297">
        <f t="shared" ca="1" si="47"/>
        <v>0.97086789425399456</v>
      </c>
      <c r="AU50" s="297">
        <f t="shared" si="48"/>
        <v>0</v>
      </c>
      <c r="AV50" s="297">
        <f t="shared" ca="1" si="49"/>
        <v>0</v>
      </c>
      <c r="AW50" s="298">
        <f t="shared" ca="1" si="50"/>
        <v>0</v>
      </c>
      <c r="AX50" s="296">
        <f t="shared" ca="1" si="51"/>
        <v>0.98122137105586138</v>
      </c>
      <c r="AY50" s="297">
        <f t="shared" ca="1" si="52"/>
        <v>0.96239325285135091</v>
      </c>
      <c r="AZ50" s="297">
        <f t="shared" si="53"/>
        <v>0</v>
      </c>
      <c r="BA50" s="297">
        <f t="shared" ca="1" si="71"/>
        <v>0</v>
      </c>
      <c r="BB50" s="298">
        <f t="shared" ca="1" si="72"/>
        <v>0</v>
      </c>
      <c r="BC50" s="296">
        <f t="shared" ca="1" si="73"/>
        <v>1.8778628944138731E-2</v>
      </c>
      <c r="BD50" s="297">
        <f t="shared" ca="1" si="56"/>
        <v>0.49536331285738877</v>
      </c>
      <c r="BE50" s="297">
        <f t="shared" ca="1" si="57"/>
        <v>0.48585805819847255</v>
      </c>
      <c r="BF50" s="297">
        <f t="shared" ca="1" si="58"/>
        <v>0</v>
      </c>
      <c r="BG50" s="297">
        <f t="shared" ca="1" si="59"/>
        <v>0</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89552.36</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10537.666338382527</v>
      </c>
      <c r="S51" s="278">
        <f t="shared" si="33"/>
        <v>64766.457315925356</v>
      </c>
      <c r="T51" s="734">
        <f t="shared" si="61"/>
        <v>709.95788685056414</v>
      </c>
      <c r="U51" s="290">
        <f t="shared" si="62"/>
        <v>1239.0736228501301</v>
      </c>
      <c r="V51" s="290">
        <f t="shared" si="63"/>
        <v>-3452.2684032069083</v>
      </c>
      <c r="W51" s="290">
        <f t="shared" si="64"/>
        <v>-2499.3448317309612</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0.43592686106830913</v>
      </c>
      <c r="AR51" s="598">
        <f t="shared" si="70"/>
        <v>0</v>
      </c>
      <c r="AS51" s="296">
        <f t="shared" ca="1" si="46"/>
        <v>0.99330714907571527</v>
      </c>
      <c r="AT51" s="297">
        <f t="shared" ca="1" si="47"/>
        <v>0.98203307321514388</v>
      </c>
      <c r="AU51" s="297">
        <f t="shared" si="48"/>
        <v>0</v>
      </c>
      <c r="AV51" s="297">
        <f t="shared" ca="1" si="49"/>
        <v>0</v>
      </c>
      <c r="AW51" s="298">
        <f t="shared" ca="1" si="50"/>
        <v>0</v>
      </c>
      <c r="AX51" s="296">
        <f t="shared" ca="1" si="51"/>
        <v>0.99249388864919819</v>
      </c>
      <c r="AY51" s="297">
        <f t="shared" ca="1" si="52"/>
        <v>0.97346664447513731</v>
      </c>
      <c r="AZ51" s="297">
        <f t="shared" si="53"/>
        <v>0</v>
      </c>
      <c r="BA51" s="297">
        <f t="shared" ca="1" si="71"/>
        <v>0</v>
      </c>
      <c r="BB51" s="298">
        <f t="shared" ca="1" si="72"/>
        <v>0</v>
      </c>
      <c r="BC51" s="296">
        <f t="shared" ca="1" si="73"/>
        <v>7.506111350801925E-3</v>
      </c>
      <c r="BD51" s="297">
        <f t="shared" ca="1" si="56"/>
        <v>0.50104979342619826</v>
      </c>
      <c r="BE51" s="297">
        <f t="shared" ca="1" si="57"/>
        <v>0.49144409522299987</v>
      </c>
      <c r="BF51" s="297">
        <f t="shared" ca="1" si="58"/>
        <v>0</v>
      </c>
      <c r="BG51" s="297">
        <f t="shared" ca="1" si="59"/>
        <v>0</v>
      </c>
      <c r="BH51" s="298">
        <f t="shared" ca="1" si="60"/>
        <v>0</v>
      </c>
    </row>
    <row r="52" spans="1:60" ht="15" thickBot="1" x14ac:dyDescent="0.25">
      <c r="A52" s="302">
        <v>2035</v>
      </c>
      <c r="B52" s="823">
        <f t="shared" si="76"/>
        <v>163848.29</v>
      </c>
      <c r="C52" s="824">
        <f t="shared" si="76"/>
        <v>2830.19</v>
      </c>
      <c r="D52" s="824">
        <f t="shared" si="76"/>
        <v>9200.19</v>
      </c>
      <c r="E52" s="824">
        <f t="shared" si="76"/>
        <v>241847.19</v>
      </c>
      <c r="F52" s="824">
        <f t="shared" si="76"/>
        <v>89121.19</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10305.247675267998</v>
      </c>
      <c r="S52" s="780">
        <f t="shared" si="33"/>
        <v>65346.763002636719</v>
      </c>
      <c r="T52" s="737">
        <f t="shared" si="61"/>
        <v>726.4882508378887</v>
      </c>
      <c r="U52" s="304">
        <f t="shared" si="62"/>
        <v>1259.3363788299976</v>
      </c>
      <c r="V52" s="304">
        <f t="shared" si="63"/>
        <v>-3260.7909866545588</v>
      </c>
      <c r="W52" s="304">
        <f t="shared" si="64"/>
        <v>-2206.3350428596759</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0.43963169613348974</v>
      </c>
      <c r="AR52" s="599">
        <f t="shared" si="70"/>
        <v>0</v>
      </c>
      <c r="AS52" s="310">
        <f t="shared" ca="1" si="46"/>
        <v>0.99752737684336534</v>
      </c>
      <c r="AT52" s="311">
        <f t="shared" ca="1" si="47"/>
        <v>0.98620540122888034</v>
      </c>
      <c r="AU52" s="311">
        <f t="shared" si="48"/>
        <v>0</v>
      </c>
      <c r="AV52" s="311">
        <f t="shared" ca="1" si="49"/>
        <v>0</v>
      </c>
      <c r="AW52" s="312">
        <f t="shared" ca="1" si="50"/>
        <v>0</v>
      </c>
      <c r="AX52" s="310">
        <f t="shared" ca="1" si="51"/>
        <v>0.99670097795666968</v>
      </c>
      <c r="AY52" s="311">
        <f t="shared" ca="1" si="52"/>
        <v>0.9776058805624156</v>
      </c>
      <c r="AZ52" s="311">
        <f t="shared" si="53"/>
        <v>0</v>
      </c>
      <c r="BA52" s="311">
        <f t="shared" ca="1" si="71"/>
        <v>0</v>
      </c>
      <c r="BB52" s="312">
        <f t="shared" ca="1" si="72"/>
        <v>0</v>
      </c>
      <c r="BC52" s="310">
        <f t="shared" ca="1" si="73"/>
        <v>3.2990220433302131E-3</v>
      </c>
      <c r="BD52" s="311">
        <f t="shared" ca="1" si="56"/>
        <v>0.50317043430874486</v>
      </c>
      <c r="BE52" s="311">
        <f t="shared" ca="1" si="57"/>
        <v>0.49353054364792487</v>
      </c>
      <c r="BF52" s="311">
        <f t="shared" ca="1" si="58"/>
        <v>0</v>
      </c>
      <c r="BG52" s="311">
        <f t="shared" ca="1" si="59"/>
        <v>0</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86768.04</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9928.0103621173021</v>
      </c>
      <c r="S53" s="278">
        <f t="shared" si="33"/>
        <v>66010.247693622412</v>
      </c>
      <c r="T53" s="733">
        <f t="shared" si="61"/>
        <v>786.12839326074754</v>
      </c>
      <c r="U53" s="276">
        <f t="shared" si="62"/>
        <v>1353.8122984401489</v>
      </c>
      <c r="V53" s="276">
        <f t="shared" si="63"/>
        <v>-2943.0472356227847</v>
      </c>
      <c r="W53" s="276">
        <f t="shared" si="64"/>
        <v>-1761.1894761063058</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0.45886811197798072</v>
      </c>
      <c r="AR53" s="611">
        <f t="shared" si="70"/>
        <v>0</v>
      </c>
      <c r="AS53" s="282">
        <f t="shared" ca="1" si="46"/>
        <v>0.9990889488055994</v>
      </c>
      <c r="AT53" s="283">
        <f t="shared" ca="1" si="47"/>
        <v>0.98774924928690178</v>
      </c>
      <c r="AU53" s="283">
        <f t="shared" si="48"/>
        <v>0</v>
      </c>
      <c r="AV53" s="283">
        <f t="shared" ca="1" si="49"/>
        <v>0</v>
      </c>
      <c r="AW53" s="284">
        <f t="shared" ca="1" si="50"/>
        <v>0</v>
      </c>
      <c r="AX53" s="282">
        <f t="shared" ca="1" si="51"/>
        <v>0.99814639874365318</v>
      </c>
      <c r="AY53" s="283">
        <f t="shared" ca="1" si="52"/>
        <v>0.97893701937129773</v>
      </c>
      <c r="AZ53" s="283">
        <f t="shared" si="53"/>
        <v>0</v>
      </c>
      <c r="BA53" s="283">
        <f t="shared" ca="1" si="71"/>
        <v>0</v>
      </c>
      <c r="BB53" s="284">
        <f t="shared" ca="1" si="72"/>
        <v>0</v>
      </c>
      <c r="BC53" s="282">
        <f t="shared" ca="1" si="73"/>
        <v>1.8536012563468152E-3</v>
      </c>
      <c r="BD53" s="283">
        <f t="shared" ca="1" si="56"/>
        <v>0.50392220388699727</v>
      </c>
      <c r="BE53" s="283">
        <f t="shared" ca="1" si="57"/>
        <v>0.49422419485665586</v>
      </c>
      <c r="BF53" s="283">
        <f t="shared" ca="1" si="58"/>
        <v>0</v>
      </c>
      <c r="BG53" s="283">
        <f t="shared" ca="1" si="59"/>
        <v>0</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85333.23</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9622.8997733138076</v>
      </c>
      <c r="S54" s="278">
        <f t="shared" si="33"/>
        <v>66458.789198817292</v>
      </c>
      <c r="T54" s="734">
        <f t="shared" si="61"/>
        <v>819.64025157392553</v>
      </c>
      <c r="U54" s="290">
        <f t="shared" si="62"/>
        <v>1408.5232490539493</v>
      </c>
      <c r="V54" s="290">
        <f t="shared" si="63"/>
        <v>-2740.243853724638</v>
      </c>
      <c r="W54" s="290">
        <f t="shared" si="64"/>
        <v>-1412.7061870720718</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0.47074328543303257</v>
      </c>
      <c r="AR54" s="598">
        <f t="shared" si="70"/>
        <v>0</v>
      </c>
      <c r="AS54" s="296">
        <f t="shared" ca="1" si="46"/>
        <v>0.99966464986953363</v>
      </c>
      <c r="AT54" s="297">
        <f t="shared" ca="1" si="47"/>
        <v>0.99639303278182911</v>
      </c>
      <c r="AU54" s="297">
        <f t="shared" si="48"/>
        <v>0</v>
      </c>
      <c r="AV54" s="297">
        <f t="shared" ca="1" si="49"/>
        <v>0</v>
      </c>
      <c r="AW54" s="298">
        <f t="shared" ca="1" si="50"/>
        <v>0</v>
      </c>
      <c r="AX54" s="296">
        <f t="shared" ca="1" si="51"/>
        <v>0.99864782483208003</v>
      </c>
      <c r="AY54" s="297">
        <f t="shared" ca="1" si="52"/>
        <v>0.98738000932476488</v>
      </c>
      <c r="AZ54" s="297">
        <f t="shared" si="53"/>
        <v>0</v>
      </c>
      <c r="BA54" s="297">
        <f t="shared" ca="1" si="71"/>
        <v>0</v>
      </c>
      <c r="BB54" s="298">
        <f t="shared" ca="1" si="72"/>
        <v>0</v>
      </c>
      <c r="BC54" s="296">
        <f t="shared" ca="1" si="73"/>
        <v>1.3521751679198557E-3</v>
      </c>
      <c r="BD54" s="297">
        <f t="shared" ca="1" si="56"/>
        <v>0.50215684840350738</v>
      </c>
      <c r="BE54" s="297">
        <f t="shared" ca="1" si="57"/>
        <v>0.49649097642857276</v>
      </c>
      <c r="BF54" s="297">
        <f t="shared" ca="1" si="58"/>
        <v>0</v>
      </c>
      <c r="BG54" s="297">
        <f t="shared" ca="1" si="59"/>
        <v>0</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9274.2105209744241</v>
      </c>
      <c r="S55" s="278">
        <f t="shared" si="33"/>
        <v>67020.437162363218</v>
      </c>
      <c r="T55" s="734">
        <f t="shared" si="61"/>
        <v>882.60753576602383</v>
      </c>
      <c r="U55" s="290">
        <f t="shared" si="62"/>
        <v>1502.5214819061684</v>
      </c>
      <c r="V55" s="290">
        <f t="shared" si="63"/>
        <v>-2442.178247835096</v>
      </c>
      <c r="W55" s="290">
        <f t="shared" si="64"/>
        <v>-1000.6812606300991</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86</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0</v>
      </c>
      <c r="AW55" s="298">
        <f t="shared" ca="1" si="50"/>
        <v>0</v>
      </c>
      <c r="AX55" s="296">
        <f t="shared" ca="1" si="51"/>
        <v>0.99873982485860746</v>
      </c>
      <c r="AY55" s="297">
        <f t="shared" ca="1" si="52"/>
        <v>0.98739604149759086</v>
      </c>
      <c r="AZ55" s="297">
        <f t="shared" si="53"/>
        <v>0</v>
      </c>
      <c r="BA55" s="297">
        <f t="shared" ca="1" si="71"/>
        <v>0</v>
      </c>
      <c r="BB55" s="298">
        <f t="shared" ca="1" si="72"/>
        <v>0</v>
      </c>
      <c r="BC55" s="296">
        <f t="shared" ca="1" si="73"/>
        <v>1.2601751413925388E-3</v>
      </c>
      <c r="BD55" s="297">
        <f t="shared" ca="1" si="56"/>
        <v>0.5022220557290471</v>
      </c>
      <c r="BE55" s="297">
        <f t="shared" ca="1" si="57"/>
        <v>0.49651776912956036</v>
      </c>
      <c r="BF55" s="297">
        <f t="shared" ca="1" si="58"/>
        <v>0</v>
      </c>
      <c r="BG55" s="297">
        <f t="shared" ca="1" si="59"/>
        <v>0</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8871.0943827240171</v>
      </c>
      <c r="S56" s="278">
        <f t="shared" si="33"/>
        <v>67596.226670143194</v>
      </c>
      <c r="T56" s="734">
        <f t="shared" si="61"/>
        <v>978.16808095216584</v>
      </c>
      <c r="U56" s="290">
        <f t="shared" si="62"/>
        <v>1640.4209950240192</v>
      </c>
      <c r="V56" s="290">
        <f t="shared" si="63"/>
        <v>-1969.06965907829</v>
      </c>
      <c r="W56" s="290">
        <f t="shared" si="64"/>
        <v>-530.1721974506363</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86</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0</v>
      </c>
      <c r="AW56" s="298">
        <f t="shared" ca="1" si="50"/>
        <v>0</v>
      </c>
      <c r="AX56" s="296">
        <f t="shared" ca="1" si="51"/>
        <v>0.99862639562334199</v>
      </c>
      <c r="AY56" s="297">
        <f t="shared" ca="1" si="52"/>
        <v>0.99042175137102118</v>
      </c>
      <c r="AZ56" s="297">
        <f t="shared" si="53"/>
        <v>0</v>
      </c>
      <c r="BA56" s="297">
        <f t="shared" ca="1" si="71"/>
        <v>0</v>
      </c>
      <c r="BB56" s="298">
        <f t="shared" ca="1" si="72"/>
        <v>0</v>
      </c>
      <c r="BC56" s="296">
        <f t="shared" ca="1" si="73"/>
        <v>1.3736043766581219E-3</v>
      </c>
      <c r="BD56" s="297">
        <f t="shared" ca="1" si="56"/>
        <v>0.50137281972918157</v>
      </c>
      <c r="BE56" s="297">
        <f t="shared" ca="1" si="57"/>
        <v>0.49725357589416036</v>
      </c>
      <c r="BF56" s="297">
        <f t="shared" ca="1" si="58"/>
        <v>0</v>
      </c>
      <c r="BG56" s="297">
        <f t="shared" ca="1" si="59"/>
        <v>0</v>
      </c>
      <c r="BH56" s="298">
        <f t="shared" ca="1" si="60"/>
        <v>0</v>
      </c>
    </row>
    <row r="57" spans="1:60" ht="1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8410.1902439236819</v>
      </c>
      <c r="S57" s="777">
        <f t="shared" si="33"/>
        <v>67599.230550625085</v>
      </c>
      <c r="T57" s="735">
        <f t="shared" si="61"/>
        <v>1104.1087989244206</v>
      </c>
      <c r="U57" s="619">
        <f t="shared" si="62"/>
        <v>1814.5350830085217</v>
      </c>
      <c r="V57" s="619">
        <f t="shared" si="63"/>
        <v>-1359.5788060501181</v>
      </c>
      <c r="W57" s="619">
        <f t="shared" si="64"/>
        <v>-69.067792046114846</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86</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0</v>
      </c>
      <c r="AW57" s="626">
        <f t="shared" ca="1" si="50"/>
        <v>0</v>
      </c>
      <c r="AX57" s="624">
        <f t="shared" ca="1" si="51"/>
        <v>0.99835857373303483</v>
      </c>
      <c r="AY57" s="625">
        <f t="shared" ca="1" si="52"/>
        <v>0.99002644408187312</v>
      </c>
      <c r="AZ57" s="625">
        <f t="shared" si="53"/>
        <v>0</v>
      </c>
      <c r="BA57" s="625">
        <f t="shared" ca="1" si="71"/>
        <v>0</v>
      </c>
      <c r="BB57" s="626">
        <f t="shared" ca="1" si="72"/>
        <v>0</v>
      </c>
      <c r="BC57" s="624">
        <f t="shared" ca="1" si="73"/>
        <v>1.6414262669651736E-3</v>
      </c>
      <c r="BD57" s="625">
        <f t="shared" ca="1" si="56"/>
        <v>0.50127104801945399</v>
      </c>
      <c r="BE57" s="625">
        <f t="shared" ca="1" si="57"/>
        <v>0.49708752571358084</v>
      </c>
      <c r="BF57" s="625">
        <f t="shared" ca="1" si="58"/>
        <v>0</v>
      </c>
      <c r="BG57" s="625">
        <f t="shared" ca="1" si="59"/>
        <v>0</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7903.6525614555658</v>
      </c>
      <c r="S58" s="745">
        <f t="shared" si="33"/>
        <v>68031.447519132271</v>
      </c>
      <c r="T58" s="736">
        <f t="shared" si="61"/>
        <v>1271.4325653450169</v>
      </c>
      <c r="U58" s="632">
        <f t="shared" si="62"/>
        <v>2043.1393405969593</v>
      </c>
      <c r="V58" s="632">
        <f t="shared" si="63"/>
        <v>-489.47538409336448</v>
      </c>
      <c r="W58" s="632">
        <f t="shared" si="64"/>
        <v>490.76998789230038</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86</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v>
      </c>
      <c r="AW58" s="639">
        <f t="shared" ca="1" si="50"/>
        <v>0</v>
      </c>
      <c r="AX58" s="637">
        <f t="shared" ca="1" si="51"/>
        <v>0.99793417436252296</v>
      </c>
      <c r="AY58" s="638">
        <f t="shared" ca="1" si="52"/>
        <v>0.98946614106282238</v>
      </c>
      <c r="AZ58" s="638">
        <f t="shared" si="53"/>
        <v>0</v>
      </c>
      <c r="BA58" s="638">
        <f t="shared" ca="1" si="71"/>
        <v>0</v>
      </c>
      <c r="BB58" s="639">
        <f t="shared" ca="1" si="72"/>
        <v>0</v>
      </c>
      <c r="BC58" s="637">
        <f t="shared" ca="1" si="73"/>
        <v>2.0658256374770367E-3</v>
      </c>
      <c r="BD58" s="638">
        <f t="shared" ca="1" si="56"/>
        <v>0.50109311578099092</v>
      </c>
      <c r="BE58" s="638">
        <f t="shared" ca="1" si="57"/>
        <v>0.49684105858153205</v>
      </c>
      <c r="BF58" s="638">
        <f t="shared" ca="1" si="58"/>
        <v>0</v>
      </c>
      <c r="BG58" s="638">
        <f t="shared" ca="1" si="59"/>
        <v>0</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7382.1874502746832</v>
      </c>
      <c r="S59" s="278">
        <f t="shared" si="33"/>
        <v>69026.68750337149</v>
      </c>
      <c r="T59" s="734">
        <f t="shared" si="61"/>
        <v>1474.8280259969697</v>
      </c>
      <c r="U59" s="290">
        <f t="shared" si="62"/>
        <v>2317.2873211059532</v>
      </c>
      <c r="V59" s="290">
        <f t="shared" si="63"/>
        <v>619.22140316569403</v>
      </c>
      <c r="W59" s="290">
        <f t="shared" si="64"/>
        <v>1135.0151966345165</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67</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4.6980719684805664E-3</v>
      </c>
      <c r="AW59" s="298">
        <f t="shared" ca="1" si="50"/>
        <v>0</v>
      </c>
      <c r="AX59" s="296">
        <f t="shared" ca="1" si="51"/>
        <v>0.99735230256846985</v>
      </c>
      <c r="AY59" s="297">
        <f t="shared" ca="1" si="52"/>
        <v>0.98876893277107902</v>
      </c>
      <c r="AZ59" s="297">
        <f t="shared" si="53"/>
        <v>0</v>
      </c>
      <c r="BA59" s="297">
        <f t="shared" ca="1" si="71"/>
        <v>3.1757625420109417E-3</v>
      </c>
      <c r="BB59" s="298">
        <f t="shared" ca="1" si="72"/>
        <v>0</v>
      </c>
      <c r="BC59" s="296">
        <f t="shared" ca="1" si="73"/>
        <v>2.6476974315300383E-3</v>
      </c>
      <c r="BD59" s="297">
        <f t="shared" ca="1" si="56"/>
        <v>0.50003172804157248</v>
      </c>
      <c r="BE59" s="297">
        <f t="shared" ca="1" si="57"/>
        <v>0.49572837683743315</v>
      </c>
      <c r="BF59" s="297">
        <f t="shared" ca="1" si="58"/>
        <v>0</v>
      </c>
      <c r="BG59" s="297">
        <f t="shared" ca="1" si="59"/>
        <v>1.5921976894643108E-3</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6886.0967849489498</v>
      </c>
      <c r="S60" s="278">
        <f t="shared" si="33"/>
        <v>69445.332629115335</v>
      </c>
      <c r="T60" s="734">
        <f t="shared" si="61"/>
        <v>1671.2270881193026</v>
      </c>
      <c r="U60" s="290">
        <f t="shared" si="62"/>
        <v>2572.8931709167036</v>
      </c>
      <c r="V60" s="290">
        <f t="shared" si="63"/>
        <v>1750.0911264747483</v>
      </c>
      <c r="W60" s="290">
        <f t="shared" si="64"/>
        <v>1682.7446062577528</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36</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0.22440527186493558</v>
      </c>
      <c r="AW60" s="298">
        <f t="shared" ca="1" si="50"/>
        <v>0</v>
      </c>
      <c r="AX60" s="296">
        <f t="shared" ca="1" si="51"/>
        <v>0.99665128194517638</v>
      </c>
      <c r="AY60" s="297">
        <f t="shared" ca="1" si="52"/>
        <v>0.98800094046602982</v>
      </c>
      <c r="AZ60" s="297">
        <f t="shared" si="53"/>
        <v>0</v>
      </c>
      <c r="BA60" s="297">
        <f t="shared" ca="1" si="71"/>
        <v>0.16654964839449485</v>
      </c>
      <c r="BB60" s="298">
        <f t="shared" ca="1" si="72"/>
        <v>0</v>
      </c>
      <c r="BC60" s="296">
        <f t="shared" ca="1" si="73"/>
        <v>3.3487180548236184E-3</v>
      </c>
      <c r="BD60" s="297">
        <f t="shared" ca="1" si="56"/>
        <v>0.4617482865199129</v>
      </c>
      <c r="BE60" s="297">
        <f t="shared" ca="1" si="57"/>
        <v>0.45774058550335239</v>
      </c>
      <c r="BF60" s="297">
        <f t="shared" ca="1" si="58"/>
        <v>0</v>
      </c>
      <c r="BG60" s="297">
        <f t="shared" ca="1" si="59"/>
        <v>7.716240992191116E-2</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6447.9791873397689</v>
      </c>
      <c r="S61" s="278">
        <f t="shared" si="33"/>
        <v>69988.498959041332</v>
      </c>
      <c r="T61" s="734">
        <f t="shared" si="61"/>
        <v>1853.1406908231411</v>
      </c>
      <c r="U61" s="290">
        <f t="shared" si="62"/>
        <v>2805.4514506478854</v>
      </c>
      <c r="V61" s="290">
        <f t="shared" si="63"/>
        <v>2812.917557235085</v>
      </c>
      <c r="W61" s="290">
        <f t="shared" si="64"/>
        <v>2187.8634085337535</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23</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0.58417108059033218</v>
      </c>
      <c r="AW61" s="298">
        <f t="shared" ca="1" si="50"/>
        <v>0</v>
      </c>
      <c r="AX61" s="296">
        <f t="shared" ca="1" si="51"/>
        <v>0.99591587657318459</v>
      </c>
      <c r="AY61" s="297">
        <f t="shared" ca="1" si="52"/>
        <v>0.98725469344536887</v>
      </c>
      <c r="AZ61" s="297">
        <f t="shared" si="53"/>
        <v>0</v>
      </c>
      <c r="BA61" s="297">
        <f t="shared" ca="1" si="71"/>
        <v>0.46794082029622736</v>
      </c>
      <c r="BB61" s="298">
        <f t="shared" ca="1" si="72"/>
        <v>0</v>
      </c>
      <c r="BC61" s="296">
        <f t="shared" ca="1" si="73"/>
        <v>4.0841234268154114E-3</v>
      </c>
      <c r="BD61" s="297">
        <f t="shared" ca="1" si="56"/>
        <v>0.40465253318542893</v>
      </c>
      <c r="BE61" s="297">
        <f t="shared" ca="1" si="57"/>
        <v>0.40113339088084704</v>
      </c>
      <c r="BF61" s="297">
        <f t="shared" ca="1" si="58"/>
        <v>0</v>
      </c>
      <c r="BG61" s="297">
        <f t="shared" ca="1" si="59"/>
        <v>0.19012995250690873</v>
      </c>
      <c r="BH61" s="298">
        <f t="shared" ca="1" si="60"/>
        <v>0</v>
      </c>
    </row>
    <row r="62" spans="1:60" ht="1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6080.9918462450541</v>
      </c>
      <c r="S62" s="780">
        <f t="shared" si="33"/>
        <v>70949.66302667628</v>
      </c>
      <c r="T62" s="737">
        <f t="shared" si="61"/>
        <v>2015.8519830796877</v>
      </c>
      <c r="U62" s="304">
        <f t="shared" si="62"/>
        <v>3013.2432000453309</v>
      </c>
      <c r="V62" s="304">
        <f t="shared" si="63"/>
        <v>3743.9356038853002</v>
      </c>
      <c r="W62" s="304">
        <f t="shared" si="64"/>
        <v>2673.4366570951361</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16</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0.8131553697681857</v>
      </c>
      <c r="AW62" s="312">
        <f t="shared" ca="1" si="50"/>
        <v>0</v>
      </c>
      <c r="AX62" s="310">
        <f t="shared" ca="1" si="51"/>
        <v>0.99524294894353793</v>
      </c>
      <c r="AY62" s="311">
        <f t="shared" ca="1" si="52"/>
        <v>0.98661158716715347</v>
      </c>
      <c r="AZ62" s="311">
        <f t="shared" si="53"/>
        <v>0</v>
      </c>
      <c r="BA62" s="311">
        <f t="shared" ca="1" si="71"/>
        <v>0.68840981928601919</v>
      </c>
      <c r="BB62" s="312">
        <f t="shared" ca="1" si="72"/>
        <v>0</v>
      </c>
      <c r="BC62" s="310">
        <f t="shared" ca="1" si="73"/>
        <v>4.7570510564620694E-3</v>
      </c>
      <c r="BD62" s="311">
        <f t="shared" ca="1" si="56"/>
        <v>0.37094024994940017</v>
      </c>
      <c r="BE62" s="311">
        <f t="shared" ca="1" si="57"/>
        <v>0.36772322691182485</v>
      </c>
      <c r="BF62" s="311">
        <f t="shared" ca="1" si="58"/>
        <v>0</v>
      </c>
      <c r="BG62" s="311">
        <f t="shared" ca="1" si="59"/>
        <v>0.25657947208231296</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5780.2531301658828</v>
      </c>
      <c r="S63" s="745">
        <f t="shared" si="33"/>
        <v>70992.020331022824</v>
      </c>
      <c r="T63" s="733">
        <f t="shared" si="61"/>
        <v>2117.9375573932002</v>
      </c>
      <c r="U63" s="276">
        <f t="shared" si="62"/>
        <v>3137.5454419421103</v>
      </c>
      <c r="V63" s="276">
        <f t="shared" si="63"/>
        <v>4321.1619308259797</v>
      </c>
      <c r="W63" s="276">
        <f t="shared" si="64"/>
        <v>2979.3994091197028</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13</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0.89687213711961367</v>
      </c>
      <c r="AW63" s="284">
        <f t="shared" ca="1" si="50"/>
        <v>0</v>
      </c>
      <c r="AX63" s="282">
        <f t="shared" ca="1" si="51"/>
        <v>0.9946967744555808</v>
      </c>
      <c r="AY63" s="283">
        <f t="shared" ca="1" si="52"/>
        <v>0.98611182415834275</v>
      </c>
      <c r="AZ63" s="283">
        <f t="shared" si="53"/>
        <v>0</v>
      </c>
      <c r="BA63" s="283">
        <f t="shared" ca="1" si="71"/>
        <v>0.78773038026877074</v>
      </c>
      <c r="BB63" s="284">
        <f t="shared" ca="1" si="72"/>
        <v>0</v>
      </c>
      <c r="BC63" s="282">
        <f t="shared" ca="1" si="73"/>
        <v>5.3032255444191989E-3</v>
      </c>
      <c r="BD63" s="283">
        <f t="shared" ca="1" si="56"/>
        <v>0.35738043807916325</v>
      </c>
      <c r="BE63" s="283">
        <f t="shared" ca="1" si="57"/>
        <v>0.35429598724258143</v>
      </c>
      <c r="BF63" s="283">
        <f t="shared" ca="1" si="58"/>
        <v>0</v>
      </c>
      <c r="BG63" s="283">
        <f t="shared" ca="1" si="59"/>
        <v>0.28302034913383617</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5531.7295581093367</v>
      </c>
      <c r="S64" s="278">
        <f t="shared" si="33"/>
        <v>71654.818790691512</v>
      </c>
      <c r="T64" s="734">
        <f t="shared" si="61"/>
        <v>2207.7766599827146</v>
      </c>
      <c r="U64" s="290">
        <f t="shared" si="62"/>
        <v>3250.9960882821597</v>
      </c>
      <c r="V64" s="290">
        <f t="shared" si="63"/>
        <v>4743.4267893063043</v>
      </c>
      <c r="W64" s="290">
        <f t="shared" si="64"/>
        <v>3309.7066635580904</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11</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0.94233241180480543</v>
      </c>
      <c r="AW64" s="298">
        <f t="shared" ca="1" si="50"/>
        <v>0</v>
      </c>
      <c r="AX64" s="296">
        <f t="shared" ca="1" si="51"/>
        <v>0.99429347423476933</v>
      </c>
      <c r="AY64" s="297">
        <f t="shared" ca="1" si="52"/>
        <v>0.98575362789082932</v>
      </c>
      <c r="AZ64" s="297">
        <f t="shared" si="53"/>
        <v>0</v>
      </c>
      <c r="BA64" s="297">
        <f t="shared" ca="1" si="71"/>
        <v>0.8470878353871355</v>
      </c>
      <c r="BB64" s="298">
        <f t="shared" ca="1" si="72"/>
        <v>0</v>
      </c>
      <c r="BC64" s="296">
        <f t="shared" ca="1" si="73"/>
        <v>5.7065257652306745E-3</v>
      </c>
      <c r="BD64" s="297">
        <f t="shared" ca="1" si="56"/>
        <v>0.34968953897036792</v>
      </c>
      <c r="BE64" s="297">
        <f t="shared" ca="1" si="57"/>
        <v>0.34668610486537343</v>
      </c>
      <c r="BF64" s="297">
        <f t="shared" ca="1" si="58"/>
        <v>0</v>
      </c>
      <c r="BG64" s="297">
        <f t="shared" ca="1" si="59"/>
        <v>0.29791783039902797</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5320.1855962132104</v>
      </c>
      <c r="S65" s="278">
        <f t="shared" si="33"/>
        <v>72262.959573350861</v>
      </c>
      <c r="T65" s="734">
        <f t="shared" si="61"/>
        <v>2272.9824135754598</v>
      </c>
      <c r="U65" s="290">
        <f t="shared" si="62"/>
        <v>3333.9927246357129</v>
      </c>
      <c r="V65" s="290">
        <f t="shared" si="63"/>
        <v>4993.2692167995874</v>
      </c>
      <c r="W65" s="290">
        <f t="shared" si="64"/>
        <v>3596.294501133907</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9</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0.97659516623265696</v>
      </c>
      <c r="AW65" s="298">
        <f t="shared" ca="1" si="50"/>
        <v>0</v>
      </c>
      <c r="AX65" s="296">
        <f t="shared" ca="1" si="51"/>
        <v>0.99401542122454023</v>
      </c>
      <c r="AY65" s="297">
        <f t="shared" ca="1" si="52"/>
        <v>0.98551143167392419</v>
      </c>
      <c r="AZ65" s="297">
        <f t="shared" si="53"/>
        <v>0</v>
      </c>
      <c r="BA65" s="297">
        <f t="shared" ca="1" si="71"/>
        <v>0.89048817887695064</v>
      </c>
      <c r="BB65" s="298">
        <f t="shared" ca="1" si="72"/>
        <v>0</v>
      </c>
      <c r="BC65" s="296">
        <f t="shared" ca="1" si="73"/>
        <v>5.9845787754597701E-3</v>
      </c>
      <c r="BD65" s="297">
        <f t="shared" ca="1" si="56"/>
        <v>0.34427229359177747</v>
      </c>
      <c r="BE65" s="297">
        <f t="shared" ca="1" si="57"/>
        <v>0.34132697913814003</v>
      </c>
      <c r="BF65" s="297">
        <f t="shared" ca="1" si="58"/>
        <v>0</v>
      </c>
      <c r="BG65" s="297">
        <f t="shared" ca="1" si="59"/>
        <v>0.30841614849462273</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5133.0965170855461</v>
      </c>
      <c r="S66" s="278">
        <f t="shared" si="33"/>
        <v>72705.472601164875</v>
      </c>
      <c r="T66" s="734">
        <f t="shared" si="61"/>
        <v>2316.734429943197</v>
      </c>
      <c r="U66" s="290">
        <f t="shared" si="62"/>
        <v>3389.8107942772731</v>
      </c>
      <c r="V66" s="290">
        <f t="shared" si="63"/>
        <v>5139.7414487789101</v>
      </c>
      <c r="W66" s="290">
        <f t="shared" si="64"/>
        <v>3837.9893706242246</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8</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0.98864995797605693</v>
      </c>
      <c r="AW66" s="298">
        <f t="shared" ca="1" si="50"/>
        <v>0</v>
      </c>
      <c r="AX66" s="296">
        <f t="shared" ca="1" si="51"/>
        <v>0.99383247442284772</v>
      </c>
      <c r="AY66" s="297">
        <f t="shared" ca="1" si="52"/>
        <v>0.98535406684230764</v>
      </c>
      <c r="AZ66" s="297">
        <f t="shared" si="53"/>
        <v>0</v>
      </c>
      <c r="BA66" s="297">
        <f t="shared" ca="1" si="71"/>
        <v>0.90931653036732241</v>
      </c>
      <c r="BB66" s="298">
        <f t="shared" ca="1" si="72"/>
        <v>0</v>
      </c>
      <c r="BC66" s="296">
        <f t="shared" ca="1" si="73"/>
        <v>6.1675255771522774E-3</v>
      </c>
      <c r="BD66" s="297">
        <f t="shared" ca="1" si="56"/>
        <v>0.34194285507864325</v>
      </c>
      <c r="BE66" s="297">
        <f t="shared" ca="1" si="57"/>
        <v>0.33902573275750569</v>
      </c>
      <c r="BF66" s="297">
        <f t="shared" ca="1" si="58"/>
        <v>0</v>
      </c>
      <c r="BG66" s="297">
        <f t="shared" ca="1" si="59"/>
        <v>0.31286388658669878</v>
      </c>
      <c r="BH66" s="298">
        <f t="shared" ca="1" si="60"/>
        <v>0</v>
      </c>
    </row>
    <row r="67" spans="1:60" ht="1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4926.5146101838409</v>
      </c>
      <c r="S67" s="780">
        <f t="shared" si="33"/>
        <v>73113.264913891864</v>
      </c>
      <c r="T67" s="737">
        <f t="shared" si="61"/>
        <v>2378.3640536866433</v>
      </c>
      <c r="U67" s="304">
        <f t="shared" si="62"/>
        <v>3466.2573783822345</v>
      </c>
      <c r="V67" s="304">
        <f t="shared" si="63"/>
        <v>5265.705430182823</v>
      </c>
      <c r="W67" s="304">
        <f t="shared" si="64"/>
        <v>4094.904803847051</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7</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0.99672728465125515</v>
      </c>
      <c r="AW67" s="312">
        <f t="shared" ca="1" si="50"/>
        <v>0</v>
      </c>
      <c r="AX67" s="310">
        <f t="shared" ca="1" si="51"/>
        <v>0.9935265085435292</v>
      </c>
      <c r="AY67" s="311">
        <f t="shared" ca="1" si="52"/>
        <v>0.98509414120703609</v>
      </c>
      <c r="AZ67" s="311">
        <f t="shared" si="53"/>
        <v>0</v>
      </c>
      <c r="BA67" s="311">
        <f t="shared" ca="1" si="71"/>
        <v>0.92899440642830233</v>
      </c>
      <c r="BB67" s="312">
        <f t="shared" ca="1" si="72"/>
        <v>0</v>
      </c>
      <c r="BC67" s="310">
        <f t="shared" ca="1" si="73"/>
        <v>6.4734914564708035E-3</v>
      </c>
      <c r="BD67" s="311">
        <f t="shared" ca="1" si="56"/>
        <v>0.33948610944253288</v>
      </c>
      <c r="BE67" s="311">
        <f t="shared" ca="1" si="57"/>
        <v>0.33660478563703838</v>
      </c>
      <c r="BF67" s="311">
        <f t="shared" ca="1" si="58"/>
        <v>0</v>
      </c>
      <c r="BG67" s="311">
        <f t="shared" ca="1" si="59"/>
        <v>0.31743561346395804</v>
      </c>
      <c r="BH67" s="312">
        <f t="shared" ca="1" si="60"/>
        <v>0</v>
      </c>
    </row>
    <row r="68" spans="1:60" x14ac:dyDescent="0.2">
      <c r="A68" s="227" t="str">
        <f>"Output generated: "&amp; TEXT(MAX($P$4,$P$5),"m/dd/yyyy hh:mm")</f>
        <v>Output generated: 8/27/2020 19:32</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40" t="s">
        <v>187</v>
      </c>
      <c r="C70" s="1541"/>
      <c r="D70" s="1541"/>
      <c r="E70" s="1541"/>
      <c r="F70" s="1541"/>
      <c r="G70" s="1541"/>
      <c r="H70" s="1541"/>
      <c r="I70" s="1541"/>
      <c r="J70" s="1541"/>
      <c r="K70" s="1541"/>
      <c r="L70" s="1541"/>
      <c r="M70" s="1541"/>
      <c r="N70" s="1542"/>
      <c r="O70" s="1540" t="s">
        <v>188</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53" t="str">
        <f>"% of miles on f2 for Tech "&amp; RIGHT(O70)&amp;" adopters"</f>
        <v>% of miles on f2 for Tech A adopters</v>
      </c>
      <c r="AC74" s="1554"/>
      <c r="AD74" s="1555"/>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8/27/2020 19:32</v>
      </c>
      <c r="U120" s="227" t="str">
        <f>"Output generated: "&amp; TEXT($P$5,"m/dd/yyyy hh:mm")</f>
        <v>Output generated: 8/27/2020 19:32</v>
      </c>
      <c r="AE120" s="937"/>
      <c r="AF120" s="937"/>
      <c r="AG120" s="937"/>
      <c r="AH120" s="937"/>
      <c r="AI120" s="937"/>
    </row>
    <row r="121" spans="1:45" ht="15" thickBot="1" x14ac:dyDescent="0.25">
      <c r="AE121" s="937"/>
      <c r="AF121" s="937"/>
      <c r="AG121" s="937"/>
      <c r="AH121" s="937"/>
      <c r="AI121" s="937"/>
    </row>
    <row r="122" spans="1:45" ht="15" x14ac:dyDescent="0.2">
      <c r="A122" s="333"/>
      <c r="B122" s="1540" t="s">
        <v>189</v>
      </c>
      <c r="C122" s="1541"/>
      <c r="D122" s="1541"/>
      <c r="E122" s="1541"/>
      <c r="F122" s="1541"/>
      <c r="G122" s="1541"/>
      <c r="H122" s="1541"/>
      <c r="I122" s="1541"/>
      <c r="J122" s="1541"/>
      <c r="K122" s="1541"/>
      <c r="L122" s="1541"/>
      <c r="M122" s="1541"/>
      <c r="N122" s="1542"/>
      <c r="O122" s="1540" t="s">
        <v>190</v>
      </c>
      <c r="P122" s="1541"/>
      <c r="Q122" s="1541"/>
      <c r="R122" s="1541"/>
      <c r="S122" s="1541"/>
      <c r="T122" s="1541"/>
      <c r="U122" s="1541"/>
      <c r="V122" s="1541"/>
      <c r="W122" s="1541"/>
      <c r="X122" s="1541"/>
      <c r="Y122" s="1541"/>
      <c r="Z122" s="1541"/>
      <c r="AA122" s="1542"/>
      <c r="AE122" s="937"/>
      <c r="AF122" s="937"/>
      <c r="AG122" s="937"/>
      <c r="AH122" s="937"/>
      <c r="AI122" s="937"/>
      <c r="AJ122" s="227"/>
      <c r="AK122" s="227"/>
      <c r="AL122" s="227"/>
      <c r="AM122" s="227"/>
    </row>
    <row r="123" spans="1:45"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53" t="str">
        <f>"% of miles on f2 for Tech "&amp; RIGHT(O122)&amp;" adopters"</f>
        <v>% of miles on f2 for Tech B adopters</v>
      </c>
      <c r="AC126" s="1554"/>
      <c r="AD126" s="1555"/>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0.48390191815824296</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0.48390191815824296</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8/27/2020 19:32</v>
      </c>
      <c r="O172" s="227" t="str">
        <f>U$120</f>
        <v>Output generated: 8/27/2020 19:32</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40" t="s">
        <v>191</v>
      </c>
      <c r="C174" s="1541"/>
      <c r="D174" s="1541"/>
      <c r="E174" s="1541"/>
      <c r="F174" s="1541"/>
      <c r="G174" s="1541"/>
      <c r="H174" s="1541"/>
      <c r="I174" s="1541"/>
      <c r="J174" s="1541"/>
      <c r="K174" s="1541"/>
      <c r="L174" s="1541"/>
      <c r="M174" s="1541"/>
      <c r="N174" s="1542"/>
      <c r="O174" s="1540" t="s">
        <v>192</v>
      </c>
      <c r="P174" s="1541"/>
      <c r="Q174" s="1541"/>
      <c r="R174" s="1541"/>
      <c r="S174" s="1541"/>
      <c r="T174" s="1541"/>
      <c r="U174" s="1541"/>
      <c r="V174" s="1541"/>
      <c r="W174" s="1541"/>
      <c r="X174" s="1541"/>
      <c r="Y174" s="1541"/>
      <c r="Z174" s="1541"/>
      <c r="AA174" s="1542"/>
      <c r="AE174" s="937"/>
      <c r="AF174" s="937"/>
      <c r="AG174" s="937"/>
      <c r="AH174" s="937"/>
      <c r="AI174" s="937"/>
      <c r="AJ174" s="227"/>
      <c r="AK174" s="227"/>
      <c r="AL174" s="227"/>
      <c r="AM174" s="227"/>
    </row>
    <row r="175" spans="1:48" x14ac:dyDescent="0.2">
      <c r="A175" s="324"/>
      <c r="B175" s="1537" t="s">
        <v>121</v>
      </c>
      <c r="C175" s="1538"/>
      <c r="D175" s="1538"/>
      <c r="E175" s="1538"/>
      <c r="F175" s="1538"/>
      <c r="G175" s="1538"/>
      <c r="H175" s="1538"/>
      <c r="I175" s="1538"/>
      <c r="J175" s="1538"/>
      <c r="K175" s="1538"/>
      <c r="L175" s="1539"/>
      <c r="M175" s="382"/>
      <c r="N175" s="325"/>
      <c r="O175" s="1537" t="s">
        <v>121</v>
      </c>
      <c r="P175" s="1538"/>
      <c r="Q175" s="1538"/>
      <c r="R175" s="1538"/>
      <c r="S175" s="1538"/>
      <c r="T175" s="1538"/>
      <c r="U175" s="1538"/>
      <c r="V175" s="1538"/>
      <c r="W175" s="1538"/>
      <c r="X175" s="1538"/>
      <c r="Y175" s="1539"/>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53" t="str">
        <f>"% of miles on f2 for Tech "&amp; RIGHT(O174)&amp;" adopters"</f>
        <v>% of miles on f2 for Tech C adopters</v>
      </c>
      <c r="AC178" s="1554"/>
      <c r="AD178" s="1555"/>
      <c r="AE178" s="937" t="s">
        <v>303</v>
      </c>
      <c r="AF178" s="937"/>
      <c r="AG178" s="937"/>
      <c r="AH178" s="1172" t="s">
        <v>309</v>
      </c>
      <c r="AI178" s="937"/>
      <c r="AJ178" s="829"/>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8/27/2020 19:32</v>
      </c>
      <c r="U224" s="227" t="str">
        <f>U$120</f>
        <v>Output generated: 8/27/2020 19:32</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53" t="str">
        <f>"% of miles on f2 for Tech "&amp; RIGHT(O227)&amp;" adopters"</f>
        <v>% of miles on f2 for Tech D adopters</v>
      </c>
      <c r="AC231" s="1554"/>
      <c r="AD231" s="1555"/>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8/27/2020 19:32</v>
      </c>
      <c r="U277" s="227" t="str">
        <f>U$120</f>
        <v>Output generated: 8/27/2020 19:32</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53" t="str">
        <f>"% of miles on f2 for Tech "&amp; RIGHT(O280)&amp;" adopters"</f>
        <v>% of miles on f2 for Tech E adopters</v>
      </c>
      <c r="AC284" s="1554"/>
      <c r="AD284" s="1555"/>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8/27/2020 19:32</v>
      </c>
      <c r="U330" s="227" t="str">
        <f>U$120</f>
        <v>Output generated: 8/27/2020 19:32</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51" t="s">
        <v>53</v>
      </c>
      <c r="C3" s="1552"/>
      <c r="D3" s="236">
        <f>'Run Model'!C6</f>
        <v>7.4999999999999997E-2</v>
      </c>
      <c r="F3"/>
      <c r="G3"/>
      <c r="H3"/>
      <c r="J3" s="227" t="s">
        <v>127</v>
      </c>
      <c r="L3" s="1534" t="s">
        <v>452</v>
      </c>
      <c r="M3" s="1535"/>
      <c r="N3" s="1535"/>
      <c r="O3" s="1536"/>
      <c r="Q3" s="216"/>
      <c r="W3" s="227"/>
      <c r="X3" s="227"/>
      <c r="Y3" s="227"/>
    </row>
    <row r="4" spans="2:60" x14ac:dyDescent="0.2">
      <c r="B4" s="1551" t="s">
        <v>104</v>
      </c>
      <c r="C4" s="1552"/>
      <c r="D4" s="225" t="str">
        <f>'Run Model'!C7</f>
        <v>Moderate</v>
      </c>
      <c r="F4"/>
      <c r="G4"/>
      <c r="H4"/>
      <c r="J4" s="227" t="s">
        <v>126</v>
      </c>
      <c r="L4" s="1548">
        <v>44070.81453703704</v>
      </c>
      <c r="M4" s="1535"/>
      <c r="N4" s="1535"/>
      <c r="O4" s="1536"/>
      <c r="P4" s="227" t="s">
        <v>186</v>
      </c>
      <c r="W4" s="227"/>
      <c r="X4" s="227"/>
      <c r="Y4" s="227"/>
    </row>
    <row r="5" spans="2:60" x14ac:dyDescent="0.2">
      <c r="B5" s="1551" t="s">
        <v>118</v>
      </c>
      <c r="C5" s="1552"/>
      <c r="D5" s="225" t="s">
        <v>15</v>
      </c>
      <c r="F5"/>
      <c r="G5"/>
      <c r="H5"/>
      <c r="L5" s="1548">
        <v>44070.81454861111</v>
      </c>
      <c r="M5" s="1535"/>
      <c r="N5" s="1535"/>
      <c r="O5" s="1536"/>
      <c r="P5" s="227" t="s">
        <v>15</v>
      </c>
      <c r="W5" s="227"/>
      <c r="X5" s="227"/>
      <c r="Y5" s="227"/>
    </row>
    <row r="6" spans="2:60" x14ac:dyDescent="0.2">
      <c r="B6" s="1551" t="s">
        <v>68</v>
      </c>
      <c r="C6" s="1552"/>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2" t="s">
        <v>76</v>
      </c>
      <c r="K9" s="1523"/>
      <c r="L9" s="1562" t="s">
        <v>83</v>
      </c>
      <c r="M9" s="1562"/>
      <c r="N9" s="1563" t="s">
        <v>109</v>
      </c>
      <c r="O9" s="1562"/>
      <c r="P9" s="1562"/>
      <c r="Q9" s="1564"/>
      <c r="R9" s="1030"/>
      <c r="S9" s="1031"/>
      <c r="AB9" s="1033"/>
      <c r="AC9" s="1034"/>
      <c r="AQ9" s="245"/>
      <c r="AR9" s="245"/>
      <c r="AS9" s="245"/>
      <c r="AT9" s="245"/>
    </row>
    <row r="10" spans="2:60" s="240" customFormat="1" ht="31"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65" t="s">
        <v>220</v>
      </c>
      <c r="I19" s="1566"/>
      <c r="J19" s="1566"/>
      <c r="K19" s="1566"/>
      <c r="L19" s="1566"/>
      <c r="M19" s="156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6"/>
      <c r="AN19" s="1545" t="s">
        <v>100</v>
      </c>
      <c r="AO19" s="1546"/>
      <c r="AP19" s="1546"/>
      <c r="AQ19" s="1546"/>
      <c r="AR19" s="1547"/>
      <c r="AS19" s="1545" t="s">
        <v>73</v>
      </c>
      <c r="AT19" s="1546"/>
      <c r="AU19" s="1546"/>
      <c r="AV19" s="1546"/>
      <c r="AW19" s="1547"/>
      <c r="AX19" s="1546"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59" t="s">
        <v>117</v>
      </c>
      <c r="U21" s="1560"/>
      <c r="V21" s="1560"/>
      <c r="W21" s="1560"/>
      <c r="X21" s="1561"/>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228103.5373879812</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-220843.80460588637</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228103.5373879812</v>
      </c>
      <c r="S25" s="292">
        <f t="shared" si="33"/>
        <v>58904.486133682345</v>
      </c>
      <c r="T25" s="289">
        <f t="shared" si="34"/>
        <v>-48967.620469769827</v>
      </c>
      <c r="U25" s="290">
        <f t="shared" si="35"/>
        <v>-48967.620469769827</v>
      </c>
      <c r="V25" s="290">
        <f t="shared" si="36"/>
        <v>-202134.804549355</v>
      </c>
      <c r="W25" s="290">
        <f t="shared" si="37"/>
        <v>-218166.67172406867</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228103.5373879812</v>
      </c>
      <c r="S26" s="292">
        <f t="shared" si="33"/>
        <v>38073.522674752407</v>
      </c>
      <c r="T26" s="289">
        <f t="shared" si="34"/>
        <v>-31650.726976096663</v>
      </c>
      <c r="U26" s="290">
        <f t="shared" si="35"/>
        <v>-31650.726976096663</v>
      </c>
      <c r="V26" s="290">
        <f t="shared" si="36"/>
        <v>-311377.70183880831</v>
      </c>
      <c r="W26" s="290">
        <f t="shared" si="37"/>
        <v>-221680.74168932546</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8302.8605049893504</v>
      </c>
      <c r="O27" s="304">
        <f t="shared" si="29"/>
        <v>46935.908245807492</v>
      </c>
      <c r="P27" s="304">
        <f t="shared" si="30"/>
        <v>46935.908245807492</v>
      </c>
      <c r="Q27" s="304">
        <f t="shared" si="31"/>
        <v>228550.91432391098</v>
      </c>
      <c r="R27" s="304">
        <f t="shared" si="32"/>
        <v>228103.5373879812</v>
      </c>
      <c r="S27" s="306">
        <f t="shared" si="33"/>
        <v>46935.908245807492</v>
      </c>
      <c r="T27" s="303">
        <f t="shared" si="34"/>
        <v>-38633.04774081814</v>
      </c>
      <c r="U27" s="304">
        <f t="shared" si="35"/>
        <v>-38633.04774081814</v>
      </c>
      <c r="V27" s="304">
        <f t="shared" si="36"/>
        <v>-220248.05381892165</v>
      </c>
      <c r="W27" s="304">
        <f t="shared" si="37"/>
        <v>-219800.67688299186</v>
      </c>
      <c r="X27" s="306">
        <f t="shared" si="38"/>
        <v>-38633.04774081814</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10769.163275788072</v>
      </c>
      <c r="O28" s="276">
        <f t="shared" si="29"/>
        <v>62135.793122563649</v>
      </c>
      <c r="P28" s="276">
        <f t="shared" si="30"/>
        <v>62135.793122563649</v>
      </c>
      <c r="Q28" s="276">
        <f t="shared" si="31"/>
        <v>180550.88145288127</v>
      </c>
      <c r="R28" s="276">
        <f t="shared" si="32"/>
        <v>228103.5373879812</v>
      </c>
      <c r="S28" s="278">
        <f t="shared" si="33"/>
        <v>62135.793122563649</v>
      </c>
      <c r="T28" s="275">
        <f t="shared" si="34"/>
        <v>-51366.629846775577</v>
      </c>
      <c r="U28" s="276">
        <f t="shared" si="35"/>
        <v>-51366.629846775577</v>
      </c>
      <c r="V28" s="276">
        <f t="shared" si="36"/>
        <v>-169781.71817709319</v>
      </c>
      <c r="W28" s="276">
        <f t="shared" si="37"/>
        <v>-217334.37411219312</v>
      </c>
      <c r="X28" s="278">
        <f t="shared" si="38"/>
        <v>-51366.629846775577</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11268.951158115427</v>
      </c>
      <c r="O29" s="290">
        <f t="shared" si="29"/>
        <v>65536.094100928531</v>
      </c>
      <c r="P29" s="290">
        <f t="shared" si="30"/>
        <v>65536.094100928531</v>
      </c>
      <c r="Q29" s="290">
        <f t="shared" si="31"/>
        <v>154327.28940737376</v>
      </c>
      <c r="R29" s="290">
        <f t="shared" si="32"/>
        <v>228103.5373879812</v>
      </c>
      <c r="S29" s="292">
        <f t="shared" si="33"/>
        <v>65536.094100928531</v>
      </c>
      <c r="T29" s="289">
        <f t="shared" si="34"/>
        <v>-54267.142942813101</v>
      </c>
      <c r="U29" s="290">
        <f t="shared" si="35"/>
        <v>-54267.142942813101</v>
      </c>
      <c r="V29" s="290">
        <f t="shared" si="36"/>
        <v>-143058.33824925832</v>
      </c>
      <c r="W29" s="290">
        <f t="shared" si="37"/>
        <v>-216834.58622986576</v>
      </c>
      <c r="X29" s="292">
        <f t="shared" si="38"/>
        <v>-54267.142942813101</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11094.471972736092</v>
      </c>
      <c r="O30" s="290">
        <f t="shared" si="29"/>
        <v>65728.783480081052</v>
      </c>
      <c r="P30" s="290">
        <f t="shared" si="30"/>
        <v>65728.783480081052</v>
      </c>
      <c r="Q30" s="290">
        <f t="shared" si="31"/>
        <v>158190.65391351801</v>
      </c>
      <c r="R30" s="290">
        <f t="shared" si="32"/>
        <v>228103.5373879812</v>
      </c>
      <c r="S30" s="292">
        <f t="shared" si="33"/>
        <v>65728.783480081052</v>
      </c>
      <c r="T30" s="289">
        <f t="shared" si="34"/>
        <v>-54634.311507344959</v>
      </c>
      <c r="U30" s="290">
        <f t="shared" si="35"/>
        <v>-54634.311507344959</v>
      </c>
      <c r="V30" s="290">
        <f t="shared" si="36"/>
        <v>-147096.18194078191</v>
      </c>
      <c r="W30" s="290">
        <f t="shared" si="37"/>
        <v>-217009.0654152451</v>
      </c>
      <c r="X30" s="292">
        <f t="shared" si="38"/>
        <v>-54634.311507344959</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10751.888286020778</v>
      </c>
      <c r="O31" s="290">
        <f t="shared" si="29"/>
        <v>65138.804843422527</v>
      </c>
      <c r="P31" s="290">
        <f t="shared" si="30"/>
        <v>65138.804843422527</v>
      </c>
      <c r="Q31" s="290">
        <f t="shared" si="31"/>
        <v>164185.43047193429</v>
      </c>
      <c r="R31" s="290">
        <f t="shared" si="32"/>
        <v>228103.5373879812</v>
      </c>
      <c r="S31" s="292">
        <f t="shared" si="33"/>
        <v>65138.804843422527</v>
      </c>
      <c r="T31" s="289">
        <f t="shared" si="34"/>
        <v>-54386.916557401753</v>
      </c>
      <c r="U31" s="290">
        <f t="shared" si="35"/>
        <v>-54386.916557401753</v>
      </c>
      <c r="V31" s="290">
        <f t="shared" si="36"/>
        <v>-153433.54218591351</v>
      </c>
      <c r="W31" s="290">
        <f t="shared" si="37"/>
        <v>-217351.64910196041</v>
      </c>
      <c r="X31" s="292">
        <f t="shared" si="38"/>
        <v>-54386.916557401753</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7480.9042412369681</v>
      </c>
      <c r="O32" s="304">
        <f t="shared" si="29"/>
        <v>46159.989605920513</v>
      </c>
      <c r="P32" s="304">
        <f t="shared" si="30"/>
        <v>46159.989605920513</v>
      </c>
      <c r="Q32" s="304">
        <f t="shared" si="31"/>
        <v>150432.47159040737</v>
      </c>
      <c r="R32" s="304">
        <f t="shared" si="32"/>
        <v>228103.5373879812</v>
      </c>
      <c r="S32" s="306">
        <f t="shared" si="33"/>
        <v>46159.989605920513</v>
      </c>
      <c r="T32" s="303">
        <f t="shared" si="34"/>
        <v>-38679.085364683546</v>
      </c>
      <c r="U32" s="304">
        <f t="shared" si="35"/>
        <v>-38679.085364683546</v>
      </c>
      <c r="V32" s="304">
        <f t="shared" si="36"/>
        <v>-142951.56734917039</v>
      </c>
      <c r="W32" s="304">
        <f t="shared" si="37"/>
        <v>-220622.63314674422</v>
      </c>
      <c r="X32" s="306">
        <f t="shared" si="38"/>
        <v>-38679.085364683546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6315.5918076733169</v>
      </c>
      <c r="O33" s="276">
        <f t="shared" si="29"/>
        <v>39783.19988851255</v>
      </c>
      <c r="P33" s="276">
        <f t="shared" si="30"/>
        <v>39783.19988851255</v>
      </c>
      <c r="Q33" s="276">
        <f t="shared" si="31"/>
        <v>147370.93947497665</v>
      </c>
      <c r="R33" s="276">
        <f t="shared" si="32"/>
        <v>218599.22333014864</v>
      </c>
      <c r="S33" s="278">
        <f t="shared" si="33"/>
        <v>39783.19988851255</v>
      </c>
      <c r="T33" s="275">
        <f t="shared" si="34"/>
        <v>-33467.608080839236</v>
      </c>
      <c r="U33" s="276">
        <f t="shared" si="35"/>
        <v>-33467.608080839236</v>
      </c>
      <c r="V33" s="276">
        <f t="shared" si="36"/>
        <v>-141055.34766730334</v>
      </c>
      <c r="W33" s="276">
        <f t="shared" si="37"/>
        <v>-212283.63152247533</v>
      </c>
      <c r="X33" s="278">
        <f t="shared" si="38"/>
        <v>-33467.608080839236</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7268.2513503351938</v>
      </c>
      <c r="O34" s="290">
        <f t="shared" si="29"/>
        <v>46733.985229121143</v>
      </c>
      <c r="P34" s="290">
        <f t="shared" si="30"/>
        <v>46733.985229121143</v>
      </c>
      <c r="Q34" s="290">
        <f t="shared" si="31"/>
        <v>148473.15736143693</v>
      </c>
      <c r="R34" s="290">
        <f t="shared" si="32"/>
        <v>209094.90927231612</v>
      </c>
      <c r="S34" s="292">
        <f t="shared" si="33"/>
        <v>46733.985229121143</v>
      </c>
      <c r="T34" s="289">
        <f t="shared" si="34"/>
        <v>-39465.733878785948</v>
      </c>
      <c r="U34" s="290">
        <f t="shared" si="35"/>
        <v>-39465.733878785948</v>
      </c>
      <c r="V34" s="290">
        <f t="shared" si="36"/>
        <v>-141204.90601110173</v>
      </c>
      <c r="W34" s="290">
        <f t="shared" si="37"/>
        <v>-201826.65792198092</v>
      </c>
      <c r="X34" s="292">
        <f t="shared" si="38"/>
        <v>-39465.733878785948</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8980.6984948526861</v>
      </c>
      <c r="O35" s="290">
        <f t="shared" si="29"/>
        <v>57411.609593215391</v>
      </c>
      <c r="P35" s="290">
        <f t="shared" si="30"/>
        <v>57411.609593215391</v>
      </c>
      <c r="Q35" s="290">
        <f t="shared" si="31"/>
        <v>169829.87888097219</v>
      </c>
      <c r="R35" s="290">
        <f t="shared" si="32"/>
        <v>199590.59521448356</v>
      </c>
      <c r="S35" s="292">
        <f t="shared" si="33"/>
        <v>57411.609593215391</v>
      </c>
      <c r="T35" s="289">
        <f t="shared" si="34"/>
        <v>-48430.911098362703</v>
      </c>
      <c r="U35" s="290">
        <f t="shared" si="35"/>
        <v>-48430.911098362703</v>
      </c>
      <c r="V35" s="290">
        <f t="shared" si="36"/>
        <v>-160849.18038611949</v>
      </c>
      <c r="W35" s="290">
        <f t="shared" si="37"/>
        <v>-190609.89671963087</v>
      </c>
      <c r="X35" s="292">
        <f t="shared" si="38"/>
        <v>-48430.911098362703</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8767.3873497078366</v>
      </c>
      <c r="O36" s="290">
        <f t="shared" si="29"/>
        <v>56403.689171752871</v>
      </c>
      <c r="P36" s="290">
        <f t="shared" si="30"/>
        <v>56403.689171752871</v>
      </c>
      <c r="Q36" s="290">
        <f t="shared" si="31"/>
        <v>169651.95466984273</v>
      </c>
      <c r="R36" s="290">
        <f t="shared" si="32"/>
        <v>190086.28115665101</v>
      </c>
      <c r="S36" s="292">
        <f t="shared" si="33"/>
        <v>56403.689171752871</v>
      </c>
      <c r="T36" s="289">
        <f t="shared" si="34"/>
        <v>-47636.301822045032</v>
      </c>
      <c r="U36" s="290">
        <f t="shared" si="35"/>
        <v>-47636.301822045032</v>
      </c>
      <c r="V36" s="290">
        <f t="shared" si="36"/>
        <v>-160884.5673201349</v>
      </c>
      <c r="W36" s="290">
        <f t="shared" si="37"/>
        <v>-181318.89380694318</v>
      </c>
      <c r="X36" s="292">
        <f t="shared" si="38"/>
        <v>-47636.301822045032</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8394.0507115638466</v>
      </c>
      <c r="O37" s="304">
        <f t="shared" si="29"/>
        <v>54447.453948959454</v>
      </c>
      <c r="P37" s="304">
        <f t="shared" si="30"/>
        <v>54447.453948959454</v>
      </c>
      <c r="Q37" s="304">
        <f t="shared" si="31"/>
        <v>173020.17314701612</v>
      </c>
      <c r="R37" s="304">
        <f t="shared" si="32"/>
        <v>180581.96709881842</v>
      </c>
      <c r="S37" s="306">
        <f t="shared" si="33"/>
        <v>54447.453948959454</v>
      </c>
      <c r="T37" s="303">
        <f t="shared" si="34"/>
        <v>-46053.403237395607</v>
      </c>
      <c r="U37" s="304">
        <f t="shared" si="35"/>
        <v>-46053.403237395607</v>
      </c>
      <c r="V37" s="304">
        <f t="shared" si="36"/>
        <v>-164626.12243545227</v>
      </c>
      <c r="W37" s="304">
        <f t="shared" si="37"/>
        <v>-172187.91638725458</v>
      </c>
      <c r="X37" s="306">
        <f t="shared" si="38"/>
        <v>-46053.403237395607</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1000000</v>
      </c>
      <c r="D38" s="818">
        <f t="shared" si="69"/>
        <v>1000000</v>
      </c>
      <c r="E38" s="818">
        <f t="shared" si="69"/>
        <v>1000000</v>
      </c>
      <c r="F38" s="818">
        <f t="shared" si="69"/>
        <v>1000000</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17843.143501315073</v>
      </c>
      <c r="S38" s="1344">
        <f t="shared" si="33"/>
        <v>54733.939275146549</v>
      </c>
      <c r="T38" s="1342">
        <f t="shared" si="34"/>
        <v>912.36252085163142</v>
      </c>
      <c r="U38" s="1343">
        <f t="shared" si="35"/>
        <v>1339.4946765405894</v>
      </c>
      <c r="V38" s="1343">
        <f t="shared" si="36"/>
        <v>-2846.2384454648291</v>
      </c>
      <c r="W38" s="1343">
        <f t="shared" si="37"/>
        <v>-9221.0210059549772</v>
      </c>
      <c r="X38" s="278">
        <f t="shared" si="38"/>
        <v>-46111.816779786452</v>
      </c>
      <c r="Y38" s="279">
        <f ca="1">IF(AND(Y$22=TRUE,INDEX(CDRANGE_CLS2,MATCH($A38,$A$24:$A$67,0),MATCH(Y$20,$B$20:$G$20,0))&lt;$D$6/OPDAYS_Cls2),86,payback(C38,T38,disc_rate/12,85))</f>
        <v>86</v>
      </c>
      <c r="Z38" s="280">
        <f ca="1">IF(AND(Z$22=TRUE,INDEX(CDRANGE_CLS2,MATCH($A38,$A$24:$A$67,0),MATCH(Z$20,$B$20:$G$20,0))&lt;$D$6/OPDAYS_Cls2),86,payback(D38,U38,disc_rate/12,85))</f>
        <v>86</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0</v>
      </c>
      <c r="AO38" s="641">
        <f t="shared" si="49"/>
        <v>0</v>
      </c>
      <c r="AP38" s="641">
        <f t="shared" si="49"/>
        <v>0</v>
      </c>
      <c r="AQ38" s="641">
        <f t="shared" si="49"/>
        <v>0</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1000000</v>
      </c>
      <c r="D39" s="821">
        <f t="shared" si="69"/>
        <v>1000000</v>
      </c>
      <c r="E39" s="821">
        <f t="shared" si="69"/>
        <v>1000000</v>
      </c>
      <c r="F39" s="821">
        <f t="shared" si="69"/>
        <v>1000000</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16653.688748952696</v>
      </c>
      <c r="S39" s="1346">
        <f t="shared" si="33"/>
        <v>55591.553462109005</v>
      </c>
      <c r="T39" s="1345">
        <f t="shared" si="34"/>
        <v>940.467075374464</v>
      </c>
      <c r="U39" s="258">
        <f t="shared" si="35"/>
        <v>1370.0721311253501</v>
      </c>
      <c r="V39" s="258">
        <f t="shared" si="36"/>
        <v>-2846.5323661619623</v>
      </c>
      <c r="W39" s="258">
        <f t="shared" si="37"/>
        <v>-8006.824812031693</v>
      </c>
      <c r="X39" s="292">
        <f t="shared" si="38"/>
        <v>-46944.689525188005</v>
      </c>
      <c r="Y39" s="293">
        <f ca="1">IF(AND(Y$22=TRUE,INDEX(CDRANGE_CLS2,MATCH($A39,$A$24:$A$67,0),MATCH(Y$20,$B$20:$G$20,0))&lt;$D$6/OPDAYS_Cls2),86,payback(C39,T39,disc_rate/12,85))</f>
        <v>86</v>
      </c>
      <c r="Z39" s="294">
        <f ca="1">IF(AND(Z$22=TRUE,INDEX(CDRANGE_CLS2,MATCH($A39,$A$24:$A$67,0),MATCH(Z$20,$B$20:$G$20,0))&lt;$D$6/OPDAYS_Cls2),86,payback(D39,U39,disc_rate/12,85))</f>
        <v>86</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v>
      </c>
      <c r="AO39" s="300">
        <f t="shared" si="49"/>
        <v>0</v>
      </c>
      <c r="AP39" s="300">
        <f t="shared" si="49"/>
        <v>0</v>
      </c>
      <c r="AQ39" s="300">
        <f t="shared" si="49"/>
        <v>0</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1000000</v>
      </c>
      <c r="D40" s="821">
        <f t="shared" si="69"/>
        <v>1000000</v>
      </c>
      <c r="E40" s="821">
        <f t="shared" si="69"/>
        <v>1000000</v>
      </c>
      <c r="F40" s="821">
        <f t="shared" si="69"/>
        <v>1000000</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15467.759676650274</v>
      </c>
      <c r="S40" s="1346">
        <f t="shared" si="33"/>
        <v>55910.787985728006</v>
      </c>
      <c r="T40" s="1345">
        <f t="shared" si="34"/>
        <v>954.3756548133224</v>
      </c>
      <c r="U40" s="258">
        <f t="shared" si="35"/>
        <v>1381.6930118963901</v>
      </c>
      <c r="V40" s="258">
        <f t="shared" si="36"/>
        <v>-2984.8057864617022</v>
      </c>
      <c r="W40" s="258">
        <f t="shared" si="37"/>
        <v>-6899.6605244088569</v>
      </c>
      <c r="X40" s="292">
        <f t="shared" si="38"/>
        <v>-47342.688833486587</v>
      </c>
      <c r="Y40" s="293">
        <f ca="1">IF(AND(Y$22=TRUE,INDEX(CDRANGE_CLS2,MATCH($A40,$A$24:$A$67,0),MATCH(Y$20,$B$20:$G$20,0))&lt;$D$6/OPDAYS_Cls2),86,payback(C40,T40,disc_rate/12,85))</f>
        <v>86</v>
      </c>
      <c r="Z40" s="294">
        <f ca="1">IF(AND(Z$22=TRUE,INDEX(CDRANGE_CLS2,MATCH($A40,$A$24:$A$67,0),MATCH(Z$20,$B$20:$G$20,0))&lt;$D$6/OPDAYS_Cls2),86,payback(D40,U40,disc_rate/12,85))</f>
        <v>86</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v>
      </c>
      <c r="AO40" s="300">
        <f t="shared" si="60"/>
        <v>0</v>
      </c>
      <c r="AP40" s="300">
        <f t="shared" si="60"/>
        <v>0</v>
      </c>
      <c r="AQ40" s="300">
        <f t="shared" si="60"/>
        <v>0</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1000000</v>
      </c>
      <c r="D41" s="821">
        <f t="shared" si="69"/>
        <v>1000000</v>
      </c>
      <c r="E41" s="821">
        <f t="shared" si="69"/>
        <v>1000000</v>
      </c>
      <c r="F41" s="821">
        <f t="shared" si="69"/>
        <v>1000000</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14204.991053839334</v>
      </c>
      <c r="S41" s="1346">
        <f t="shared" si="33"/>
        <v>56919.036236279331</v>
      </c>
      <c r="T41" s="1345">
        <f t="shared" si="34"/>
        <v>1008.6955373334395</v>
      </c>
      <c r="U41" s="258">
        <f t="shared" si="35"/>
        <v>1436.1901062147863</v>
      </c>
      <c r="V41" s="258">
        <f t="shared" si="36"/>
        <v>-2978.0313372900637</v>
      </c>
      <c r="W41" s="258">
        <f t="shared" si="37"/>
        <v>-5656.1893297546048</v>
      </c>
      <c r="X41" s="292">
        <f t="shared" si="38"/>
        <v>-48370.234512194598</v>
      </c>
      <c r="Y41" s="293">
        <f ca="1">IF(AND(Y$22=TRUE,INDEX(CDRANGE_CLS2,MATCH($A41,$A$24:$A$67,0),MATCH(Y$20,$B$20:$G$20,0))&lt;$D$6/OPDAYS_Cls2),86,payback(C41,T41,disc_rate/12,85))</f>
        <v>86</v>
      </c>
      <c r="Z41" s="294">
        <f ca="1">IF(AND(Z$22=TRUE,INDEX(CDRANGE_CLS2,MATCH($A41,$A$24:$A$67,0),MATCH(Z$20,$B$20:$G$20,0))&lt;$D$6/OPDAYS_Cls2),86,payback(D41,U41,disc_rate/12,85))</f>
        <v>86</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v>
      </c>
      <c r="AO41" s="300">
        <f t="shared" si="60"/>
        <v>0</v>
      </c>
      <c r="AP41" s="300">
        <f t="shared" si="60"/>
        <v>0</v>
      </c>
      <c r="AQ41" s="300">
        <f t="shared" si="60"/>
        <v>0</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5" thickBot="1" x14ac:dyDescent="0.25">
      <c r="A42" s="302">
        <v>2025</v>
      </c>
      <c r="B42" s="823">
        <f t="shared" si="69"/>
        <v>138005</v>
      </c>
      <c r="C42" s="824">
        <f t="shared" si="69"/>
        <v>6997.06</v>
      </c>
      <c r="D42" s="824">
        <f t="shared" si="69"/>
        <v>15029.19</v>
      </c>
      <c r="E42" s="824">
        <f t="shared" si="69"/>
        <v>327492.99</v>
      </c>
      <c r="F42" s="824">
        <f t="shared" si="69"/>
        <v>99856.66</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12961.003179928755</v>
      </c>
      <c r="S42" s="1348">
        <f t="shared" si="33"/>
        <v>57258.364655222431</v>
      </c>
      <c r="T42" s="1347">
        <f t="shared" si="34"/>
        <v>1049.4541914416841</v>
      </c>
      <c r="U42" s="265">
        <f t="shared" si="35"/>
        <v>1471.2028080257824</v>
      </c>
      <c r="V42" s="265">
        <f t="shared" si="36"/>
        <v>-3154.1804474905111</v>
      </c>
      <c r="W42" s="265">
        <f t="shared" si="37"/>
        <v>-4551.2954653651577</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0.23355760408717219</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91524.86</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12523.285122140584</v>
      </c>
      <c r="S43" s="278">
        <f t="shared" si="33"/>
        <v>58307.989442800208</v>
      </c>
      <c r="T43" s="275">
        <f t="shared" si="34"/>
        <v>1027.4067041328908</v>
      </c>
      <c r="U43" s="276">
        <f t="shared" si="35"/>
        <v>1450.5516135558046</v>
      </c>
      <c r="V43" s="276">
        <f t="shared" si="36"/>
        <v>-3248.932798178379</v>
      </c>
      <c r="W43" s="276">
        <f t="shared" si="37"/>
        <v>-4167.5699990054181</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0.29471093550109817</v>
      </c>
      <c r="AR43" s="611">
        <f t="shared" si="60"/>
        <v>0</v>
      </c>
      <c r="AS43" s="637">
        <f t="shared" ca="1" si="50"/>
        <v>4.6315878759073184E-2</v>
      </c>
      <c r="AT43" s="638">
        <f t="shared" ca="1" si="51"/>
        <v>4.3671629597748771E-2</v>
      </c>
      <c r="AU43" s="638">
        <f t="shared" si="52"/>
        <v>0</v>
      </c>
      <c r="AV43" s="638">
        <f t="shared" ca="1" si="53"/>
        <v>0</v>
      </c>
      <c r="AW43" s="639">
        <f t="shared" ca="1" si="54"/>
        <v>0</v>
      </c>
      <c r="AX43" s="282">
        <f t="shared" ca="1" si="55"/>
        <v>4.5793400222925225E-2</v>
      </c>
      <c r="AY43" s="283">
        <f t="shared" ca="1" si="56"/>
        <v>4.1988128674681671E-2</v>
      </c>
      <c r="AZ43" s="283">
        <f t="shared" si="57"/>
        <v>0</v>
      </c>
      <c r="BA43" s="283">
        <f t="shared" ca="1" si="61"/>
        <v>0</v>
      </c>
      <c r="BB43" s="284">
        <f t="shared" ca="1" si="62"/>
        <v>0</v>
      </c>
      <c r="BC43" s="282">
        <f t="shared" ca="1" si="63"/>
        <v>0.95420659977707478</v>
      </c>
      <c r="BD43" s="283">
        <f t="shared" ca="1" si="64"/>
        <v>2.3889257003293973E-2</v>
      </c>
      <c r="BE43" s="283">
        <f t="shared" ca="1" si="65"/>
        <v>2.1904143219631252E-2</v>
      </c>
      <c r="BF43" s="283">
        <f t="shared" ca="1" si="66"/>
        <v>0</v>
      </c>
      <c r="BG43" s="283">
        <f t="shared" ca="1" si="67"/>
        <v>0</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82928</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12093.731206770028</v>
      </c>
      <c r="S44" s="292">
        <f t="shared" si="33"/>
        <v>58454.603196749515</v>
      </c>
      <c r="T44" s="289">
        <f t="shared" si="34"/>
        <v>998.90014754652475</v>
      </c>
      <c r="U44" s="290">
        <f t="shared" si="35"/>
        <v>1416.6987282261935</v>
      </c>
      <c r="V44" s="290">
        <f t="shared" si="36"/>
        <v>-3349.8241168649456</v>
      </c>
      <c r="W44" s="290">
        <f t="shared" si="37"/>
        <v>-3913.0732542307578</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0.36676957351710593</v>
      </c>
      <c r="AR44" s="598">
        <f t="shared" si="60"/>
        <v>0</v>
      </c>
      <c r="AS44" s="282">
        <f t="shared" ca="1" si="50"/>
        <v>0.10976678991293028</v>
      </c>
      <c r="AT44" s="283">
        <f t="shared" ca="1" si="51"/>
        <v>0.10379447262706548</v>
      </c>
      <c r="AU44" s="283">
        <f t="shared" si="52"/>
        <v>0</v>
      </c>
      <c r="AV44" s="283">
        <f t="shared" ca="1" si="53"/>
        <v>0</v>
      </c>
      <c r="AW44" s="284">
        <f t="shared" ca="1" si="54"/>
        <v>0</v>
      </c>
      <c r="AX44" s="296">
        <f t="shared" ca="1" si="55"/>
        <v>0.10794907652885771</v>
      </c>
      <c r="AY44" s="297">
        <f t="shared" ca="1" si="56"/>
        <v>9.908137430740134E-2</v>
      </c>
      <c r="AZ44" s="297">
        <f t="shared" si="57"/>
        <v>0</v>
      </c>
      <c r="BA44" s="283">
        <f t="shared" ca="1" si="61"/>
        <v>0</v>
      </c>
      <c r="BB44" s="284">
        <f t="shared" ca="1" si="62"/>
        <v>0</v>
      </c>
      <c r="BC44" s="282">
        <f t="shared" ca="1" si="63"/>
        <v>0.89205092347114223</v>
      </c>
      <c r="BD44" s="283">
        <f t="shared" ca="1" si="64"/>
        <v>5.628642103788669E-2</v>
      </c>
      <c r="BE44" s="283">
        <f t="shared" ca="1" si="65"/>
        <v>5.1662655490971016E-2</v>
      </c>
      <c r="BF44" s="283">
        <f t="shared" ca="1" si="66"/>
        <v>0</v>
      </c>
      <c r="BG44" s="283">
        <f t="shared" ca="1" si="67"/>
        <v>0</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79682.38</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11531.689969180037</v>
      </c>
      <c r="S45" s="292">
        <f t="shared" si="33"/>
        <v>59351.157755950488</v>
      </c>
      <c r="T45" s="289">
        <f t="shared" si="34"/>
        <v>1215.0721870131665</v>
      </c>
      <c r="U45" s="290">
        <f t="shared" si="35"/>
        <v>1639.5082622886866</v>
      </c>
      <c r="V45" s="290">
        <f t="shared" si="36"/>
        <v>-2941.9029914542807</v>
      </c>
      <c r="W45" s="290">
        <f t="shared" si="37"/>
        <v>-3312.836248036996</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0.39989843526229429</v>
      </c>
      <c r="AR45" s="598">
        <f t="shared" si="60"/>
        <v>0</v>
      </c>
      <c r="AS45" s="282">
        <f t="shared" ca="1" si="50"/>
        <v>0.25846090647897763</v>
      </c>
      <c r="AT45" s="283">
        <f t="shared" ca="1" si="51"/>
        <v>0.24765195347247992</v>
      </c>
      <c r="AU45" s="283">
        <f t="shared" si="52"/>
        <v>0</v>
      </c>
      <c r="AV45" s="283">
        <f t="shared" ca="1" si="53"/>
        <v>0</v>
      </c>
      <c r="AW45" s="284">
        <f t="shared" ca="1" si="54"/>
        <v>0</v>
      </c>
      <c r="AX45" s="296">
        <f t="shared" ca="1" si="55"/>
        <v>0.254063028660162</v>
      </c>
      <c r="AY45" s="297">
        <f t="shared" ca="1" si="56"/>
        <v>0.23646147394286821</v>
      </c>
      <c r="AZ45" s="297">
        <f t="shared" si="57"/>
        <v>0</v>
      </c>
      <c r="BA45" s="283">
        <f t="shared" ca="1" si="61"/>
        <v>0</v>
      </c>
      <c r="BB45" s="284">
        <f t="shared" ca="1" si="62"/>
        <v>0</v>
      </c>
      <c r="BC45" s="282">
        <f t="shared" ca="1" si="63"/>
        <v>0.74593697133983805</v>
      </c>
      <c r="BD45" s="283">
        <f t="shared" ca="1" si="64"/>
        <v>0.1315898027304285</v>
      </c>
      <c r="BE45" s="283">
        <f t="shared" ca="1" si="65"/>
        <v>0.1224732259297335</v>
      </c>
      <c r="BF45" s="283">
        <f t="shared" ca="1" si="66"/>
        <v>0</v>
      </c>
      <c r="BG45" s="283">
        <f t="shared" ca="1" si="67"/>
        <v>0</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77242.3</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11079.711659775608</v>
      </c>
      <c r="S46" s="292">
        <f t="shared" si="33"/>
        <v>59904.937552094714</v>
      </c>
      <c r="T46" s="289">
        <f t="shared" si="34"/>
        <v>1368.9815536041961</v>
      </c>
      <c r="U46" s="290">
        <f t="shared" si="35"/>
        <v>1796.6474612492584</v>
      </c>
      <c r="V46" s="290">
        <f t="shared" si="36"/>
        <v>-2636.0415580694225</v>
      </c>
      <c r="W46" s="290">
        <f t="shared" si="37"/>
        <v>-2845.538778047523</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0.4252744460293767</v>
      </c>
      <c r="AR46" s="598">
        <f t="shared" si="60"/>
        <v>0</v>
      </c>
      <c r="AS46" s="282">
        <f t="shared" ca="1" si="50"/>
        <v>0.48829758585216049</v>
      </c>
      <c r="AT46" s="283">
        <f t="shared" ca="1" si="51"/>
        <v>0.47116621307825446</v>
      </c>
      <c r="AU46" s="283">
        <f t="shared" si="52"/>
        <v>0</v>
      </c>
      <c r="AV46" s="283">
        <f t="shared" ca="1" si="53"/>
        <v>0</v>
      </c>
      <c r="AW46" s="284">
        <f t="shared" ca="1" si="54"/>
        <v>0</v>
      </c>
      <c r="AX46" s="296">
        <f t="shared" ca="1" si="55"/>
        <v>0.47981747519079487</v>
      </c>
      <c r="AY46" s="297">
        <f t="shared" ca="1" si="56"/>
        <v>0.44994459287662897</v>
      </c>
      <c r="AZ46" s="297">
        <f t="shared" si="57"/>
        <v>0</v>
      </c>
      <c r="BA46" s="283">
        <f t="shared" ca="1" si="61"/>
        <v>0</v>
      </c>
      <c r="BB46" s="284">
        <f t="shared" ca="1" si="62"/>
        <v>0</v>
      </c>
      <c r="BC46" s="282">
        <f t="shared" ca="1" si="63"/>
        <v>0.52018252480920513</v>
      </c>
      <c r="BD46" s="283">
        <f t="shared" ca="1" si="64"/>
        <v>0.24761690910558176</v>
      </c>
      <c r="BE46" s="283">
        <f t="shared" ca="1" si="65"/>
        <v>0.23220056608521306</v>
      </c>
      <c r="BF46" s="283">
        <f t="shared" ca="1" si="66"/>
        <v>0</v>
      </c>
      <c r="BG46" s="283">
        <f t="shared" ca="1" si="67"/>
        <v>0</v>
      </c>
      <c r="BH46" s="284">
        <f t="shared" ca="1" si="68"/>
        <v>0</v>
      </c>
    </row>
    <row r="47" spans="1:60" ht="15" thickBot="1" x14ac:dyDescent="0.25">
      <c r="A47" s="302">
        <v>2030</v>
      </c>
      <c r="B47" s="814">
        <f t="shared" si="71"/>
        <v>139523.14000000001</v>
      </c>
      <c r="C47" s="815">
        <f t="shared" si="71"/>
        <v>11247.36</v>
      </c>
      <c r="D47" s="815">
        <f t="shared" si="71"/>
        <v>17977.419999999998</v>
      </c>
      <c r="E47" s="815">
        <f t="shared" si="71"/>
        <v>194727.29</v>
      </c>
      <c r="F47" s="815">
        <f t="shared" si="71"/>
        <v>74202.740000000005</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10591.970304479039</v>
      </c>
      <c r="S47" s="306">
        <f t="shared" si="33"/>
        <v>61154.248772588187</v>
      </c>
      <c r="T47" s="303">
        <f t="shared" si="34"/>
        <v>1604.1159159302906</v>
      </c>
      <c r="U47" s="304">
        <f t="shared" si="35"/>
        <v>2038.8851086743489</v>
      </c>
      <c r="V47" s="304">
        <f t="shared" si="36"/>
        <v>-2160.0234468562485</v>
      </c>
      <c r="W47" s="304">
        <f t="shared" si="37"/>
        <v>-2222.6133063812322</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0.45581030339573658</v>
      </c>
      <c r="AR47" s="629">
        <f t="shared" si="60"/>
        <v>0</v>
      </c>
      <c r="AS47" s="319">
        <f t="shared" ca="1" si="50"/>
        <v>0.72276103453031182</v>
      </c>
      <c r="AT47" s="320">
        <f t="shared" ca="1" si="51"/>
        <v>0.70256958544885761</v>
      </c>
      <c r="AU47" s="320">
        <f t="shared" si="52"/>
        <v>0</v>
      </c>
      <c r="AV47" s="320">
        <f t="shared" ca="1" si="53"/>
        <v>0</v>
      </c>
      <c r="AW47" s="321">
        <f t="shared" ca="1" si="54"/>
        <v>0</v>
      </c>
      <c r="AX47" s="310">
        <f t="shared" ca="1" si="55"/>
        <v>0.70983137568727284</v>
      </c>
      <c r="AY47" s="311">
        <f t="shared" ca="1" si="56"/>
        <v>0.67090502776364502</v>
      </c>
      <c r="AZ47" s="311">
        <f t="shared" si="57"/>
        <v>0</v>
      </c>
      <c r="BA47" s="311">
        <f t="shared" ca="1" si="61"/>
        <v>0</v>
      </c>
      <c r="BB47" s="312">
        <f t="shared" ca="1" si="62"/>
        <v>0</v>
      </c>
      <c r="BC47" s="310">
        <f t="shared" ca="1" si="63"/>
        <v>0.29016862431272705</v>
      </c>
      <c r="BD47" s="311">
        <f t="shared" ca="1" si="64"/>
        <v>0.36492163214555057</v>
      </c>
      <c r="BE47" s="311">
        <f t="shared" ca="1" si="65"/>
        <v>0.34490974354172238</v>
      </c>
      <c r="BF47" s="311">
        <f t="shared" ca="1" si="66"/>
        <v>0</v>
      </c>
      <c r="BG47" s="311">
        <f t="shared" ca="1" si="67"/>
        <v>0</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71329.64</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10143.16563950899</v>
      </c>
      <c r="S48" s="278">
        <f t="shared" si="33"/>
        <v>61839.762585291144</v>
      </c>
      <c r="T48" s="275">
        <f t="shared" si="34"/>
        <v>1832.7798170624683</v>
      </c>
      <c r="U48" s="276">
        <f t="shared" si="35"/>
        <v>2269.9489447701926</v>
      </c>
      <c r="V48" s="276">
        <f t="shared" si="36"/>
        <v>-1791.3873204937481</v>
      </c>
      <c r="W48" s="276">
        <f t="shared" si="37"/>
        <v>-1686.5102680458021</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0.48410023495843946</v>
      </c>
      <c r="AR48" s="642">
        <f t="shared" si="60"/>
        <v>0</v>
      </c>
      <c r="AS48" s="282">
        <f t="shared" ca="1" si="50"/>
        <v>0.87791448052733856</v>
      </c>
      <c r="AT48" s="283">
        <f t="shared" ca="1" si="51"/>
        <v>0.86018217360447413</v>
      </c>
      <c r="AU48" s="283">
        <f t="shared" si="52"/>
        <v>0</v>
      </c>
      <c r="AV48" s="283">
        <f t="shared" ca="1" si="53"/>
        <v>0</v>
      </c>
      <c r="AW48" s="284">
        <f t="shared" ca="1" si="54"/>
        <v>0</v>
      </c>
      <c r="AX48" s="282">
        <f t="shared" ca="1" si="55"/>
        <v>0.86171874811567561</v>
      </c>
      <c r="AY48" s="283">
        <f t="shared" ca="1" si="56"/>
        <v>0.82126596661878903</v>
      </c>
      <c r="AZ48" s="283">
        <f t="shared" si="57"/>
        <v>0</v>
      </c>
      <c r="BA48" s="283">
        <f t="shared" ca="1" si="61"/>
        <v>0</v>
      </c>
      <c r="BB48" s="284">
        <f t="shared" ca="1" si="62"/>
        <v>0</v>
      </c>
      <c r="BC48" s="282">
        <f t="shared" ca="1" si="63"/>
        <v>0.13828125188432439</v>
      </c>
      <c r="BD48" s="283">
        <f t="shared" ca="1" si="64"/>
        <v>0.4412156535665302</v>
      </c>
      <c r="BE48" s="283">
        <f t="shared" ca="1" si="65"/>
        <v>0.42050309454914542</v>
      </c>
      <c r="BF48" s="283">
        <f t="shared" ca="1" si="66"/>
        <v>0</v>
      </c>
      <c r="BG48" s="283">
        <f t="shared" ca="1" si="67"/>
        <v>0</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69241.31</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9778.2478180748276</v>
      </c>
      <c r="S49" s="292">
        <f t="shared" si="33"/>
        <v>62288.320470259867</v>
      </c>
      <c r="T49" s="289">
        <f t="shared" si="34"/>
        <v>1990.0099714209919</v>
      </c>
      <c r="U49" s="290">
        <f t="shared" si="35"/>
        <v>2428.1714216658302</v>
      </c>
      <c r="V49" s="290">
        <f t="shared" si="36"/>
        <v>-1546.6551894304448</v>
      </c>
      <c r="W49" s="290">
        <f t="shared" si="37"/>
        <v>-1266.8125437540202</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0.50505535541711721</v>
      </c>
      <c r="AR49" s="598">
        <f t="shared" si="60"/>
        <v>0</v>
      </c>
      <c r="AS49" s="282">
        <f t="shared" ca="1" si="50"/>
        <v>0.95257412682243336</v>
      </c>
      <c r="AT49" s="283">
        <f t="shared" ca="1" si="51"/>
        <v>0.94176237239319482</v>
      </c>
      <c r="AU49" s="283">
        <f t="shared" si="52"/>
        <v>0</v>
      </c>
      <c r="AV49" s="283">
        <f t="shared" ca="1" si="53"/>
        <v>0</v>
      </c>
      <c r="AW49" s="284">
        <f t="shared" ca="1" si="54"/>
        <v>0</v>
      </c>
      <c r="AX49" s="296">
        <f t="shared" ca="1" si="55"/>
        <v>0.93461323070986446</v>
      </c>
      <c r="AY49" s="297">
        <f t="shared" ca="1" si="56"/>
        <v>0.89904599728198342</v>
      </c>
      <c r="AZ49" s="297">
        <f t="shared" si="57"/>
        <v>0</v>
      </c>
      <c r="BA49" s="283">
        <f t="shared" ca="1" si="61"/>
        <v>0</v>
      </c>
      <c r="BB49" s="284">
        <f t="shared" ca="1" si="62"/>
        <v>0</v>
      </c>
      <c r="BC49" s="282">
        <f t="shared" ca="1" si="63"/>
        <v>6.5386769290135538E-2</v>
      </c>
      <c r="BD49" s="283">
        <f t="shared" ca="1" si="64"/>
        <v>0.47637089688390771</v>
      </c>
      <c r="BE49" s="283">
        <f t="shared" ca="1" si="65"/>
        <v>0.45824233382595675</v>
      </c>
      <c r="BF49" s="283">
        <f t="shared" ca="1" si="66"/>
        <v>0</v>
      </c>
      <c r="BG49" s="283">
        <f t="shared" ca="1" si="67"/>
        <v>0</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67995.47</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9490.3975940038144</v>
      </c>
      <c r="S50" s="292">
        <f t="shared" si="33"/>
        <v>63290.474482404526</v>
      </c>
      <c r="T50" s="289">
        <f t="shared" si="34"/>
        <v>2103.3510491365905</v>
      </c>
      <c r="U50" s="290">
        <f t="shared" si="35"/>
        <v>2547.1145494716548</v>
      </c>
      <c r="V50" s="290">
        <f t="shared" si="36"/>
        <v>-1363.6952855496675</v>
      </c>
      <c r="W50" s="290">
        <f t="shared" si="37"/>
        <v>-848.68351981268825</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0.51776851961525439</v>
      </c>
      <c r="AR50" s="598">
        <f t="shared" si="60"/>
        <v>0</v>
      </c>
      <c r="AS50" s="282">
        <f t="shared" ca="1" si="50"/>
        <v>0.98201379003790845</v>
      </c>
      <c r="AT50" s="283">
        <f t="shared" ca="1" si="51"/>
        <v>0.97086789425399456</v>
      </c>
      <c r="AU50" s="283">
        <f t="shared" si="52"/>
        <v>0</v>
      </c>
      <c r="AV50" s="283">
        <f t="shared" ca="1" si="53"/>
        <v>0</v>
      </c>
      <c r="AW50" s="284">
        <f t="shared" ca="1" si="54"/>
        <v>0</v>
      </c>
      <c r="AX50" s="296">
        <f t="shared" ca="1" si="55"/>
        <v>0.96326307348473383</v>
      </c>
      <c r="AY50" s="297">
        <f t="shared" ca="1" si="56"/>
        <v>0.92677733106388105</v>
      </c>
      <c r="AZ50" s="297">
        <f t="shared" si="57"/>
        <v>0</v>
      </c>
      <c r="BA50" s="283">
        <f t="shared" ca="1" si="61"/>
        <v>0</v>
      </c>
      <c r="BB50" s="284">
        <f t="shared" ca="1" si="62"/>
        <v>0</v>
      </c>
      <c r="BC50" s="282">
        <f t="shared" ca="1" si="63"/>
        <v>3.6736926515266166E-2</v>
      </c>
      <c r="BD50" s="283">
        <f t="shared" ca="1" si="64"/>
        <v>0.4909290544827552</v>
      </c>
      <c r="BE50" s="283">
        <f t="shared" ca="1" si="65"/>
        <v>0.47233401900197858</v>
      </c>
      <c r="BF50" s="283">
        <f t="shared" ca="1" si="66"/>
        <v>0</v>
      </c>
      <c r="BG50" s="283">
        <f t="shared" ca="1" si="67"/>
        <v>0</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67337.899999999994</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9252.2547875851942</v>
      </c>
      <c r="S51" s="292">
        <f t="shared" si="33"/>
        <v>63801.189007397064</v>
      </c>
      <c r="T51" s="289">
        <f t="shared" si="34"/>
        <v>2159.4850323123574</v>
      </c>
      <c r="U51" s="290">
        <f t="shared" si="35"/>
        <v>2606.0246852869459</v>
      </c>
      <c r="V51" s="290">
        <f t="shared" si="36"/>
        <v>-1266.811598050841</v>
      </c>
      <c r="W51" s="290">
        <f t="shared" si="37"/>
        <v>-547.51737167895772</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0.52462735594756715</v>
      </c>
      <c r="AR51" s="598">
        <f t="shared" si="60"/>
        <v>0</v>
      </c>
      <c r="AS51" s="282">
        <f t="shared" ca="1" si="50"/>
        <v>0.99330714907571527</v>
      </c>
      <c r="AT51" s="283">
        <f t="shared" ca="1" si="51"/>
        <v>0.98203307321514388</v>
      </c>
      <c r="AU51" s="283">
        <f t="shared" si="52"/>
        <v>0</v>
      </c>
      <c r="AV51" s="283">
        <f t="shared" ca="1" si="53"/>
        <v>0</v>
      </c>
      <c r="AW51" s="284">
        <f t="shared" ca="1" si="54"/>
        <v>0</v>
      </c>
      <c r="AX51" s="296">
        <f t="shared" ca="1" si="55"/>
        <v>0.97422176411576045</v>
      </c>
      <c r="AY51" s="297">
        <f t="shared" ca="1" si="56"/>
        <v>0.93742222974937062</v>
      </c>
      <c r="AZ51" s="297">
        <f t="shared" si="57"/>
        <v>0</v>
      </c>
      <c r="BA51" s="283">
        <f t="shared" ca="1" si="61"/>
        <v>0</v>
      </c>
      <c r="BB51" s="284">
        <f t="shared" ca="1" si="62"/>
        <v>0</v>
      </c>
      <c r="BC51" s="282">
        <f t="shared" ca="1" si="63"/>
        <v>2.5778235884239553E-2</v>
      </c>
      <c r="BD51" s="283">
        <f t="shared" ca="1" si="64"/>
        <v>0.49648786527340472</v>
      </c>
      <c r="BE51" s="283">
        <f t="shared" ca="1" si="65"/>
        <v>0.47773389884235579</v>
      </c>
      <c r="BF51" s="283">
        <f t="shared" ca="1" si="66"/>
        <v>0</v>
      </c>
      <c r="BG51" s="283">
        <f t="shared" ca="1" si="67"/>
        <v>0</v>
      </c>
      <c r="BH51" s="284">
        <f t="shared" ca="1" si="68"/>
        <v>0</v>
      </c>
    </row>
    <row r="52" spans="1:60" ht="15" thickBot="1" x14ac:dyDescent="0.25">
      <c r="A52" s="302">
        <v>2035</v>
      </c>
      <c r="B52" s="823">
        <f t="shared" si="71"/>
        <v>139788.32999999999</v>
      </c>
      <c r="C52" s="824">
        <f t="shared" si="71"/>
        <v>11716.67</v>
      </c>
      <c r="D52" s="824">
        <f t="shared" si="71"/>
        <v>18086.669999999998</v>
      </c>
      <c r="E52" s="824">
        <f t="shared" si="71"/>
        <v>136498.67000000001</v>
      </c>
      <c r="F52" s="824">
        <f t="shared" si="71"/>
        <v>66721.67</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9019.6446640802897</v>
      </c>
      <c r="S52" s="306">
        <f t="shared" si="33"/>
        <v>64372.845916456303</v>
      </c>
      <c r="T52" s="303">
        <f t="shared" si="34"/>
        <v>2214.8626757074062</v>
      </c>
      <c r="U52" s="304">
        <f t="shared" si="35"/>
        <v>2664.6219881956231</v>
      </c>
      <c r="V52" s="304">
        <f t="shared" si="36"/>
        <v>-1052.3144969062105</v>
      </c>
      <c r="W52" s="304">
        <f t="shared" si="37"/>
        <v>-243.67609126266143</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0.53108482209511254</v>
      </c>
      <c r="AR52" s="599">
        <f t="shared" si="60"/>
        <v>0</v>
      </c>
      <c r="AS52" s="830">
        <f t="shared" ca="1" si="50"/>
        <v>0.99752737684336534</v>
      </c>
      <c r="AT52" s="831">
        <f t="shared" ca="1" si="51"/>
        <v>0.99426275444028267</v>
      </c>
      <c r="AU52" s="831">
        <f t="shared" si="52"/>
        <v>0</v>
      </c>
      <c r="AV52" s="831">
        <f t="shared" ca="1" si="53"/>
        <v>0</v>
      </c>
      <c r="AW52" s="832">
        <f t="shared" ca="1" si="54"/>
        <v>0</v>
      </c>
      <c r="AX52" s="310">
        <f t="shared" ca="1" si="55"/>
        <v>0.97824954477242609</v>
      </c>
      <c r="AY52" s="311">
        <f t="shared" ca="1" si="56"/>
        <v>0.94908596267920176</v>
      </c>
      <c r="AZ52" s="311">
        <f t="shared" si="57"/>
        <v>0</v>
      </c>
      <c r="BA52" s="311">
        <f t="shared" ca="1" si="61"/>
        <v>0</v>
      </c>
      <c r="BB52" s="312">
        <f t="shared" ca="1" si="62"/>
        <v>0</v>
      </c>
      <c r="BC52" s="310">
        <f t="shared" ca="1" si="63"/>
        <v>2.1750455227573795E-2</v>
      </c>
      <c r="BD52" s="311">
        <f t="shared" ca="1" si="64"/>
        <v>0.49652599049181217</v>
      </c>
      <c r="BE52" s="311">
        <f t="shared" ca="1" si="65"/>
        <v>0.48172355428061397</v>
      </c>
      <c r="BF52" s="311">
        <f t="shared" ca="1" si="66"/>
        <v>0</v>
      </c>
      <c r="BG52" s="311">
        <f t="shared" ca="1" si="67"/>
        <v>0</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8694.6344343600122</v>
      </c>
      <c r="S53" s="278">
        <f t="shared" si="33"/>
        <v>65026.442144000517</v>
      </c>
      <c r="T53" s="275">
        <f t="shared" si="34"/>
        <v>2297.1633036926969</v>
      </c>
      <c r="U53" s="276">
        <f t="shared" si="35"/>
        <v>2777.0492502186398</v>
      </c>
      <c r="V53" s="276">
        <f t="shared" si="36"/>
        <v>-755.55336825649829</v>
      </c>
      <c r="W53" s="276">
        <f t="shared" si="37"/>
        <v>169.93614648757648</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86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0</v>
      </c>
      <c r="AW53" s="639">
        <f t="shared" ca="1" si="54"/>
        <v>0</v>
      </c>
      <c r="AX53" s="282">
        <f t="shared" ca="1" si="55"/>
        <v>0.97970779560863075</v>
      </c>
      <c r="AY53" s="283">
        <f t="shared" ca="1" si="56"/>
        <v>0.95087141070382897</v>
      </c>
      <c r="AZ53" s="283">
        <f t="shared" si="57"/>
        <v>0</v>
      </c>
      <c r="BA53" s="283">
        <f t="shared" ca="1" si="61"/>
        <v>0</v>
      </c>
      <c r="BB53" s="284">
        <f t="shared" ca="1" si="62"/>
        <v>0</v>
      </c>
      <c r="BC53" s="282">
        <f t="shared" ca="1" si="63"/>
        <v>2.0292204391369362E-2</v>
      </c>
      <c r="BD53" s="283">
        <f t="shared" ca="1" si="64"/>
        <v>0.49717067377393931</v>
      </c>
      <c r="BE53" s="283">
        <f t="shared" ca="1" si="65"/>
        <v>0.48253712183469138</v>
      </c>
      <c r="BF53" s="283">
        <f t="shared" ca="1" si="66"/>
        <v>0</v>
      </c>
      <c r="BG53" s="283">
        <f t="shared" ca="1" si="67"/>
        <v>0</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8430.4050967435523</v>
      </c>
      <c r="S54" s="292">
        <f t="shared" si="33"/>
        <v>65468.298662584006</v>
      </c>
      <c r="T54" s="289">
        <f t="shared" si="34"/>
        <v>2348.7535944328065</v>
      </c>
      <c r="U54" s="290">
        <f t="shared" si="35"/>
        <v>2846.960216853352</v>
      </c>
      <c r="V54" s="290">
        <f t="shared" si="36"/>
        <v>-562.47182449767752</v>
      </c>
      <c r="W54" s="290">
        <f t="shared" si="37"/>
        <v>493.89417908470023</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86</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0</v>
      </c>
      <c r="AW54" s="284">
        <f t="shared" ca="1" si="54"/>
        <v>0</v>
      </c>
      <c r="AX54" s="296">
        <f t="shared" ca="1" si="55"/>
        <v>0.98022761314070572</v>
      </c>
      <c r="AY54" s="297">
        <f t="shared" ca="1" si="56"/>
        <v>0.95160170259119081</v>
      </c>
      <c r="AZ54" s="297">
        <f t="shared" si="57"/>
        <v>0</v>
      </c>
      <c r="BA54" s="283">
        <f t="shared" ca="1" si="61"/>
        <v>0</v>
      </c>
      <c r="BB54" s="284">
        <f t="shared" ca="1" si="62"/>
        <v>0</v>
      </c>
      <c r="BC54" s="282">
        <f t="shared" ca="1" si="63"/>
        <v>1.9772386859294278E-2</v>
      </c>
      <c r="BD54" s="283">
        <f t="shared" ca="1" si="64"/>
        <v>0.49737632912952096</v>
      </c>
      <c r="BE54" s="283">
        <f t="shared" ca="1" si="65"/>
        <v>0.48285128401118471</v>
      </c>
      <c r="BF54" s="283">
        <f t="shared" ca="1" si="66"/>
        <v>0</v>
      </c>
      <c r="BG54" s="283">
        <f t="shared" ca="1" si="67"/>
        <v>0</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8129.2655766240396</v>
      </c>
      <c r="S55" s="292">
        <f t="shared" si="33"/>
        <v>66021.575920023271</v>
      </c>
      <c r="T55" s="289">
        <f t="shared" si="34"/>
        <v>2424.3066634414508</v>
      </c>
      <c r="U55" s="290">
        <f t="shared" si="35"/>
        <v>2949.3443496615691</v>
      </c>
      <c r="V55" s="290">
        <f t="shared" si="36"/>
        <v>-291.18259831127034</v>
      </c>
      <c r="W55" s="290">
        <f t="shared" si="37"/>
        <v>869.94305386671385</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86</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0</v>
      </c>
      <c r="AW55" s="284">
        <f t="shared" ca="1" si="54"/>
        <v>0</v>
      </c>
      <c r="AX55" s="296">
        <f t="shared" ca="1" si="55"/>
        <v>0.9803660675507182</v>
      </c>
      <c r="AY55" s="297">
        <f t="shared" ca="1" si="56"/>
        <v>0.9520853726906463</v>
      </c>
      <c r="AZ55" s="297">
        <f t="shared" si="57"/>
        <v>0</v>
      </c>
      <c r="BA55" s="283">
        <f t="shared" ca="1" si="61"/>
        <v>0</v>
      </c>
      <c r="BB55" s="284">
        <f t="shared" ca="1" si="62"/>
        <v>0</v>
      </c>
      <c r="BC55" s="282">
        <f t="shared" ca="1" si="63"/>
        <v>1.9633932449281688E-2</v>
      </c>
      <c r="BD55" s="283">
        <f t="shared" ca="1" si="64"/>
        <v>0.49735667680467832</v>
      </c>
      <c r="BE55" s="283">
        <f t="shared" ca="1" si="65"/>
        <v>0.48300939074603999</v>
      </c>
      <c r="BF55" s="283">
        <f t="shared" ca="1" si="66"/>
        <v>0</v>
      </c>
      <c r="BG55" s="283">
        <f t="shared" ca="1" si="67"/>
        <v>0</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7781.9000136291388</v>
      </c>
      <c r="S56" s="292">
        <f t="shared" si="33"/>
        <v>66588.783958516899</v>
      </c>
      <c r="T56" s="289">
        <f t="shared" si="34"/>
        <v>2527.5800272744027</v>
      </c>
      <c r="U56" s="290">
        <f t="shared" si="35"/>
        <v>3089.2523811681876</v>
      </c>
      <c r="V56" s="290">
        <f t="shared" si="36"/>
        <v>127.65145882116303</v>
      </c>
      <c r="W56" s="290">
        <f t="shared" si="37"/>
        <v>1294.1082295764945</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56</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2.3570634765114139E-2</v>
      </c>
      <c r="AW56" s="284">
        <f t="shared" ca="1" si="54"/>
        <v>0</v>
      </c>
      <c r="AX56" s="296">
        <f t="shared" ca="1" si="55"/>
        <v>0.98033866720180773</v>
      </c>
      <c r="AY56" s="297">
        <f t="shared" ca="1" si="56"/>
        <v>0.95570723948234815</v>
      </c>
      <c r="AZ56" s="297">
        <f t="shared" si="57"/>
        <v>0</v>
      </c>
      <c r="BA56" s="283">
        <f t="shared" ca="1" si="61"/>
        <v>1.4000005137938113E-2</v>
      </c>
      <c r="BB56" s="284">
        <f t="shared" ca="1" si="62"/>
        <v>0</v>
      </c>
      <c r="BC56" s="282">
        <f t="shared" ca="1" si="63"/>
        <v>1.9661332798192377E-2</v>
      </c>
      <c r="BD56" s="283">
        <f t="shared" ca="1" si="64"/>
        <v>0.49284167956487385</v>
      </c>
      <c r="BE56" s="283">
        <f t="shared" ca="1" si="65"/>
        <v>0.48045882187143113</v>
      </c>
      <c r="BF56" s="283">
        <f t="shared" ca="1" si="66"/>
        <v>0</v>
      </c>
      <c r="BG56" s="283">
        <f t="shared" ca="1" si="67"/>
        <v>7.038165765502675E-3</v>
      </c>
      <c r="BH56" s="284">
        <f t="shared" ca="1" si="68"/>
        <v>0</v>
      </c>
    </row>
    <row r="57" spans="1:60" ht="1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7385.2238061167764</v>
      </c>
      <c r="S57" s="306">
        <f t="shared" si="33"/>
        <v>66591.743069672943</v>
      </c>
      <c r="T57" s="303">
        <f t="shared" si="34"/>
        <v>2641.2152035586332</v>
      </c>
      <c r="U57" s="304">
        <f t="shared" si="35"/>
        <v>3244.6756999360241</v>
      </c>
      <c r="V57" s="304">
        <f t="shared" si="36"/>
        <v>643.98168452287427</v>
      </c>
      <c r="W57" s="304">
        <f t="shared" si="37"/>
        <v>1690.6729353585642</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39</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0.16965625403151388</v>
      </c>
      <c r="AW57" s="321">
        <f t="shared" ca="1" si="54"/>
        <v>0</v>
      </c>
      <c r="AX57" s="310">
        <f t="shared" ca="1" si="55"/>
        <v>0.98021911896359148</v>
      </c>
      <c r="AY57" s="311">
        <f t="shared" ca="1" si="56"/>
        <v>0.95632822725049571</v>
      </c>
      <c r="AZ57" s="311">
        <f t="shared" si="57"/>
        <v>0</v>
      </c>
      <c r="BA57" s="311">
        <f t="shared" ca="1" si="61"/>
        <v>0.10617894540423625</v>
      </c>
      <c r="BB57" s="312">
        <f t="shared" ca="1" si="62"/>
        <v>0</v>
      </c>
      <c r="BC57" s="310">
        <f t="shared" ca="1" si="63"/>
        <v>1.9780881036408626E-2</v>
      </c>
      <c r="BD57" s="311">
        <f t="shared" ca="1" si="64"/>
        <v>0.47036625764509782</v>
      </c>
      <c r="BE57" s="311">
        <f t="shared" ca="1" si="65"/>
        <v>0.45890201550832455</v>
      </c>
      <c r="BF57" s="311">
        <f t="shared" ca="1" si="66"/>
        <v>0</v>
      </c>
      <c r="BG57" s="311">
        <f t="shared" ca="1" si="67"/>
        <v>5.0950845810169107E-2</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6949.2419413603102</v>
      </c>
      <c r="S58" s="278">
        <f t="shared" si="33"/>
        <v>67017.518349698177</v>
      </c>
      <c r="T58" s="275">
        <f t="shared" si="34"/>
        <v>2802.4866931697297</v>
      </c>
      <c r="U58" s="276">
        <f t="shared" si="35"/>
        <v>3458.9903391110302</v>
      </c>
      <c r="V58" s="276">
        <f t="shared" si="36"/>
        <v>1397.423801706188</v>
      </c>
      <c r="W58" s="276">
        <f t="shared" si="37"/>
        <v>2184.1663444611304</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27</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0.45550270802882226</v>
      </c>
      <c r="AW58" s="284">
        <f t="shared" ca="1" si="54"/>
        <v>0</v>
      </c>
      <c r="AX58" s="282">
        <f t="shared" ca="1" si="55"/>
        <v>0.98003458602945726</v>
      </c>
      <c r="AY58" s="283">
        <f t="shared" ca="1" si="56"/>
        <v>0.95711272434326122</v>
      </c>
      <c r="AZ58" s="283">
        <f t="shared" si="57"/>
        <v>0</v>
      </c>
      <c r="BA58" s="283">
        <f t="shared" ca="1" si="61"/>
        <v>0.30407739039995757</v>
      </c>
      <c r="BB58" s="284">
        <f t="shared" ca="1" si="62"/>
        <v>0</v>
      </c>
      <c r="BC58" s="282">
        <f t="shared" ca="1" si="63"/>
        <v>1.9965413970542634E-2</v>
      </c>
      <c r="BD58" s="283">
        <f t="shared" ca="1" si="64"/>
        <v>0.42854595948492025</v>
      </c>
      <c r="BE58" s="283">
        <f t="shared" ca="1" si="65"/>
        <v>0.41852277117144548</v>
      </c>
      <c r="BF58" s="283">
        <f t="shared" ca="1" si="66"/>
        <v>0</v>
      </c>
      <c r="BG58" s="283">
        <f t="shared" ca="1" si="67"/>
        <v>0.13296585537309155</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6499.813761742761</v>
      </c>
      <c r="S59" s="292">
        <f t="shared" si="33"/>
        <v>67997.92544580398</v>
      </c>
      <c r="T59" s="289">
        <f t="shared" si="34"/>
        <v>3009.894835439557</v>
      </c>
      <c r="U59" s="290">
        <f t="shared" si="35"/>
        <v>3727.5059393118436</v>
      </c>
      <c r="V59" s="290">
        <f t="shared" si="36"/>
        <v>2375.1825026885299</v>
      </c>
      <c r="W59" s="290">
        <f t="shared" si="37"/>
        <v>2766.6826409211126</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19</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0.71771614761470548</v>
      </c>
      <c r="AW59" s="284">
        <f t="shared" ca="1" si="54"/>
        <v>0</v>
      </c>
      <c r="AX59" s="296">
        <f t="shared" ca="1" si="55"/>
        <v>0.97980479208660254</v>
      </c>
      <c r="AY59" s="297">
        <f t="shared" ca="1" si="56"/>
        <v>0.95803146466732969</v>
      </c>
      <c r="AZ59" s="297">
        <f t="shared" si="57"/>
        <v>0</v>
      </c>
      <c r="BA59" s="283">
        <f t="shared" ca="1" si="61"/>
        <v>0.51422232200355622</v>
      </c>
      <c r="BB59" s="284">
        <f t="shared" ca="1" si="62"/>
        <v>0</v>
      </c>
      <c r="BC59" s="282">
        <f t="shared" ca="1" si="63"/>
        <v>2.0195207913397462E-2</v>
      </c>
      <c r="BD59" s="283">
        <f t="shared" ca="1" si="64"/>
        <v>0.39151488423344771</v>
      </c>
      <c r="BE59" s="283">
        <f t="shared" ca="1" si="65"/>
        <v>0.3828145983879585</v>
      </c>
      <c r="BF59" s="283">
        <f t="shared" ca="1" si="66"/>
        <v>0</v>
      </c>
      <c r="BG59" s="283">
        <f t="shared" ca="1" si="67"/>
        <v>0.20547530946519629</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6071.2623788294513</v>
      </c>
      <c r="S60" s="292">
        <f t="shared" si="33"/>
        <v>68410.331155511361</v>
      </c>
      <c r="T60" s="289">
        <f t="shared" si="34"/>
        <v>3196.808899081112</v>
      </c>
      <c r="U60" s="290">
        <f t="shared" si="35"/>
        <v>3965.5836939658311</v>
      </c>
      <c r="V60" s="290">
        <f t="shared" si="36"/>
        <v>3360.7667798809553</v>
      </c>
      <c r="W60" s="290">
        <f t="shared" si="37"/>
        <v>3250.9063853592543</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14</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0.87073692958461035</v>
      </c>
      <c r="AW60" s="284">
        <f t="shared" ca="1" si="54"/>
        <v>0</v>
      </c>
      <c r="AX60" s="296">
        <f t="shared" ca="1" si="55"/>
        <v>0.97955647308915561</v>
      </c>
      <c r="AY60" s="297">
        <f t="shared" ca="1" si="56"/>
        <v>0.95899522220726574</v>
      </c>
      <c r="AZ60" s="297">
        <f t="shared" si="57"/>
        <v>0</v>
      </c>
      <c r="BA60" s="283">
        <f t="shared" ca="1" si="61"/>
        <v>0.66755228973348901</v>
      </c>
      <c r="BB60" s="284">
        <f t="shared" ca="1" si="62"/>
        <v>0</v>
      </c>
      <c r="BC60" s="282">
        <f t="shared" ca="1" si="63"/>
        <v>2.044352691084439E-2</v>
      </c>
      <c r="BD60" s="283">
        <f t="shared" ca="1" si="64"/>
        <v>0.36818595477488325</v>
      </c>
      <c r="BE60" s="283">
        <f t="shared" ca="1" si="65"/>
        <v>0.3604575960785843</v>
      </c>
      <c r="BF60" s="283">
        <f t="shared" ca="1" si="66"/>
        <v>0</v>
      </c>
      <c r="BG60" s="283">
        <f t="shared" ca="1" si="67"/>
        <v>0.25091292223568806</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5691.6699828299852</v>
      </c>
      <c r="S61" s="292">
        <f t="shared" si="33"/>
        <v>68945.402226467428</v>
      </c>
      <c r="T61" s="289">
        <f t="shared" si="34"/>
        <v>3373.5487735950783</v>
      </c>
      <c r="U61" s="290">
        <f t="shared" si="35"/>
        <v>4186.0216348679469</v>
      </c>
      <c r="V61" s="290">
        <f t="shared" si="36"/>
        <v>4294.9948536216234</v>
      </c>
      <c r="W61" s="290">
        <f t="shared" si="37"/>
        <v>3702.879297587936</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11</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0.94233213789492121</v>
      </c>
      <c r="AW61" s="284">
        <f t="shared" ca="1" si="54"/>
        <v>0</v>
      </c>
      <c r="AX61" s="296">
        <f t="shared" ca="1" si="55"/>
        <v>0.97932067204871642</v>
      </c>
      <c r="AY61" s="297">
        <f t="shared" ca="1" si="56"/>
        <v>0.959891691472192</v>
      </c>
      <c r="AZ61" s="297">
        <f t="shared" si="57"/>
        <v>0</v>
      </c>
      <c r="BA61" s="283">
        <f t="shared" ca="1" si="61"/>
        <v>0.76457775106331927</v>
      </c>
      <c r="BB61" s="284">
        <f t="shared" ca="1" si="62"/>
        <v>0</v>
      </c>
      <c r="BC61" s="282">
        <f t="shared" ca="1" si="63"/>
        <v>2.0679327951283577E-2</v>
      </c>
      <c r="BD61" s="283">
        <f t="shared" ca="1" si="64"/>
        <v>0.35471280611935718</v>
      </c>
      <c r="BE61" s="283">
        <f t="shared" ca="1" si="65"/>
        <v>0.34767557264003096</v>
      </c>
      <c r="BF61" s="283">
        <f t="shared" ca="1" si="66"/>
        <v>0</v>
      </c>
      <c r="BG61" s="283">
        <f t="shared" ca="1" si="67"/>
        <v>0.27693229328932839</v>
      </c>
      <c r="BH61" s="284">
        <f t="shared" ca="1" si="68"/>
        <v>0</v>
      </c>
    </row>
    <row r="62" spans="1:60" ht="1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5372.6491353369838</v>
      </c>
      <c r="S62" s="306">
        <f t="shared" si="33"/>
        <v>69892.24126765762</v>
      </c>
      <c r="T62" s="303">
        <f t="shared" si="34"/>
        <v>3543.0368816071768</v>
      </c>
      <c r="U62" s="304">
        <f t="shared" si="35"/>
        <v>4394.3090683869732</v>
      </c>
      <c r="V62" s="304">
        <f t="shared" si="36"/>
        <v>5129.0445766933108</v>
      </c>
      <c r="W62" s="304">
        <f t="shared" si="37"/>
        <v>4150.3770658967751</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9</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0.97659506180302502</v>
      </c>
      <c r="AW62" s="832">
        <f t="shared" ca="1" si="54"/>
        <v>0</v>
      </c>
      <c r="AX62" s="310">
        <f t="shared" ca="1" si="55"/>
        <v>0.9791216383660003</v>
      </c>
      <c r="AY62" s="311">
        <f t="shared" ca="1" si="56"/>
        <v>0.96063610049394943</v>
      </c>
      <c r="AZ62" s="311">
        <f t="shared" si="57"/>
        <v>0</v>
      </c>
      <c r="BA62" s="311">
        <f t="shared" ca="1" si="61"/>
        <v>0.82661657844521474</v>
      </c>
      <c r="BB62" s="312">
        <f t="shared" ca="1" si="62"/>
        <v>0</v>
      </c>
      <c r="BC62" s="310">
        <f t="shared" ca="1" si="63"/>
        <v>2.0878361633999809E-2</v>
      </c>
      <c r="BD62" s="311">
        <f t="shared" ca="1" si="64"/>
        <v>0.34654716706971467</v>
      </c>
      <c r="BE62" s="311">
        <f t="shared" ca="1" si="65"/>
        <v>0.34000445518356948</v>
      </c>
      <c r="BF62" s="311">
        <f t="shared" ca="1" si="66"/>
        <v>0</v>
      </c>
      <c r="BG62" s="311">
        <f t="shared" ca="1" si="67"/>
        <v>0.2925700161127161</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5110.3084676478338</v>
      </c>
      <c r="S63" s="278">
        <f t="shared" si="33"/>
        <v>69933.967285915438</v>
      </c>
      <c r="T63" s="275">
        <f t="shared" si="34"/>
        <v>3635.4714499324136</v>
      </c>
      <c r="U63" s="276">
        <f t="shared" si="35"/>
        <v>4505.9135134058124</v>
      </c>
      <c r="V63" s="276">
        <f t="shared" si="36"/>
        <v>5632.0083716498484</v>
      </c>
      <c r="W63" s="276">
        <f t="shared" si="37"/>
        <v>4417.8627300758089</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8</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0.98864991908432542</v>
      </c>
      <c r="AW63" s="639">
        <f t="shared" ca="1" si="54"/>
        <v>0</v>
      </c>
      <c r="AX63" s="282">
        <f t="shared" ca="1" si="55"/>
        <v>0.97896954003781089</v>
      </c>
      <c r="AY63" s="283">
        <f t="shared" ca="1" si="56"/>
        <v>0.96119803395958858</v>
      </c>
      <c r="AZ63" s="283">
        <f t="shared" si="57"/>
        <v>0</v>
      </c>
      <c r="BA63" s="283">
        <f t="shared" ca="1" si="61"/>
        <v>0.86143018891154688</v>
      </c>
      <c r="BB63" s="284">
        <f t="shared" ca="1" si="62"/>
        <v>0</v>
      </c>
      <c r="BC63" s="282">
        <f t="shared" ca="1" si="63"/>
        <v>2.1030459962189108E-2</v>
      </c>
      <c r="BD63" s="283">
        <f t="shared" ca="1" si="64"/>
        <v>0.34208385408144371</v>
      </c>
      <c r="BE63" s="283">
        <f t="shared" ca="1" si="65"/>
        <v>0.33587391082638046</v>
      </c>
      <c r="BF63" s="283">
        <f t="shared" ca="1" si="66"/>
        <v>0</v>
      </c>
      <c r="BG63" s="283">
        <f t="shared" ca="1" si="67"/>
        <v>0.30101177512998673</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4892.774524468362</v>
      </c>
      <c r="S64" s="292">
        <f t="shared" si="33"/>
        <v>70586.887509617954</v>
      </c>
      <c r="T64" s="289">
        <f t="shared" si="34"/>
        <v>3731.9455529174393</v>
      </c>
      <c r="U64" s="290">
        <f t="shared" si="35"/>
        <v>4622.6709484143203</v>
      </c>
      <c r="V64" s="290">
        <f t="shared" si="36"/>
        <v>6016.9093920392152</v>
      </c>
      <c r="W64" s="290">
        <f t="shared" si="37"/>
        <v>4723.8086751704113</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7</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0.99672727022689356</v>
      </c>
      <c r="AW64" s="284">
        <f t="shared" ca="1" si="54"/>
        <v>0</v>
      </c>
      <c r="AX64" s="296">
        <f t="shared" ca="1" si="55"/>
        <v>0.97886181901989344</v>
      </c>
      <c r="AY64" s="297">
        <f t="shared" ca="1" si="56"/>
        <v>0.96159234240408487</v>
      </c>
      <c r="AZ64" s="297">
        <f t="shared" si="57"/>
        <v>0</v>
      </c>
      <c r="BA64" s="283">
        <f t="shared" ca="1" si="61"/>
        <v>0.88494566404422148</v>
      </c>
      <c r="BB64" s="284">
        <f t="shared" ca="1" si="62"/>
        <v>0</v>
      </c>
      <c r="BC64" s="282">
        <f t="shared" ca="1" si="63"/>
        <v>2.1138180980106558E-2</v>
      </c>
      <c r="BD64" s="283">
        <f t="shared" ca="1" si="64"/>
        <v>0.33912738724550434</v>
      </c>
      <c r="BE64" s="283">
        <f t="shared" ca="1" si="65"/>
        <v>0.33314436454503732</v>
      </c>
      <c r="BF64" s="283">
        <f t="shared" ca="1" si="66"/>
        <v>0</v>
      </c>
      <c r="BG64" s="283">
        <f t="shared" ca="1" si="67"/>
        <v>0.30659006722935178</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4707.0340703481625</v>
      </c>
      <c r="S65" s="292">
        <f t="shared" si="33"/>
        <v>71185.964665070365</v>
      </c>
      <c r="T65" s="289">
        <f t="shared" si="34"/>
        <v>3804.8877093417705</v>
      </c>
      <c r="U65" s="290">
        <f t="shared" si="35"/>
        <v>4710.8793188391128</v>
      </c>
      <c r="V65" s="290">
        <f t="shared" si="36"/>
        <v>6250.0251328825561</v>
      </c>
      <c r="W65" s="290">
        <f t="shared" si="37"/>
        <v>4990.6160753176418</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6</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0.99999999439720355</v>
      </c>
      <c r="AW65" s="284">
        <f t="shared" ca="1" si="54"/>
        <v>0</v>
      </c>
      <c r="AX65" s="296">
        <f t="shared" ca="1" si="55"/>
        <v>0.97878961015255317</v>
      </c>
      <c r="AY65" s="297">
        <f t="shared" ca="1" si="56"/>
        <v>0.96185516576438468</v>
      </c>
      <c r="AZ65" s="297">
        <f t="shared" si="57"/>
        <v>0</v>
      </c>
      <c r="BA65" s="283">
        <f t="shared" ca="1" si="61"/>
        <v>0.89839670629635426</v>
      </c>
      <c r="BB65" s="284">
        <f t="shared" ca="1" si="62"/>
        <v>0</v>
      </c>
      <c r="BC65" s="282">
        <f t="shared" ca="1" si="63"/>
        <v>2.121038984744672E-2</v>
      </c>
      <c r="BD65" s="283">
        <f t="shared" ca="1" si="64"/>
        <v>0.33744808131359744</v>
      </c>
      <c r="BE65" s="283">
        <f t="shared" ca="1" si="65"/>
        <v>0.33160975231252776</v>
      </c>
      <c r="BF65" s="283">
        <f t="shared" ca="1" si="66"/>
        <v>0</v>
      </c>
      <c r="BG65" s="283">
        <f t="shared" ca="1" si="67"/>
        <v>0.30973177652642808</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4542.344361971499</v>
      </c>
      <c r="S66" s="292">
        <f t="shared" si="33"/>
        <v>71621.882553678661</v>
      </c>
      <c r="T66" s="289">
        <f t="shared" si="34"/>
        <v>3854.4773080282412</v>
      </c>
      <c r="U66" s="290">
        <f t="shared" si="35"/>
        <v>4770.8177518097409</v>
      </c>
      <c r="V66" s="290">
        <f t="shared" si="36"/>
        <v>6388.6607155850124</v>
      </c>
      <c r="W66" s="290">
        <f t="shared" si="37"/>
        <v>5214.1376428209433</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6</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0.99999999793884631</v>
      </c>
      <c r="AW66" s="284">
        <f t="shared" ca="1" si="54"/>
        <v>0</v>
      </c>
      <c r="AX66" s="296">
        <f t="shared" ca="1" si="55"/>
        <v>0.97874290717960932</v>
      </c>
      <c r="AY66" s="297">
        <f t="shared" ca="1" si="56"/>
        <v>0.96202434038731355</v>
      </c>
      <c r="AZ66" s="297">
        <f t="shared" si="57"/>
        <v>0</v>
      </c>
      <c r="BA66" s="283">
        <f t="shared" ca="1" si="61"/>
        <v>0.90497288666095288</v>
      </c>
      <c r="BB66" s="284">
        <f t="shared" ca="1" si="62"/>
        <v>0</v>
      </c>
      <c r="BC66" s="282">
        <f t="shared" ca="1" si="63"/>
        <v>2.1257092820390788E-2</v>
      </c>
      <c r="BD66" s="283">
        <f t="shared" ca="1" si="64"/>
        <v>0.33662162852909511</v>
      </c>
      <c r="BE66" s="283">
        <f t="shared" ca="1" si="65"/>
        <v>0.33087156777359761</v>
      </c>
      <c r="BF66" s="283">
        <f t="shared" ca="1" si="66"/>
        <v>0</v>
      </c>
      <c r="BG66" s="283">
        <f t="shared" ca="1" si="67"/>
        <v>0.31124971087691655</v>
      </c>
      <c r="BH66" s="284">
        <f t="shared" ca="1" si="68"/>
        <v>0</v>
      </c>
    </row>
    <row r="67" spans="1:60" ht="1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4360.8316679396312</v>
      </c>
      <c r="S67" s="306">
        <f t="shared" si="33"/>
        <v>72023.59719885599</v>
      </c>
      <c r="T67" s="303">
        <f t="shared" si="34"/>
        <v>3919.2853460391934</v>
      </c>
      <c r="U67" s="304">
        <f t="shared" si="35"/>
        <v>4848.3483303757903</v>
      </c>
      <c r="V67" s="304">
        <f t="shared" si="36"/>
        <v>6507.8426377271744</v>
      </c>
      <c r="W67" s="304">
        <f t="shared" si="37"/>
        <v>5449.8165527884221</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5</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8/27/2020 19:32</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40" t="s">
        <v>251</v>
      </c>
      <c r="C70" s="1541"/>
      <c r="D70" s="1541"/>
      <c r="E70" s="1541"/>
      <c r="F70" s="1541"/>
      <c r="G70" s="1541"/>
      <c r="H70" s="1541"/>
      <c r="I70" s="1541"/>
      <c r="J70" s="1541"/>
      <c r="K70" s="1541"/>
      <c r="L70" s="1541"/>
      <c r="M70" s="1541"/>
      <c r="N70" s="1542"/>
      <c r="O70" s="1540" t="s">
        <v>252</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8"/>
      <c r="M71" s="382"/>
      <c r="N71" s="325"/>
      <c r="O71" s="1537" t="s">
        <v>121</v>
      </c>
      <c r="P71" s="1538"/>
      <c r="Q71" s="1538"/>
      <c r="R71" s="1538"/>
      <c r="S71" s="1538"/>
      <c r="T71" s="1538"/>
      <c r="U71" s="1538"/>
      <c r="V71" s="1538"/>
      <c r="W71" s="1538"/>
      <c r="X71" s="1538"/>
      <c r="Y71" s="1538"/>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53" t="str">
        <f>"% of miles on f2 for Tech "&amp; RIGHT(O69)&amp;" adopters"</f>
        <v>% of miles on f2 for Tech  adopters</v>
      </c>
      <c r="AC74" s="1554"/>
      <c r="AD74" s="1555"/>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0.49552524485678645</v>
      </c>
      <c r="I110" s="343">
        <v>0.49314856787037425</v>
      </c>
      <c r="J110" s="343">
        <v>0.48492700984276144</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0.48826034653914968</v>
      </c>
      <c r="V110" s="343">
        <v>0.47743788173681534</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0.36177559441087276</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8/27/2020 19:32</v>
      </c>
      <c r="O120" s="227" t="str">
        <f>"Output generated: "&amp; TEXT($L$5,"m/dd/yyyy hh:mm")</f>
        <v>Output generated: 8/27/2020 19:32</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40" t="s">
        <v>253</v>
      </c>
      <c r="C122" s="1541"/>
      <c r="D122" s="1541"/>
      <c r="E122" s="1541"/>
      <c r="F122" s="1541"/>
      <c r="G122" s="1541"/>
      <c r="H122" s="1541"/>
      <c r="I122" s="1541"/>
      <c r="J122" s="1541"/>
      <c r="K122" s="1541"/>
      <c r="L122" s="1541"/>
      <c r="M122" s="1541"/>
      <c r="N122" s="1542"/>
      <c r="O122" s="1540" t="s">
        <v>254</v>
      </c>
      <c r="P122" s="1541"/>
      <c r="Q122" s="1541"/>
      <c r="R122" s="1541"/>
      <c r="S122" s="1541"/>
      <c r="T122" s="1541"/>
      <c r="U122" s="1541"/>
      <c r="V122" s="1541"/>
      <c r="W122" s="1541"/>
      <c r="X122" s="1541"/>
      <c r="Y122" s="1541"/>
      <c r="Z122" s="1541"/>
      <c r="AA122" s="1542"/>
      <c r="AE122" s="937"/>
      <c r="AF122" s="937"/>
      <c r="AG122" s="937"/>
      <c r="AH122" s="937"/>
      <c r="AI122" s="937"/>
    </row>
    <row r="123" spans="1:39" x14ac:dyDescent="0.2">
      <c r="A123" s="324"/>
      <c r="B123" s="1537" t="s">
        <v>121</v>
      </c>
      <c r="C123" s="1538"/>
      <c r="D123" s="1538"/>
      <c r="E123" s="1538"/>
      <c r="F123" s="1538"/>
      <c r="G123" s="1538"/>
      <c r="H123" s="1538"/>
      <c r="I123" s="1538"/>
      <c r="J123" s="1538"/>
      <c r="K123" s="1538"/>
      <c r="L123" s="1538"/>
      <c r="M123" s="382"/>
      <c r="N123" s="325"/>
      <c r="O123" s="1537" t="s">
        <v>121</v>
      </c>
      <c r="P123" s="1538"/>
      <c r="Q123" s="1538"/>
      <c r="R123" s="1538"/>
      <c r="S123" s="1538"/>
      <c r="T123" s="1538"/>
      <c r="U123" s="1538"/>
      <c r="V123" s="1538"/>
      <c r="W123" s="1538"/>
      <c r="X123" s="1538"/>
      <c r="Y123" s="1538"/>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53" t="str">
        <f>"% of miles on f2 for Tech "&amp; RIGHT(O121)&amp;" adopters"</f>
        <v>% of miles on f2 for Tech  adopters</v>
      </c>
      <c r="AC126" s="1554"/>
      <c r="AD126" s="1555"/>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0.47041600193690053</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0.46351923036666798</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8/27/2020 19:32</v>
      </c>
      <c r="O172" s="227" t="str">
        <f>O$120</f>
        <v>Output generated: 8/27/2020 19:32</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40" t="s">
        <v>255</v>
      </c>
      <c r="C174" s="1541"/>
      <c r="D174" s="1541"/>
      <c r="E174" s="1541"/>
      <c r="F174" s="1541"/>
      <c r="G174" s="1541"/>
      <c r="H174" s="1541"/>
      <c r="I174" s="1541"/>
      <c r="J174" s="1541"/>
      <c r="K174" s="1541"/>
      <c r="L174" s="1541"/>
      <c r="M174" s="1541"/>
      <c r="N174" s="1542"/>
      <c r="O174" s="1540" t="s">
        <v>256</v>
      </c>
      <c r="P174" s="1541"/>
      <c r="Q174" s="1541"/>
      <c r="R174" s="1541"/>
      <c r="S174" s="1541"/>
      <c r="T174" s="1541"/>
      <c r="U174" s="1541"/>
      <c r="V174" s="1541"/>
      <c r="W174" s="1541"/>
      <c r="X174" s="1541"/>
      <c r="Y174" s="1541"/>
      <c r="Z174" s="1541"/>
      <c r="AA174" s="1542"/>
      <c r="AE174" s="937"/>
      <c r="AF174" s="937"/>
      <c r="AG174" s="937"/>
      <c r="AH174" s="937"/>
      <c r="AI174" s="937"/>
    </row>
    <row r="175" spans="1:35" x14ac:dyDescent="0.2">
      <c r="A175" s="324"/>
      <c r="B175" s="1537" t="s">
        <v>121</v>
      </c>
      <c r="C175" s="1538"/>
      <c r="D175" s="1538"/>
      <c r="E175" s="1538"/>
      <c r="F175" s="1538"/>
      <c r="G175" s="1538"/>
      <c r="H175" s="1538"/>
      <c r="I175" s="1538"/>
      <c r="J175" s="1538"/>
      <c r="K175" s="1538"/>
      <c r="L175" s="1538"/>
      <c r="M175" s="382"/>
      <c r="N175" s="325"/>
      <c r="O175" s="1537" t="s">
        <v>121</v>
      </c>
      <c r="P175" s="1538"/>
      <c r="Q175" s="1538"/>
      <c r="R175" s="1538"/>
      <c r="S175" s="1538"/>
      <c r="T175" s="1538"/>
      <c r="U175" s="1538"/>
      <c r="V175" s="1538"/>
      <c r="W175" s="1538"/>
      <c r="X175" s="1538"/>
      <c r="Y175" s="1538"/>
      <c r="Z175" s="382"/>
      <c r="AA175" s="325"/>
      <c r="AC175" s="954" t="s">
        <v>267</v>
      </c>
      <c r="AD175" s="234" t="b">
        <f>INDEX(TECH_OPT_FUEL2_Cls2,MATCH(RIGHT(O174),TECH_OPT_ROWS_Cls2,0))&lt;&gt;"N/A"</f>
        <v>0</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53" t="str">
        <f>"% of miles on f2 for Tech "&amp; RIGHT(O173)&amp;" adopters"</f>
        <v>% of miles on f2 for Tech  adopters</v>
      </c>
      <c r="AC178" s="1554"/>
      <c r="AD178" s="1555"/>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8/27/2020 19:32</v>
      </c>
      <c r="O224" s="227" t="str">
        <f>O$120</f>
        <v>Output generated: 8/27/2020 19:32</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40" t="s">
        <v>257</v>
      </c>
      <c r="C227" s="1541"/>
      <c r="D227" s="1541"/>
      <c r="E227" s="1541"/>
      <c r="F227" s="1541"/>
      <c r="G227" s="1541"/>
      <c r="H227" s="1541"/>
      <c r="I227" s="1541"/>
      <c r="J227" s="1541"/>
      <c r="K227" s="1541"/>
      <c r="L227" s="1541"/>
      <c r="M227" s="1541"/>
      <c r="N227" s="1542"/>
      <c r="O227" s="1540" t="s">
        <v>258</v>
      </c>
      <c r="P227" s="1541"/>
      <c r="Q227" s="1541"/>
      <c r="R227" s="1541"/>
      <c r="S227" s="1541"/>
      <c r="T227" s="1541"/>
      <c r="U227" s="1541"/>
      <c r="V227" s="1541"/>
      <c r="W227" s="1541"/>
      <c r="X227" s="1541"/>
      <c r="Y227" s="1541"/>
      <c r="Z227" s="1541"/>
      <c r="AA227" s="1542"/>
      <c r="AE227" s="937"/>
      <c r="AF227" s="937"/>
      <c r="AG227" s="937"/>
      <c r="AH227" s="937"/>
      <c r="AI227" s="937"/>
    </row>
    <row r="228" spans="1:39" x14ac:dyDescent="0.2">
      <c r="A228" s="324"/>
      <c r="B228" s="1537" t="s">
        <v>121</v>
      </c>
      <c r="C228" s="1538"/>
      <c r="D228" s="1538"/>
      <c r="E228" s="1538"/>
      <c r="F228" s="1538"/>
      <c r="G228" s="1538"/>
      <c r="H228" s="1538"/>
      <c r="I228" s="1538"/>
      <c r="J228" s="1538"/>
      <c r="K228" s="1538"/>
      <c r="L228" s="1538"/>
      <c r="M228" s="382"/>
      <c r="N228" s="325"/>
      <c r="O228" s="1537" t="s">
        <v>121</v>
      </c>
      <c r="P228" s="1538"/>
      <c r="Q228" s="1538"/>
      <c r="R228" s="1538"/>
      <c r="S228" s="1538"/>
      <c r="T228" s="1538"/>
      <c r="U228" s="1538"/>
      <c r="V228" s="1538"/>
      <c r="W228" s="1538"/>
      <c r="X228" s="1538"/>
      <c r="Y228" s="1538"/>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53" t="str">
        <f>"% of miles on f2 for Tech "&amp; RIGHT(O226)&amp;" adopters"</f>
        <v>% of miles on f2 for Tech  adopters</v>
      </c>
      <c r="AC231" s="1554"/>
      <c r="AD231" s="1555"/>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2.9699074964929821E-3</v>
      </c>
      <c r="I267" s="343">
        <v>1.1791996514889824E-2</v>
      </c>
      <c r="J267" s="343">
        <v>2.6897651639033196E-2</v>
      </c>
      <c r="K267" s="343">
        <v>4.4915791370421093E-2</v>
      </c>
      <c r="L267" s="379">
        <v>8.9181850883073413E-2</v>
      </c>
      <c r="M267" s="282">
        <f t="shared" si="130"/>
        <v>5.5398921410528051E-3</v>
      </c>
      <c r="N267" s="284">
        <f t="shared" si="131"/>
        <v>2.2536776008014528E-3</v>
      </c>
      <c r="O267" s="342">
        <v>0</v>
      </c>
      <c r="P267" s="343">
        <v>0</v>
      </c>
      <c r="Q267" s="343">
        <v>0</v>
      </c>
      <c r="R267" s="343">
        <v>0</v>
      </c>
      <c r="S267" s="343">
        <v>3.651854694944627E-4</v>
      </c>
      <c r="T267" s="343">
        <v>6.1194288116646631E-3</v>
      </c>
      <c r="U267" s="343">
        <v>1.7131577384362284E-2</v>
      </c>
      <c r="V267" s="343">
        <v>3.6896752401468377E-2</v>
      </c>
      <c r="W267" s="343">
        <v>7.6461859685675065E-2</v>
      </c>
      <c r="X267" s="343">
        <v>9.6125760050311579E-2</v>
      </c>
      <c r="Y267" s="379">
        <v>0.13296585537309155</v>
      </c>
      <c r="Z267" s="282">
        <f t="shared" si="132"/>
        <v>5.3886646265732018E-3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5.5398921410528051E-3</v>
      </c>
      <c r="AF267" s="937">
        <f t="shared" si="138"/>
        <v>5.3886646265732018E-3</v>
      </c>
      <c r="AG267" s="937">
        <f t="shared" si="139"/>
        <v>1.0928556767626007E-2</v>
      </c>
      <c r="AH267" s="1172">
        <f t="shared" si="135"/>
        <v>0.50691891517311738</v>
      </c>
      <c r="AI267" s="937">
        <f t="shared" si="136"/>
        <v>0.49308108482688268</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8/27/2020 19:32</v>
      </c>
      <c r="O277" s="227" t="str">
        <f>O$120</f>
        <v>Output generated: 8/27/2020 19:32</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40" t="s">
        <v>259</v>
      </c>
      <c r="C280" s="1541"/>
      <c r="D280" s="1541"/>
      <c r="E280" s="1541"/>
      <c r="F280" s="1541"/>
      <c r="G280" s="1541"/>
      <c r="H280" s="1541"/>
      <c r="I280" s="1541"/>
      <c r="J280" s="1541"/>
      <c r="K280" s="1541"/>
      <c r="L280" s="1541"/>
      <c r="M280" s="1541"/>
      <c r="N280" s="1542"/>
      <c r="O280" s="1540" t="s">
        <v>260</v>
      </c>
      <c r="P280" s="1541"/>
      <c r="Q280" s="1541"/>
      <c r="R280" s="1541"/>
      <c r="S280" s="1541"/>
      <c r="T280" s="1541"/>
      <c r="U280" s="1541"/>
      <c r="V280" s="1541"/>
      <c r="W280" s="1541"/>
      <c r="X280" s="1541"/>
      <c r="Y280" s="1541"/>
      <c r="Z280" s="1541"/>
      <c r="AA280" s="1542"/>
      <c r="AE280" s="937"/>
      <c r="AF280" s="937"/>
      <c r="AG280" s="937"/>
      <c r="AH280" s="937"/>
      <c r="AI280" s="937"/>
    </row>
    <row r="281" spans="1:39" x14ac:dyDescent="0.2">
      <c r="A281" s="324"/>
      <c r="B281" s="1537" t="s">
        <v>121</v>
      </c>
      <c r="C281" s="1538"/>
      <c r="D281" s="1538"/>
      <c r="E281" s="1538"/>
      <c r="F281" s="1538"/>
      <c r="G281" s="1538"/>
      <c r="H281" s="1538"/>
      <c r="I281" s="1538"/>
      <c r="J281" s="1538"/>
      <c r="K281" s="1538"/>
      <c r="L281" s="1538"/>
      <c r="M281" s="382"/>
      <c r="N281" s="325"/>
      <c r="O281" s="1537" t="s">
        <v>121</v>
      </c>
      <c r="P281" s="1538"/>
      <c r="Q281" s="1538"/>
      <c r="R281" s="1538"/>
      <c r="S281" s="1538"/>
      <c r="T281" s="1538"/>
      <c r="U281" s="1538"/>
      <c r="V281" s="1538"/>
      <c r="W281" s="1538"/>
      <c r="X281" s="1538"/>
      <c r="Y281" s="1538"/>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53" t="str">
        <f>"% of miles on f2 for Tech "&amp; RIGHT(O279)&amp;" adopters"</f>
        <v>% of miles on f2 for Tech  adopters</v>
      </c>
      <c r="AC284" s="1554"/>
      <c r="AD284" s="1555"/>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8/27/2020 19:32</v>
      </c>
      <c r="O330" s="227" t="str">
        <f>O$120</f>
        <v>Output generated: 8/27/2020 19:32</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
        <v>111</v>
      </c>
      <c r="F4"/>
      <c r="G4"/>
      <c r="H4"/>
      <c r="N4" s="227" t="s">
        <v>126</v>
      </c>
      <c r="P4" s="1548">
        <v>44070.814560185187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44070.814560185187</v>
      </c>
      <c r="Q5" s="1535"/>
      <c r="R5" s="1535"/>
      <c r="S5" s="1535"/>
      <c r="T5" s="1535"/>
      <c r="U5" s="1536"/>
      <c r="V5" s="227" t="s">
        <v>15</v>
      </c>
      <c r="AI5" s="227"/>
      <c r="AJ5" s="227"/>
      <c r="AK5" s="227"/>
      <c r="AL5" s="227"/>
      <c r="AM5" s="227"/>
    </row>
    <row r="6" spans="2:64" x14ac:dyDescent="0.2">
      <c r="B6" s="1551" t="s">
        <v>68</v>
      </c>
      <c r="C6" s="1552"/>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22" t="s">
        <v>76</v>
      </c>
      <c r="K9" s="1523"/>
      <c r="L9" s="1568" t="s">
        <v>83</v>
      </c>
      <c r="M9" s="1569"/>
      <c r="N9" s="1568" t="s">
        <v>109</v>
      </c>
      <c r="O9" s="1570"/>
      <c r="P9" s="1570"/>
      <c r="Q9" s="1569"/>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56" t="s">
        <v>117</v>
      </c>
      <c r="U21" s="1557"/>
      <c r="V21" s="1557"/>
      <c r="W21" s="1557"/>
      <c r="X21" s="1558"/>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232544.70938897168</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-225143.62973284011</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232544.70938897168</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-222414.37311925655</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232544.70938897168</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-225996.86196708714</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8464.5170580842241</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232544.70938897168</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-39385.23252455351</v>
      </c>
      <c r="U27" s="304">
        <f t="shared" si="31"/>
        <v>-39385.23252455351</v>
      </c>
      <c r="V27" s="304">
        <f t="shared" si="32"/>
        <v>-224536.27968816579</v>
      </c>
      <c r="W27" s="304">
        <f t="shared" si="33"/>
        <v>-224080.19233088745</v>
      </c>
      <c r="X27" s="306">
        <f t="shared" si="34"/>
        <v>-39385.23252455351</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10978.838701966033</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232544.70938897168</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-52366.737257967179</v>
      </c>
      <c r="U28" s="632">
        <f t="shared" si="31"/>
        <v>-52366.737257967179</v>
      </c>
      <c r="V28" s="632">
        <f t="shared" si="32"/>
        <v>-173087.36534803399</v>
      </c>
      <c r="W28" s="632">
        <f t="shared" si="33"/>
        <v>-221565.87068700563</v>
      </c>
      <c r="X28" s="633">
        <f t="shared" si="34"/>
        <v>-52366.737257967179</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11488.35744587863</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232544.70938897168</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-55323.723294749681</v>
      </c>
      <c r="U29" s="290">
        <f t="shared" si="31"/>
        <v>-55323.723294749681</v>
      </c>
      <c r="V29" s="290">
        <f t="shared" si="32"/>
        <v>-145843.68166662136</v>
      </c>
      <c r="W29" s="290">
        <f t="shared" si="33"/>
        <v>-221056.35194309306</v>
      </c>
      <c r="X29" s="291">
        <f t="shared" si="34"/>
        <v>-55323.723294749681</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11310.481153721661</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232544.70938897168</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-55698.040625000445</v>
      </c>
      <c r="U30" s="290">
        <f t="shared" si="31"/>
        <v>-55698.040625000445</v>
      </c>
      <c r="V30" s="290">
        <f t="shared" si="32"/>
        <v>-149960.14210627833</v>
      </c>
      <c r="W30" s="290">
        <f t="shared" si="33"/>
        <v>-221234.22823525002</v>
      </c>
      <c r="X30" s="291">
        <f t="shared" si="34"/>
        <v>-55698.040625000445</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10961.227368441203</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232544.70938897168</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-55445.828899581262</v>
      </c>
      <c r="U31" s="290">
        <f t="shared" si="31"/>
        <v>-55445.828899581262</v>
      </c>
      <c r="V31" s="290">
        <f t="shared" si="32"/>
        <v>-156420.89064780885</v>
      </c>
      <c r="W31" s="290">
        <f t="shared" si="33"/>
        <v>-221583.48202053047</v>
      </c>
      <c r="X31" s="291">
        <f t="shared" si="34"/>
        <v>-55445.828899581262</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7626.5573198289158</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232544.70938897168</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-39432.166500174106</v>
      </c>
      <c r="U32" s="304">
        <f t="shared" si="31"/>
        <v>-39432.166500174106</v>
      </c>
      <c r="V32" s="304">
        <f t="shared" si="32"/>
        <v>-145734.83193892107</v>
      </c>
      <c r="W32" s="304">
        <f t="shared" si="33"/>
        <v>-224918.15206914276</v>
      </c>
      <c r="X32" s="305">
        <f t="shared" si="34"/>
        <v>-39432.166500174106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6438.5562729644262</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222855.34649776455</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-34119.2218420758</v>
      </c>
      <c r="U33" s="276">
        <f t="shared" si="31"/>
        <v>-34119.2218420758</v>
      </c>
      <c r="V33" s="276">
        <f t="shared" si="32"/>
        <v>-143801.69289203553</v>
      </c>
      <c r="W33" s="276">
        <f t="shared" si="33"/>
        <v>-216416.79022480012</v>
      </c>
      <c r="X33" s="277">
        <f t="shared" si="34"/>
        <v>-34119.2218420758</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7409.7640807509688</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213165.98360655736</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-40234.13104749308</v>
      </c>
      <c r="U34" s="290">
        <f t="shared" si="31"/>
        <v>-40234.13104749308</v>
      </c>
      <c r="V34" s="290">
        <f t="shared" si="32"/>
        <v>-143954.16313424901</v>
      </c>
      <c r="W34" s="290">
        <f t="shared" si="33"/>
        <v>-205756.2195258064</v>
      </c>
      <c r="X34" s="291">
        <f t="shared" si="34"/>
        <v>-40234.13104749308</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9155.5525421042057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203476.62071535023</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-49373.860115355201</v>
      </c>
      <c r="U35" s="290">
        <f t="shared" si="31"/>
        <v>-49373.860115355201</v>
      </c>
      <c r="V35" s="290">
        <f t="shared" si="32"/>
        <v>-163980.9111978958</v>
      </c>
      <c r="W35" s="290">
        <f t="shared" si="33"/>
        <v>-194321.06817324602</v>
      </c>
      <c r="X35" s="291">
        <f t="shared" si="34"/>
        <v>-49373.860115355201</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8938.0882325842467</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-48563.779809915752</v>
      </c>
      <c r="U36" s="290">
        <f t="shared" si="31"/>
        <v>-48563.779809915752</v>
      </c>
      <c r="V36" s="290">
        <f t="shared" si="32"/>
        <v>-164016.98711491577</v>
      </c>
      <c r="W36" s="290">
        <f t="shared" si="33"/>
        <v>-184849.16959155884</v>
      </c>
      <c r="X36" s="291">
        <f t="shared" si="34"/>
        <v>-48563.779809915752</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8557.4827364328121</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184097.89493293592</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-46950.062216692182</v>
      </c>
      <c r="U37" s="619">
        <f t="shared" si="31"/>
        <v>-46950.062216692182</v>
      </c>
      <c r="V37" s="619">
        <f t="shared" si="32"/>
        <v>-167831.39024481722</v>
      </c>
      <c r="W37" s="619">
        <f t="shared" si="33"/>
        <v>-175540.41219650311</v>
      </c>
      <c r="X37" s="620">
        <f t="shared" si="34"/>
        <v>-46950.062216692182</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1000000</v>
      </c>
      <c r="D38" s="818" cm="1">
        <f t="array" ref="D38">ROUND(INDEX(COST_Cls3,$A38-($A$24-1),MATCH(D$20,TECHOPTS_Cls3,0)),2)</f>
        <v>1000000</v>
      </c>
      <c r="E38" s="818" cm="1">
        <f t="array" ref="E38">ROUND(INDEX(COST_Cls3,$A38-($A$24-1),MATCH(E$20,TECHOPTS_Cls3,0)),2)</f>
        <v>1000000</v>
      </c>
      <c r="F38" s="818" cm="1">
        <f t="array" ref="F38">ROUND(INDEX(COST_Cls3,$A38-($A$24-1),MATCH(F$20,TECHOPTS_Cls3,0)),2)</f>
        <v>1000000</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11684.585719977693</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-2676.0745128037888</v>
      </c>
      <c r="X38" s="633">
        <f t="shared" si="34"/>
        <v>-46791.096936576098</v>
      </c>
      <c r="Y38" s="634" cm="1">
        <f t="array" aca="1" ref="Y38" ca="1">IF(AND(Y$22=TRUE,INDEX(CDRANGE_CLS3,MATCH($A38,$A$24:$A$67,0),MATCH(Y$20,$B$20:$G$20,0))&lt;$D$6/OPDAYS_Cls3),86,payback(C38,T38,disc_rate/12,85))</f>
        <v>86</v>
      </c>
      <c r="Z38" s="635" cm="1">
        <f t="array" aca="1" ref="Z38" ca="1">IF(AND(Z$22=TRUE,INDEX(CDRANGE_CLS3,MATCH($A38,$A$24:$A$67,0),MATCH(Z$20,$B$20:$G$20,0))&lt;$D$6/OPDAYS_Cls3),86,payback(D38,U38,disc_rate/12,85))</f>
        <v>86</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0</v>
      </c>
      <c r="AO38" s="641">
        <f t="shared" si="40"/>
        <v>0</v>
      </c>
      <c r="AP38" s="641">
        <f t="shared" si="40"/>
        <v>0</v>
      </c>
      <c r="AQ38" s="641">
        <f t="shared" si="40"/>
        <v>0</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1000000</v>
      </c>
      <c r="D39" s="821" cm="1">
        <f t="array" ref="D39">ROUND(INDEX(COST_Cls3,$A39-($A$24-1),MATCH(D$20,TECHOPTS_Cls3,0)),2)</f>
        <v>1000000</v>
      </c>
      <c r="E39" s="821" cm="1">
        <f t="array" ref="E39">ROUND(INDEX(COST_Cls3,$A39-($A$24-1),MATCH(E$20,TECHOPTS_Cls3,0)),2)</f>
        <v>1000000</v>
      </c>
      <c r="F39" s="821" cm="1">
        <f t="array" ref="F39">ROUND(INDEX(COST_Cls3,$A39-($A$24-1),MATCH(F$20,TECHOPTS_Cls3,0)),2)</f>
        <v>1000000</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10819.780599710286</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-1850.3007426009353</v>
      </c>
      <c r="X39" s="291">
        <f t="shared" si="34"/>
        <v>-47704.440207265652</v>
      </c>
      <c r="Y39" s="279" cm="1">
        <f t="array" aca="1" ref="Y39" ca="1">IF(AND(Y$22=TRUE,INDEX(CDRANGE_CLS3,MATCH($A39,$A$24:$A$67,0),MATCH(Y$20,$B$20:$G$20,0))&lt;$D$6/OPDAYS_Cls3),86,payback(C39,T39,disc_rate/12,85))</f>
        <v>86</v>
      </c>
      <c r="Z39" s="280" cm="1">
        <f t="array" aca="1" ref="Z39" ca="1">IF(AND(Z$22=TRUE,INDEX(CDRANGE_CLS3,MATCH($A39,$A$24:$A$67,0),MATCH(Z$20,$B$20:$G$20,0))&lt;$D$6/OPDAYS_Cls3),86,payback(D39,U39,disc_rate/12,85))</f>
        <v>86</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v>
      </c>
      <c r="AO39" s="300">
        <f t="shared" si="40"/>
        <v>0</v>
      </c>
      <c r="AP39" s="300">
        <f t="shared" si="40"/>
        <v>0</v>
      </c>
      <c r="AQ39" s="300">
        <f t="shared" si="40"/>
        <v>0</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1000000</v>
      </c>
      <c r="D40" s="821" cm="1">
        <f t="array" ref="D40">ROUND(INDEX(COST_Cls3,$A40-($A$24-1),MATCH(D$20,TECHOPTS_Cls3,0)),2)</f>
        <v>1000000</v>
      </c>
      <c r="E40" s="821" cm="1">
        <f t="array" ref="E40">ROUND(INDEX(COST_Cls3,$A40-($A$24-1),MATCH(E$20,TECHOPTS_Cls3,0)),2)</f>
        <v>1000000</v>
      </c>
      <c r="F40" s="821" cm="1">
        <f t="array" ref="F40">ROUND(INDEX(COST_Cls3,$A40-($A$24-1),MATCH(F$20,TECHOPTS_Cls3,0)),2)</f>
        <v>1000000</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9993.494042572167</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-1190.6517752408799</v>
      </c>
      <c r="X40" s="291">
        <f t="shared" si="34"/>
        <v>-48196.527811418717</v>
      </c>
      <c r="Y40" s="279" cm="1">
        <f t="array" aca="1" ref="Y40" ca="1">IF(AND(Y$22=TRUE,INDEX(CDRANGE_CLS3,MATCH($A40,$A$24:$A$67,0),MATCH(Y$20,$B$20:$G$20,0))&lt;$D$6/OPDAYS_Cls3),86,payback(C40,T40,disc_rate/12,85))</f>
        <v>86</v>
      </c>
      <c r="Z40" s="280" cm="1">
        <f t="array" aca="1" ref="Z40" ca="1">IF(AND(Z$22=TRUE,INDEX(CDRANGE_CLS3,MATCH($A40,$A$24:$A$67,0),MATCH(Z$20,$B$20:$G$20,0))&lt;$D$6/OPDAYS_Cls3),86,payback(D40,U40,disc_rate/12,85))</f>
        <v>86</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v>
      </c>
      <c r="AO40" s="300">
        <f t="shared" si="52"/>
        <v>0</v>
      </c>
      <c r="AP40" s="300">
        <f t="shared" si="52"/>
        <v>0</v>
      </c>
      <c r="AQ40" s="300">
        <f t="shared" si="52"/>
        <v>0</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1000000</v>
      </c>
      <c r="D41" s="821" cm="1">
        <f t="array" ref="D41">ROUND(INDEX(COST_Cls3,$A41-($A$24-1),MATCH(D$20,TECHOPTS_Cls3,0)),2)</f>
        <v>1000000</v>
      </c>
      <c r="E41" s="821" cm="1">
        <f t="array" ref="E41">ROUND(INDEX(COST_Cls3,$A41-($A$24-1),MATCH(E$20,TECHOPTS_Cls3,0)),2)</f>
        <v>1000000</v>
      </c>
      <c r="F41" s="821" cm="1">
        <f t="array" ref="F41">ROUND(INDEX(COST_Cls3,$A41-($A$24-1),MATCH(F$20,TECHOPTS_Cls3,0)),2)</f>
        <v>1000000</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9116.7288779578612</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-389.84638581587569</v>
      </c>
      <c r="X41" s="291">
        <f t="shared" si="34"/>
        <v>-49300.366413483025</v>
      </c>
      <c r="Y41" s="279" cm="1">
        <f t="array" aca="1" ref="Y41" ca="1">IF(AND(Y$22=TRUE,INDEX(CDRANGE_CLS3,MATCH($A41,$A$24:$A$67,0),MATCH(Y$20,$B$20:$G$20,0))&lt;$D$6/OPDAYS_Cls3),86,payback(C41,T41,disc_rate/12,85))</f>
        <v>86</v>
      </c>
      <c r="Z41" s="280" cm="1">
        <f t="array" aca="1" ref="Z41" ca="1">IF(AND(Z$22=TRUE,INDEX(CDRANGE_CLS3,MATCH($A41,$A$24:$A$67,0),MATCH(Z$20,$B$20:$G$20,0))&lt;$D$6/OPDAYS_Cls3),86,payback(D41,U41,disc_rate/12,85))</f>
        <v>86</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v>
      </c>
      <c r="AO41" s="300">
        <f t="shared" si="52"/>
        <v>0</v>
      </c>
      <c r="AP41" s="300">
        <f t="shared" si="52"/>
        <v>0</v>
      </c>
      <c r="AQ41" s="300">
        <f t="shared" si="52"/>
        <v>0</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82769.350000000006</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8263.5999957826298</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271.2413389992671</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86</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6.0950267960383386E-2</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75629.929999999993</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7939.0612709580364</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516.87492737646062</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86</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9.7659054615162555E-2</v>
      </c>
      <c r="AR43" s="611">
        <f t="shared" si="52"/>
        <v>0</v>
      </c>
      <c r="AS43" s="282">
        <f t="shared" ca="1" si="41"/>
        <v>4.7425873177566781E-2</v>
      </c>
      <c r="AT43" s="283">
        <f t="shared" ca="1" si="42"/>
        <v>4.7425873177566781E-2</v>
      </c>
      <c r="AU43" s="283">
        <f t="shared" si="43"/>
        <v>0</v>
      </c>
      <c r="AV43" s="283">
        <f t="shared" ca="1" si="44"/>
        <v>0</v>
      </c>
      <c r="AW43" s="284">
        <f t="shared" ca="1" si="45"/>
        <v>0</v>
      </c>
      <c r="AX43" s="282">
        <f t="shared" ca="1" si="46"/>
        <v>4.7425441740417358E-2</v>
      </c>
      <c r="AY43" s="283">
        <f t="shared" ca="1" si="46"/>
        <v>4.682978730433305E-2</v>
      </c>
      <c r="AZ43" s="283">
        <f t="shared" si="46"/>
        <v>0</v>
      </c>
      <c r="BA43" s="283">
        <f t="shared" ca="1" si="46"/>
        <v>0</v>
      </c>
      <c r="BB43" s="284">
        <f t="shared" ca="1" si="46"/>
        <v>0</v>
      </c>
      <c r="BC43" s="282">
        <f t="shared" ca="1" si="53"/>
        <v>0.95257455825958259</v>
      </c>
      <c r="BD43" s="283">
        <f t="shared" ca="1" si="47"/>
        <v>2.386257555223659E-2</v>
      </c>
      <c r="BE43" s="283">
        <f t="shared" ca="1" si="48"/>
        <v>2.3562866188180771E-2</v>
      </c>
      <c r="BF43" s="283">
        <f t="shared" ca="1" si="49"/>
        <v>0</v>
      </c>
      <c r="BG43" s="283">
        <f t="shared" ca="1" si="50"/>
        <v>0</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67079.83</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7595.7661340727254</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641.2513261049744</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86</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0.16171057954916357</v>
      </c>
      <c r="AR44" s="598">
        <f t="shared" si="52"/>
        <v>0</v>
      </c>
      <c r="AS44" s="296">
        <f t="shared" ca="1" si="41"/>
        <v>0.11920292202211755</v>
      </c>
      <c r="AT44" s="297">
        <f t="shared" ca="1" si="42"/>
        <v>0.11920292202211755</v>
      </c>
      <c r="AU44" s="297">
        <f t="shared" si="43"/>
        <v>0</v>
      </c>
      <c r="AV44" s="297">
        <f t="shared" ca="1" si="44"/>
        <v>0</v>
      </c>
      <c r="AW44" s="298">
        <f t="shared" ca="1" si="45"/>
        <v>0</v>
      </c>
      <c r="AX44" s="296">
        <f t="shared" ca="1" si="46"/>
        <v>0.11920125528398144</v>
      </c>
      <c r="AY44" s="297">
        <f t="shared" ca="1" si="46"/>
        <v>0.11786046338676197</v>
      </c>
      <c r="AZ44" s="297">
        <f t="shared" si="46"/>
        <v>0</v>
      </c>
      <c r="BA44" s="297">
        <f t="shared" ca="1" si="46"/>
        <v>0</v>
      </c>
      <c r="BB44" s="298">
        <f t="shared" ca="1" si="46"/>
        <v>0</v>
      </c>
      <c r="BC44" s="296">
        <f t="shared" ca="1" si="53"/>
        <v>0.8807987447160186</v>
      </c>
      <c r="BD44" s="297">
        <f t="shared" ca="1" si="47"/>
        <v>5.9937721454773565E-2</v>
      </c>
      <c r="BE44" s="297">
        <f t="shared" ca="1" si="48"/>
        <v>5.9263533829207869E-2</v>
      </c>
      <c r="BF44" s="297">
        <f t="shared" ca="1" si="49"/>
        <v>0</v>
      </c>
      <c r="BG44" s="297">
        <f t="shared" ca="1" si="50"/>
        <v>0</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62164.65</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7195.9932693769169</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1062.6972069320582</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74</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0.21080998419052033</v>
      </c>
      <c r="AR45" s="598">
        <f t="shared" si="52"/>
        <v>0</v>
      </c>
      <c r="AS45" s="296">
        <f t="shared" ca="1" si="41"/>
        <v>0.2689414213699951</v>
      </c>
      <c r="AT45" s="297">
        <f t="shared" ca="1" si="42"/>
        <v>0.2689414213699951</v>
      </c>
      <c r="AU45" s="297">
        <f t="shared" si="43"/>
        <v>0</v>
      </c>
      <c r="AV45" s="297">
        <f t="shared" ca="1" si="44"/>
        <v>3.9699628009602774E-4</v>
      </c>
      <c r="AW45" s="298">
        <f t="shared" ca="1" si="45"/>
        <v>0</v>
      </c>
      <c r="AX45" s="296">
        <f t="shared" ca="1" si="46"/>
        <v>0.26884849330543803</v>
      </c>
      <c r="AY45" s="297">
        <f t="shared" ca="1" si="46"/>
        <v>0.26556203594283179</v>
      </c>
      <c r="AZ45" s="297">
        <f t="shared" si="46"/>
        <v>0</v>
      </c>
      <c r="BA45" s="297">
        <f t="shared" ca="1" si="46"/>
        <v>8.3690779530738984E-5</v>
      </c>
      <c r="BB45" s="298">
        <f t="shared" ca="1" si="46"/>
        <v>0</v>
      </c>
      <c r="BC45" s="296">
        <f t="shared" ca="1" si="53"/>
        <v>0.73115150669456197</v>
      </c>
      <c r="BD45" s="297">
        <f t="shared" ca="1" si="47"/>
        <v>0.13522973615850267</v>
      </c>
      <c r="BE45" s="297">
        <f t="shared" ca="1" si="48"/>
        <v>0.1335766610135492</v>
      </c>
      <c r="BF45" s="297">
        <f t="shared" ca="1" si="49"/>
        <v>0</v>
      </c>
      <c r="BG45" s="297">
        <f t="shared" ca="1" si="50"/>
        <v>4.2096133386113086E-5</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59495.38</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6932.2619645879358</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1205.9937103474313</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60</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0.24364425030976566</v>
      </c>
      <c r="AR46" s="598">
        <f t="shared" si="52"/>
        <v>0</v>
      </c>
      <c r="AS46" s="296">
        <f t="shared" ca="1" si="41"/>
        <v>0.5</v>
      </c>
      <c r="AT46" s="297">
        <f t="shared" ca="1" si="42"/>
        <v>0.5</v>
      </c>
      <c r="AU46" s="297">
        <f t="shared" si="43"/>
        <v>0</v>
      </c>
      <c r="AV46" s="297">
        <f t="shared" ca="1" si="44"/>
        <v>6.7534292222825587E-3</v>
      </c>
      <c r="AW46" s="298">
        <f t="shared" ca="1" si="45"/>
        <v>0</v>
      </c>
      <c r="AX46" s="296">
        <f t="shared" ca="1" si="46"/>
        <v>0.49964821376631063</v>
      </c>
      <c r="AY46" s="297">
        <f t="shared" ca="1" si="46"/>
        <v>0.49339660505434563</v>
      </c>
      <c r="AZ46" s="297">
        <f t="shared" si="46"/>
        <v>0</v>
      </c>
      <c r="BA46" s="297">
        <f t="shared" ca="1" si="46"/>
        <v>1.6454341998830978E-3</v>
      </c>
      <c r="BB46" s="298">
        <f t="shared" ca="1" si="46"/>
        <v>0</v>
      </c>
      <c r="BC46" s="296">
        <f t="shared" ca="1" si="53"/>
        <v>0.50035178623368937</v>
      </c>
      <c r="BD46" s="297">
        <f t="shared" ca="1" si="47"/>
        <v>0.25098098303644467</v>
      </c>
      <c r="BE46" s="297">
        <f t="shared" ca="1" si="48"/>
        <v>0.24784070382227336</v>
      </c>
      <c r="BF46" s="297">
        <f t="shared" ca="1" si="49"/>
        <v>0</v>
      </c>
      <c r="BG46" s="297">
        <f t="shared" ca="1" si="50"/>
        <v>8.2652690759262135E-4</v>
      </c>
      <c r="BH46" s="298">
        <f t="shared" ca="1" si="51"/>
        <v>0</v>
      </c>
    </row>
    <row r="47" spans="1:62" ht="1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57152.33</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6693.5142505571757</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1440.1955645030712</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46</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0.27484293244249458</v>
      </c>
      <c r="AR47" s="629">
        <f t="shared" si="52"/>
        <v>0</v>
      </c>
      <c r="AS47" s="624">
        <f t="shared" ca="1" si="41"/>
        <v>0.70256958544885761</v>
      </c>
      <c r="AT47" s="625">
        <f t="shared" ca="1" si="42"/>
        <v>0.7310585786300049</v>
      </c>
      <c r="AU47" s="625">
        <f t="shared" si="43"/>
        <v>0</v>
      </c>
      <c r="AV47" s="625">
        <f t="shared" ca="1" si="44"/>
        <v>5.9530711404297991E-2</v>
      </c>
      <c r="AW47" s="626">
        <f t="shared" ca="1" si="45"/>
        <v>0</v>
      </c>
      <c r="AX47" s="624">
        <f t="shared" ca="1" si="46"/>
        <v>0.70178482735541814</v>
      </c>
      <c r="AY47" s="625">
        <f t="shared" ca="1" si="46"/>
        <v>0.72098914301585804</v>
      </c>
      <c r="AZ47" s="625">
        <f t="shared" si="46"/>
        <v>0</v>
      </c>
      <c r="BA47" s="625">
        <f t="shared" ca="1" si="46"/>
        <v>1.6361595292745116E-2</v>
      </c>
      <c r="BB47" s="626">
        <f t="shared" ca="1" si="46"/>
        <v>0</v>
      </c>
      <c r="BC47" s="624">
        <f t="shared" ca="1" si="53"/>
        <v>0.27901085698414207</v>
      </c>
      <c r="BD47" s="625">
        <f t="shared" ca="1" si="47"/>
        <v>0.35158553045908114</v>
      </c>
      <c r="BE47" s="625">
        <f t="shared" ca="1" si="48"/>
        <v>0.36120665540420605</v>
      </c>
      <c r="BF47" s="625">
        <f t="shared" ca="1" si="49"/>
        <v>0</v>
      </c>
      <c r="BG47" s="625">
        <f t="shared" ca="1" si="50"/>
        <v>8.1969571525707108E-3</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55612.77</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6498.2592812405146</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1571.3851928868335</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41</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0.29727977533491523</v>
      </c>
      <c r="AR48" s="642">
        <f t="shared" si="52"/>
        <v>0</v>
      </c>
      <c r="AS48" s="637">
        <f t="shared" ca="1" si="41"/>
        <v>0.45673954751240892</v>
      </c>
      <c r="AT48" s="638">
        <f t="shared" ca="1" si="42"/>
        <v>0.88079707797788231</v>
      </c>
      <c r="AU48" s="638">
        <f t="shared" si="43"/>
        <v>0</v>
      </c>
      <c r="AV48" s="638">
        <f t="shared" ca="1" si="44"/>
        <v>0.12256810316882091</v>
      </c>
      <c r="AW48" s="639">
        <f t="shared" ca="1" si="45"/>
        <v>0</v>
      </c>
      <c r="AX48" s="637">
        <f t="shared" ca="1" si="46"/>
        <v>0.45608434166583761</v>
      </c>
      <c r="AY48" s="638">
        <f t="shared" ca="1" si="46"/>
        <v>0.86836216258642385</v>
      </c>
      <c r="AZ48" s="638">
        <f t="shared" si="46"/>
        <v>0</v>
      </c>
      <c r="BA48" s="638">
        <f t="shared" ca="1" si="46"/>
        <v>3.6437018173253795E-2</v>
      </c>
      <c r="BB48" s="639">
        <f t="shared" ca="1" si="46"/>
        <v>0</v>
      </c>
      <c r="BC48" s="637">
        <f t="shared" ca="1" si="53"/>
        <v>0.13163783741357626</v>
      </c>
      <c r="BD48" s="638">
        <f t="shared" ca="1" si="47"/>
        <v>0.29102151559956801</v>
      </c>
      <c r="BE48" s="638">
        <f t="shared" ca="1" si="48"/>
        <v>0.55409065727228102</v>
      </c>
      <c r="BF48" s="638">
        <f t="shared" ca="1" si="49"/>
        <v>0</v>
      </c>
      <c r="BG48" s="638">
        <f t="shared" ca="1" si="50"/>
        <v>2.3249989714574756E-2</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54784.07</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6337.8588976214187</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1773.826981569232</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35</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0.30845553748178944</v>
      </c>
      <c r="AR49" s="598">
        <f t="shared" si="52"/>
        <v>0</v>
      </c>
      <c r="AS49" s="296">
        <f t="shared" ca="1" si="41"/>
        <v>0.58826673355942782</v>
      </c>
      <c r="AT49" s="297">
        <f t="shared" ca="1" si="42"/>
        <v>0.95257412682243336</v>
      </c>
      <c r="AU49" s="297">
        <f t="shared" si="43"/>
        <v>0</v>
      </c>
      <c r="AV49" s="297">
        <f t="shared" ca="1" si="44"/>
        <v>0.23353385811251512</v>
      </c>
      <c r="AW49" s="298">
        <f t="shared" ca="1" si="45"/>
        <v>0</v>
      </c>
      <c r="AX49" s="296">
        <f t="shared" ca="1" si="46"/>
        <v>0.5873100506784692</v>
      </c>
      <c r="AY49" s="297">
        <f t="shared" ca="1" si="46"/>
        <v>0.93890201136011098</v>
      </c>
      <c r="AZ49" s="297">
        <f t="shared" si="46"/>
        <v>0</v>
      </c>
      <c r="BA49" s="297">
        <f t="shared" ca="1" si="46"/>
        <v>7.2034811724291811E-2</v>
      </c>
      <c r="BB49" s="298">
        <f t="shared" ca="1" si="46"/>
        <v>0</v>
      </c>
      <c r="BC49" s="296">
        <f t="shared" ca="1" si="53"/>
        <v>6.1097988639889023E-2</v>
      </c>
      <c r="BD49" s="297">
        <f t="shared" ca="1" si="47"/>
        <v>0.34501965680418234</v>
      </c>
      <c r="BE49" s="297">
        <f t="shared" ca="1" si="48"/>
        <v>0.55156496872138006</v>
      </c>
      <c r="BF49" s="297">
        <f t="shared" ca="1" si="49"/>
        <v>0</v>
      </c>
      <c r="BG49" s="297">
        <f t="shared" ca="1" si="50"/>
        <v>4.2317385834548561E-2</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54385.37</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6197.4463953156774</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2028.0245214271672</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30</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0.31407809042045476</v>
      </c>
      <c r="AR50" s="598">
        <f t="shared" si="52"/>
        <v>0</v>
      </c>
      <c r="AS50" s="296">
        <f t="shared" ca="1" si="41"/>
        <v>0.60644733917237603</v>
      </c>
      <c r="AT50" s="297">
        <f t="shared" ca="1" si="42"/>
        <v>0.98201379003790845</v>
      </c>
      <c r="AU50" s="297">
        <f t="shared" si="43"/>
        <v>0</v>
      </c>
      <c r="AV50" s="297">
        <f t="shared" ca="1" si="44"/>
        <v>0.36126268430179587</v>
      </c>
      <c r="AW50" s="298">
        <f t="shared" ca="1" si="45"/>
        <v>0</v>
      </c>
      <c r="AX50" s="296">
        <f t="shared" ca="1" si="46"/>
        <v>0.60540305938552053</v>
      </c>
      <c r="AY50" s="297">
        <f t="shared" ca="1" si="46"/>
        <v>0.96781387959161247</v>
      </c>
      <c r="AZ50" s="297">
        <f t="shared" si="46"/>
        <v>0</v>
      </c>
      <c r="BA50" s="297">
        <f t="shared" ca="1" si="46"/>
        <v>0.11346469402567565</v>
      </c>
      <c r="BB50" s="298">
        <f t="shared" ca="1" si="46"/>
        <v>0</v>
      </c>
      <c r="BC50" s="296">
        <f t="shared" ca="1" si="53"/>
        <v>3.2186120408387531E-2</v>
      </c>
      <c r="BD50" s="297">
        <f t="shared" ca="1" si="47"/>
        <v>0.34737882488079264</v>
      </c>
      <c r="BE50" s="297">
        <f t="shared" ca="1" si="48"/>
        <v>0.55532928514945679</v>
      </c>
      <c r="BF50" s="297">
        <f t="shared" ca="1" si="49"/>
        <v>0</v>
      </c>
      <c r="BG50" s="297">
        <f t="shared" ca="1" si="50"/>
        <v>6.5105769561363061E-2</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54203.91</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6066.7885469894454</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2208.2325156267516</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27</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0.31682741894285604</v>
      </c>
      <c r="AR51" s="598">
        <f t="shared" si="52"/>
        <v>0</v>
      </c>
      <c r="AS51" s="296">
        <f t="shared" ca="1" si="41"/>
        <v>0.51508192880389592</v>
      </c>
      <c r="AT51" s="297">
        <f t="shared" ca="1" si="42"/>
        <v>0.99330714907571527</v>
      </c>
      <c r="AU51" s="297">
        <f t="shared" si="43"/>
        <v>0</v>
      </c>
      <c r="AV51" s="297">
        <f t="shared" ca="1" si="44"/>
        <v>0.4524568762824252</v>
      </c>
      <c r="AW51" s="298">
        <f t="shared" ca="1" si="45"/>
        <v>0</v>
      </c>
      <c r="AX51" s="296">
        <f t="shared" ca="1" si="46"/>
        <v>0.51417252948010284</v>
      </c>
      <c r="AY51" s="297">
        <f t="shared" ca="1" si="46"/>
        <v>0.97890218642310989</v>
      </c>
      <c r="AZ51" s="297">
        <f t="shared" si="46"/>
        <v>0</v>
      </c>
      <c r="BA51" s="297">
        <f t="shared" ca="1" si="46"/>
        <v>0.14335074429550793</v>
      </c>
      <c r="BB51" s="298">
        <f t="shared" ca="1" si="46"/>
        <v>0</v>
      </c>
      <c r="BC51" s="296">
        <f t="shared" ca="1" si="53"/>
        <v>2.1097813576890223E-2</v>
      </c>
      <c r="BD51" s="297">
        <f t="shared" ca="1" si="47"/>
        <v>0.30757564310057356</v>
      </c>
      <c r="BE51" s="297">
        <f t="shared" ca="1" si="48"/>
        <v>0.58557478717520017</v>
      </c>
      <c r="BF51" s="297">
        <f t="shared" ca="1" si="49"/>
        <v>0</v>
      </c>
      <c r="BG51" s="297">
        <f t="shared" ca="1" si="50"/>
        <v>8.5751756147336045E-2</v>
      </c>
      <c r="BH51" s="298">
        <f t="shared" ca="1" si="51"/>
        <v>0</v>
      </c>
    </row>
    <row r="52" spans="1:60" ht="1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54060.88</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5938.0105673953021</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2394.2138979642787</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25</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0.31907022398862295</v>
      </c>
      <c r="AR52" s="599">
        <f t="shared" si="52"/>
        <v>0</v>
      </c>
      <c r="AS52" s="310">
        <f t="shared" ca="1" si="41"/>
        <v>0.39505542732773269</v>
      </c>
      <c r="AT52" s="311">
        <f t="shared" ca="1" si="42"/>
        <v>0.99752737684336534</v>
      </c>
      <c r="AU52" s="311">
        <f t="shared" si="43"/>
        <v>0</v>
      </c>
      <c r="AV52" s="311">
        <f t="shared" ca="1" si="44"/>
        <v>0.51727033856272597</v>
      </c>
      <c r="AW52" s="312">
        <f t="shared" ca="1" si="45"/>
        <v>0</v>
      </c>
      <c r="AX52" s="310">
        <f t="shared" ca="1" si="46"/>
        <v>0.39434435604894624</v>
      </c>
      <c r="AY52" s="311">
        <f t="shared" ca="1" si="46"/>
        <v>0.98303076983289472</v>
      </c>
      <c r="AZ52" s="311">
        <f t="shared" si="46"/>
        <v>0</v>
      </c>
      <c r="BA52" s="311">
        <f t="shared" ca="1" si="46"/>
        <v>0.1650455627878798</v>
      </c>
      <c r="BB52" s="312">
        <f t="shared" ca="1" si="46"/>
        <v>0</v>
      </c>
      <c r="BC52" s="310">
        <f t="shared" ca="1" si="53"/>
        <v>1.6969230167105276E-2</v>
      </c>
      <c r="BD52" s="311">
        <f t="shared" ca="1" si="47"/>
        <v>0.25132743534475566</v>
      </c>
      <c r="BE52" s="311">
        <f t="shared" ca="1" si="48"/>
        <v>0.62651486817885815</v>
      </c>
      <c r="BF52" s="311">
        <f t="shared" ca="1" si="49"/>
        <v>0</v>
      </c>
      <c r="BG52" s="311">
        <f t="shared" ca="1" si="50"/>
        <v>0.10518846630928096</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53035.34</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5749.7229355806185</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2666.383919121964</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22</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0.33312427294704727</v>
      </c>
      <c r="AR53" s="611">
        <f t="shared" si="52"/>
        <v>0</v>
      </c>
      <c r="AS53" s="282">
        <f t="shared" ca="1" si="41"/>
        <v>0.74969707412909414</v>
      </c>
      <c r="AT53" s="283">
        <f t="shared" ca="1" si="42"/>
        <v>0.9990889488055994</v>
      </c>
      <c r="AU53" s="283">
        <f t="shared" si="43"/>
        <v>0</v>
      </c>
      <c r="AV53" s="283">
        <f t="shared" ca="1" si="44"/>
        <v>0.6169921855947591</v>
      </c>
      <c r="AW53" s="284">
        <f t="shared" ca="1" si="45"/>
        <v>0</v>
      </c>
      <c r="AX53" s="282">
        <f t="shared" ca="1" si="46"/>
        <v>0.74839569112393334</v>
      </c>
      <c r="AY53" s="283">
        <f t="shared" ca="1" si="46"/>
        <v>0.98535383515170805</v>
      </c>
      <c r="AZ53" s="283">
        <f t="shared" si="46"/>
        <v>0</v>
      </c>
      <c r="BA53" s="283">
        <f t="shared" ca="1" si="46"/>
        <v>0.20553507324026377</v>
      </c>
      <c r="BB53" s="284">
        <f t="shared" ca="1" si="46"/>
        <v>0</v>
      </c>
      <c r="BC53" s="282">
        <f t="shared" ca="1" si="53"/>
        <v>1.4646164848292065E-2</v>
      </c>
      <c r="BD53" s="283">
        <f t="shared" ca="1" si="47"/>
        <v>0.3802611358044421</v>
      </c>
      <c r="BE53" s="283">
        <f t="shared" ca="1" si="48"/>
        <v>0.5006599756892548</v>
      </c>
      <c r="BF53" s="283">
        <f t="shared" ca="1" si="49"/>
        <v>0</v>
      </c>
      <c r="BG53" s="283">
        <f t="shared" ca="1" si="50"/>
        <v>0.10443272365801101</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52398.06</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5589.1692797519281</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2882.8250710080029</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20</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0.34209262895704418</v>
      </c>
      <c r="AR54" s="598">
        <f t="shared" si="52"/>
        <v>0</v>
      </c>
      <c r="AS54" s="296">
        <f t="shared" ca="1" si="41"/>
        <v>0.87044565164162824</v>
      </c>
      <c r="AT54" s="297">
        <f t="shared" ca="1" si="42"/>
        <v>0.99966464986953363</v>
      </c>
      <c r="AU54" s="297">
        <f t="shared" si="43"/>
        <v>0</v>
      </c>
      <c r="AV54" s="297">
        <f t="shared" ca="1" si="44"/>
        <v>0.68430946962833761</v>
      </c>
      <c r="AW54" s="298">
        <f t="shared" ca="1" si="45"/>
        <v>0</v>
      </c>
      <c r="AX54" s="296">
        <f t="shared" ca="1" si="46"/>
        <v>0.86896906170752786</v>
      </c>
      <c r="AY54" s="297">
        <f t="shared" ca="1" si="46"/>
        <v>0.98640084999197342</v>
      </c>
      <c r="AZ54" s="297">
        <f t="shared" si="46"/>
        <v>0</v>
      </c>
      <c r="BA54" s="297">
        <f t="shared" ca="1" si="46"/>
        <v>0.23409722548535858</v>
      </c>
      <c r="BB54" s="298">
        <f t="shared" ca="1" si="46"/>
        <v>0</v>
      </c>
      <c r="BC54" s="296">
        <f t="shared" ca="1" si="53"/>
        <v>1.3599150008026695E-2</v>
      </c>
      <c r="BD54" s="297">
        <f t="shared" ca="1" si="47"/>
        <v>0.41022507883989695</v>
      </c>
      <c r="BE54" s="297">
        <f t="shared" ca="1" si="48"/>
        <v>0.46566256992000027</v>
      </c>
      <c r="BF54" s="297">
        <f t="shared" ca="1" si="49"/>
        <v>0</v>
      </c>
      <c r="BG54" s="297">
        <f t="shared" ca="1" si="50"/>
        <v>0.11051320123207609</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51392.21</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5409.2578022804391</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3133.3046551624375</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18</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0.35641687198817018</v>
      </c>
      <c r="AR55" s="598">
        <f t="shared" si="52"/>
        <v>0</v>
      </c>
      <c r="AS55" s="296">
        <f t="shared" ca="1" si="41"/>
        <v>0.94221614744634519</v>
      </c>
      <c r="AT55" s="297">
        <f t="shared" ca="1" si="42"/>
        <v>0.99987660542401369</v>
      </c>
      <c r="AU55" s="297">
        <f t="shared" si="43"/>
        <v>0</v>
      </c>
      <c r="AV55" s="297">
        <f t="shared" ca="1" si="44"/>
        <v>0.75028811646116034</v>
      </c>
      <c r="AW55" s="298">
        <f t="shared" ca="1" si="45"/>
        <v>0</v>
      </c>
      <c r="AX55" s="296">
        <f t="shared" ca="1" si="46"/>
        <v>0.94067533687613769</v>
      </c>
      <c r="AY55" s="297">
        <f t="shared" ca="1" si="46"/>
        <v>0.9873465080045376</v>
      </c>
      <c r="AZ55" s="297">
        <f t="shared" si="46"/>
        <v>0</v>
      </c>
      <c r="BA55" s="297">
        <f t="shared" ca="1" si="46"/>
        <v>0.26741534355898272</v>
      </c>
      <c r="BB55" s="298">
        <f t="shared" ca="1" si="46"/>
        <v>0</v>
      </c>
      <c r="BC55" s="296">
        <f t="shared" ca="1" si="53"/>
        <v>1.2653491995462396E-2</v>
      </c>
      <c r="BD55" s="297">
        <f t="shared" ca="1" si="47"/>
        <v>0.42304672341400218</v>
      </c>
      <c r="BE55" s="297">
        <f t="shared" ca="1" si="48"/>
        <v>0.44403599064549071</v>
      </c>
      <c r="BF55" s="297">
        <f t="shared" ca="1" si="49"/>
        <v>0</v>
      </c>
      <c r="BG55" s="297">
        <f t="shared" ca="1" si="50"/>
        <v>0.12026379394504469</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49845.7</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5203.2106525158615</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3411.5625686533112</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16</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0.37898811040232294</v>
      </c>
      <c r="AR56" s="598">
        <f t="shared" si="52"/>
        <v>0</v>
      </c>
      <c r="AS56" s="296">
        <f t="shared" ca="1" si="41"/>
        <v>0.98860507741273906</v>
      </c>
      <c r="AT56" s="297">
        <f t="shared" ca="1" si="42"/>
        <v>0.99995460213129761</v>
      </c>
      <c r="AU56" s="297">
        <f t="shared" si="43"/>
        <v>0</v>
      </c>
      <c r="AV56" s="297">
        <f t="shared" ca="1" si="44"/>
        <v>0.81311854575190168</v>
      </c>
      <c r="AW56" s="298">
        <f t="shared" ca="1" si="45"/>
        <v>0</v>
      </c>
      <c r="AX56" s="296">
        <f t="shared" ca="1" si="46"/>
        <v>0.98707890751438676</v>
      </c>
      <c r="AY56" s="297">
        <f t="shared" ca="1" si="46"/>
        <v>0.98851435614736205</v>
      </c>
      <c r="AZ56" s="297">
        <f t="shared" si="46"/>
        <v>0</v>
      </c>
      <c r="BA56" s="297">
        <f t="shared" ca="1" si="46"/>
        <v>0.30816226118759799</v>
      </c>
      <c r="BB56" s="298">
        <f t="shared" ca="1" si="46"/>
        <v>0</v>
      </c>
      <c r="BC56" s="296">
        <f t="shared" ca="1" si="53"/>
        <v>1.148564385263795E-2</v>
      </c>
      <c r="BD56" s="297">
        <f t="shared" ca="1" si="47"/>
        <v>0.42725311886988981</v>
      </c>
      <c r="BE56" s="297">
        <f t="shared" ca="1" si="48"/>
        <v>0.4278744470137163</v>
      </c>
      <c r="BF56" s="297">
        <f t="shared" ca="1" si="49"/>
        <v>0</v>
      </c>
      <c r="BG56" s="297">
        <f t="shared" ca="1" si="50"/>
        <v>0.13338679026375591</v>
      </c>
      <c r="BH56" s="298">
        <f t="shared" ca="1" si="51"/>
        <v>0</v>
      </c>
    </row>
    <row r="57" spans="1:60" ht="1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47561.1</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4965.5842972639102</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3648.0080171387808</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14</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0.41352001999863075</v>
      </c>
      <c r="AR57" s="629">
        <f t="shared" si="52"/>
        <v>0</v>
      </c>
      <c r="AS57" s="624">
        <f t="shared" ca="1" si="41"/>
        <v>0.99998329857815205</v>
      </c>
      <c r="AT57" s="625">
        <f t="shared" ca="1" si="42"/>
        <v>0.99998329857815205</v>
      </c>
      <c r="AU57" s="625">
        <f t="shared" si="43"/>
        <v>0</v>
      </c>
      <c r="AV57" s="625">
        <f t="shared" ca="1" si="44"/>
        <v>0.87072311107050204</v>
      </c>
      <c r="AW57" s="626">
        <f t="shared" ca="1" si="45"/>
        <v>0</v>
      </c>
      <c r="AX57" s="624">
        <f t="shared" ca="1" si="46"/>
        <v>0.99856988898116306</v>
      </c>
      <c r="AY57" s="625">
        <f t="shared" ca="1" si="46"/>
        <v>0.99006398120498829</v>
      </c>
      <c r="AZ57" s="625">
        <f t="shared" si="46"/>
        <v>0</v>
      </c>
      <c r="BA57" s="625">
        <f t="shared" ca="1" si="46"/>
        <v>0.36006143830314397</v>
      </c>
      <c r="BB57" s="626">
        <f t="shared" ca="1" si="46"/>
        <v>0</v>
      </c>
      <c r="BC57" s="624">
        <f t="shared" ca="1" si="53"/>
        <v>1.4301110188370547E-3</v>
      </c>
      <c r="BD57" s="625">
        <f t="shared" ca="1" si="47"/>
        <v>0.42455137521487368</v>
      </c>
      <c r="BE57" s="625">
        <f t="shared" ca="1" si="48"/>
        <v>0.42093500856525401</v>
      </c>
      <c r="BF57" s="625">
        <f t="shared" ca="1" si="49"/>
        <v>0</v>
      </c>
      <c r="BG57" s="625">
        <f t="shared" ca="1" si="50"/>
        <v>0.15308350520103534</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44377.96</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4696.2701122313274</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3970.4976801051171</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12</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0.46371271416641502</v>
      </c>
      <c r="AR58" s="642">
        <f t="shared" si="52"/>
        <v>0</v>
      </c>
      <c r="AS58" s="637">
        <f t="shared" ca="1" si="41"/>
        <v>0.99999385582539779</v>
      </c>
      <c r="AT58" s="638">
        <f t="shared" ca="1" si="42"/>
        <v>0.99999385582539779</v>
      </c>
      <c r="AU58" s="638">
        <f t="shared" si="43"/>
        <v>0</v>
      </c>
      <c r="AV58" s="638">
        <f t="shared" ca="1" si="44"/>
        <v>0.92083410057885096</v>
      </c>
      <c r="AW58" s="639">
        <f t="shared" ca="1" si="45"/>
        <v>0</v>
      </c>
      <c r="AX58" s="637">
        <f t="shared" ca="1" si="46"/>
        <v>0.99875229805778798</v>
      </c>
      <c r="AY58" s="638">
        <f t="shared" ca="1" si="46"/>
        <v>0.99201432509213849</v>
      </c>
      <c r="AZ58" s="638">
        <f t="shared" si="46"/>
        <v>0</v>
      </c>
      <c r="BA58" s="638">
        <f t="shared" ca="1" si="46"/>
        <v>0.42700248007640856</v>
      </c>
      <c r="BB58" s="639">
        <f t="shared" ca="1" si="46"/>
        <v>0</v>
      </c>
      <c r="BC58" s="637">
        <f t="shared" ca="1" si="53"/>
        <v>1.2477019422121316E-3</v>
      </c>
      <c r="BD58" s="638">
        <f t="shared" ca="1" si="47"/>
        <v>0.41257295890853007</v>
      </c>
      <c r="BE58" s="638">
        <f t="shared" ca="1" si="48"/>
        <v>0.40978958063857313</v>
      </c>
      <c r="BF58" s="638">
        <f t="shared" ca="1" si="49"/>
        <v>0</v>
      </c>
      <c r="BG58" s="638">
        <f t="shared" ca="1" si="50"/>
        <v>0.17638975851068464</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40286.47</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4404.7524375283028</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4386.491803420864</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10</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0.53099236818258433</v>
      </c>
      <c r="AR59" s="598">
        <f t="shared" si="52"/>
        <v>0</v>
      </c>
      <c r="AS59" s="296">
        <f t="shared" ca="1" si="41"/>
        <v>0.99999773967570205</v>
      </c>
      <c r="AT59" s="297">
        <f t="shared" ca="1" si="42"/>
        <v>0.99999773967570205</v>
      </c>
      <c r="AU59" s="297">
        <f t="shared" si="43"/>
        <v>0</v>
      </c>
      <c r="AV59" s="297">
        <f t="shared" ca="1" si="44"/>
        <v>0.96102831968726332</v>
      </c>
      <c r="AW59" s="298">
        <f t="shared" ca="1" si="45"/>
        <v>0</v>
      </c>
      <c r="AX59" s="296">
        <f t="shared" ca="1" si="46"/>
        <v>0.99896062828321552</v>
      </c>
      <c r="AY59" s="297">
        <f t="shared" ca="1" si="46"/>
        <v>0.99420392331297547</v>
      </c>
      <c r="AZ59" s="297">
        <f t="shared" si="46"/>
        <v>0</v>
      </c>
      <c r="BA59" s="297">
        <f t="shared" ca="1" si="46"/>
        <v>0.5102987033612697</v>
      </c>
      <c r="BB59" s="298">
        <f t="shared" ca="1" si="46"/>
        <v>0</v>
      </c>
      <c r="BC59" s="296">
        <f t="shared" ca="1" si="53"/>
        <v>1.0393717167844763E-3</v>
      </c>
      <c r="BD59" s="297">
        <f t="shared" ca="1" si="47"/>
        <v>0.39861673019720584</v>
      </c>
      <c r="BE59" s="297">
        <f t="shared" ca="1" si="48"/>
        <v>0.39671865520999783</v>
      </c>
      <c r="BF59" s="297">
        <f t="shared" ca="1" si="49"/>
        <v>0</v>
      </c>
      <c r="BG59" s="297">
        <f t="shared" ca="1" si="50"/>
        <v>0.20362524287601191</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35539.72</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4110.3834731081151</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4731.4471572002949</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8</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0.61119257254208792</v>
      </c>
      <c r="AR60" s="598">
        <f t="shared" si="52"/>
        <v>0</v>
      </c>
      <c r="AS60" s="296">
        <f t="shared" ca="1" si="41"/>
        <v>0.99999916847197223</v>
      </c>
      <c r="AT60" s="297">
        <f t="shared" ca="1" si="42"/>
        <v>0.99999916847197223</v>
      </c>
      <c r="AU60" s="297">
        <f t="shared" si="43"/>
        <v>0</v>
      </c>
      <c r="AV60" s="297">
        <f t="shared" ca="1" si="44"/>
        <v>0.98864913792366504</v>
      </c>
      <c r="AW60" s="298">
        <f t="shared" ca="1" si="45"/>
        <v>0</v>
      </c>
      <c r="AX60" s="296">
        <f t="shared" ca="1" si="46"/>
        <v>0.99917615450960462</v>
      </c>
      <c r="AY60" s="297">
        <f t="shared" ca="1" si="46"/>
        <v>0.99630582470133744</v>
      </c>
      <c r="AZ60" s="297">
        <f t="shared" si="46"/>
        <v>0</v>
      </c>
      <c r="BA60" s="297">
        <f t="shared" ca="1" si="46"/>
        <v>0.60425500994908232</v>
      </c>
      <c r="BB60" s="298">
        <f t="shared" ca="1" si="46"/>
        <v>0</v>
      </c>
      <c r="BC60" s="296">
        <f t="shared" ca="1" si="53"/>
        <v>8.2384549039549171E-4</v>
      </c>
      <c r="BD60" s="297">
        <f t="shared" ca="1" si="47"/>
        <v>0.3840207651402342</v>
      </c>
      <c r="BE60" s="297">
        <f t="shared" ca="1" si="48"/>
        <v>0.38291759004523146</v>
      </c>
      <c r="BF60" s="297">
        <f t="shared" ca="1" si="49"/>
        <v>0</v>
      </c>
      <c r="BG60" s="297">
        <f t="shared" ca="1" si="50"/>
        <v>0.23223779932413896</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30645.58</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3835.675674141718</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5071.060352998029</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7</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0.69367363042281727</v>
      </c>
      <c r="AR61" s="598">
        <f t="shared" si="52"/>
        <v>0</v>
      </c>
      <c r="AS61" s="296">
        <f t="shared" ca="1" si="41"/>
        <v>0.99999969409777301</v>
      </c>
      <c r="AT61" s="297">
        <f t="shared" ca="1" si="42"/>
        <v>0.99999969409777301</v>
      </c>
      <c r="AU61" s="297">
        <f t="shared" si="43"/>
        <v>0</v>
      </c>
      <c r="AV61" s="297">
        <f t="shared" ca="1" si="44"/>
        <v>0.99672698050593345</v>
      </c>
      <c r="AW61" s="298">
        <f t="shared" ca="1" si="45"/>
        <v>0</v>
      </c>
      <c r="AX61" s="296">
        <f t="shared" ca="1" si="46"/>
        <v>0.99937164683799029</v>
      </c>
      <c r="AY61" s="297">
        <f t="shared" ca="1" si="46"/>
        <v>0.99798078036042381</v>
      </c>
      <c r="AZ61" s="297">
        <f t="shared" si="46"/>
        <v>0</v>
      </c>
      <c r="BA61" s="297">
        <f t="shared" ca="1" si="46"/>
        <v>0.69140322310792346</v>
      </c>
      <c r="BB61" s="298">
        <f t="shared" ca="1" si="46"/>
        <v>0</v>
      </c>
      <c r="BC61" s="296">
        <f t="shared" ca="1" si="53"/>
        <v>6.2835316200959834E-4</v>
      </c>
      <c r="BD61" s="297">
        <f t="shared" ca="1" si="47"/>
        <v>0.37145200918123117</v>
      </c>
      <c r="BE61" s="297">
        <f t="shared" ca="1" si="48"/>
        <v>0.37093504419705381</v>
      </c>
      <c r="BF61" s="297">
        <f t="shared" ca="1" si="49"/>
        <v>0</v>
      </c>
      <c r="BG61" s="297">
        <f t="shared" ca="1" si="50"/>
        <v>0.25698459345970537</v>
      </c>
      <c r="BH61" s="298">
        <f t="shared" ca="1" si="51"/>
        <v>0</v>
      </c>
    </row>
    <row r="62" spans="1:60" ht="1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26176.46</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3596.5809094852889</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5428.798467944378</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5</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0.7659396456529397</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0.76593955945779757</v>
      </c>
      <c r="BB62" s="312">
        <f t="shared" ca="1" si="46"/>
        <v>0</v>
      </c>
      <c r="BC62" s="310">
        <f t="shared" ca="1" si="53"/>
        <v>4.7323567292678614E-4</v>
      </c>
      <c r="BD62" s="311">
        <f t="shared" ca="1" si="47"/>
        <v>0.36138180343564669</v>
      </c>
      <c r="BE62" s="311">
        <f t="shared" ca="1" si="48"/>
        <v>0.36121728951894888</v>
      </c>
      <c r="BF62" s="311">
        <f t="shared" ca="1" si="49"/>
        <v>0</v>
      </c>
      <c r="BG62" s="311">
        <f t="shared" ca="1" si="50"/>
        <v>0.27692767137247765</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22525.81</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3397.6428677398121</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5629.0144753915229</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5</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0.820949011827939</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0.8209489778411625</v>
      </c>
      <c r="BB63" s="284">
        <f t="shared" ca="1" si="46"/>
        <v>0</v>
      </c>
      <c r="BC63" s="282">
        <f t="shared" ca="1" si="53"/>
        <v>3.477476134168267E-4</v>
      </c>
      <c r="BD63" s="283">
        <f t="shared" ca="1" si="47"/>
        <v>0.35432803575247435</v>
      </c>
      <c r="BE63" s="283">
        <f t="shared" ca="1" si="48"/>
        <v>0.35433339051253765</v>
      </c>
      <c r="BF63" s="283">
        <f t="shared" ca="1" si="49"/>
        <v>0</v>
      </c>
      <c r="BG63" s="283">
        <f t="shared" ca="1" si="50"/>
        <v>0.29099082612157123</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19805.7</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3234.3157970682541</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5870.8914206292584</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4</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0.85869316350473512</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0.8586931504268559</v>
      </c>
      <c r="BB64" s="298">
        <f t="shared" ca="1" si="46"/>
        <v>0</v>
      </c>
      <c r="BC64" s="296">
        <f t="shared" ca="1" si="53"/>
        <v>9.6877514097704065E-5</v>
      </c>
      <c r="BD64" s="297">
        <f t="shared" ca="1" si="47"/>
        <v>0.34972219219172418</v>
      </c>
      <c r="BE64" s="297">
        <f t="shared" ca="1" si="48"/>
        <v>0.34978975900079934</v>
      </c>
      <c r="BF64" s="297">
        <f t="shared" ca="1" si="49"/>
        <v>0</v>
      </c>
      <c r="BG64" s="297">
        <f t="shared" ca="1" si="50"/>
        <v>0.30039117129337883</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17914.62</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3098.1898703753004</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6079.0073714349064</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3</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0.88293252552359491</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0.88293252057670368</v>
      </c>
      <c r="BB65" s="298">
        <f t="shared" ca="1" si="46"/>
        <v>0</v>
      </c>
      <c r="BC65" s="296">
        <f t="shared" ca="1" si="53"/>
        <v>1.3884039991918229E-5</v>
      </c>
      <c r="BD65" s="297">
        <f t="shared" ca="1" si="47"/>
        <v>0.34681055925250515</v>
      </c>
      <c r="BE65" s="297">
        <f t="shared" ca="1" si="48"/>
        <v>0.34689044726506801</v>
      </c>
      <c r="BF65" s="297">
        <f t="shared" ca="1" si="49"/>
        <v>0</v>
      </c>
      <c r="BG65" s="297">
        <f t="shared" ca="1" si="50"/>
        <v>0.30628510944243498</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16662.38</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2980.9409560321042</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6246.3388713224213</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3</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0.89800869762360469</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0.89800869577267073</v>
      </c>
      <c r="BB66" s="298">
        <f t="shared" ca="1" si="46"/>
        <v>0</v>
      </c>
      <c r="BC66" s="296">
        <f t="shared" ca="1" si="53"/>
        <v>8.7201246872226079E-6</v>
      </c>
      <c r="BD66" s="297">
        <f t="shared" ca="1" si="47"/>
        <v>0.34501376033242226</v>
      </c>
      <c r="BE66" s="297">
        <f t="shared" ca="1" si="48"/>
        <v>0.345085256301778</v>
      </c>
      <c r="BF66" s="297">
        <f t="shared" ca="1" si="49"/>
        <v>0</v>
      </c>
      <c r="BG66" s="297">
        <f t="shared" ca="1" si="50"/>
        <v>0.30989226324111258</v>
      </c>
      <c r="BH66" s="298">
        <f t="shared" ca="1" si="51"/>
        <v>0</v>
      </c>
    </row>
    <row r="67" spans="1:60" ht="1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14552.5</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2847.0104825584081</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6424.9173027974903</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3</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0.92132772042276012</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0.92132771972415772</v>
      </c>
      <c r="BB67" s="312">
        <f t="shared" ca="1" si="46"/>
        <v>0</v>
      </c>
      <c r="BC67" s="310">
        <f t="shared" ca="1" si="53"/>
        <v>3.8699220957782998E-6</v>
      </c>
      <c r="BD67" s="311">
        <f t="shared" ca="1" si="47"/>
        <v>0.34227042369312083</v>
      </c>
      <c r="BE67" s="311">
        <f t="shared" ca="1" si="48"/>
        <v>0.34232810939462344</v>
      </c>
      <c r="BF67" s="311">
        <f t="shared" ca="1" si="49"/>
        <v>0</v>
      </c>
      <c r="BG67" s="311">
        <f t="shared" ca="1" si="50"/>
        <v>0.31539759699016001</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40" t="s">
        <v>193</v>
      </c>
      <c r="C70" s="1541"/>
      <c r="D70" s="1541"/>
      <c r="E70" s="1541"/>
      <c r="F70" s="1541"/>
      <c r="G70" s="1541"/>
      <c r="H70" s="1541"/>
      <c r="I70" s="1541"/>
      <c r="J70" s="1541"/>
      <c r="K70" s="1541"/>
      <c r="L70" s="1541"/>
      <c r="M70" s="1541"/>
      <c r="N70" s="1542"/>
      <c r="O70" s="1540" t="s">
        <v>194</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53" t="str">
        <f>"% of miles on f2 for Tech "&amp; RIGHT(O69)&amp;" adopters"</f>
        <v>% of miles on f2 for Tech  adopters</v>
      </c>
      <c r="AC74" s="1554"/>
      <c r="AD74" s="1555"/>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0.44421377985122645</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40" t="s">
        <v>195</v>
      </c>
      <c r="C122" s="1541"/>
      <c r="D122" s="1541"/>
      <c r="E122" s="1541"/>
      <c r="F122" s="1541"/>
      <c r="G122" s="1541"/>
      <c r="H122" s="1541"/>
      <c r="I122" s="1541"/>
      <c r="J122" s="1541"/>
      <c r="K122" s="1541"/>
      <c r="L122" s="1541"/>
      <c r="M122" s="1541"/>
      <c r="N122" s="1542"/>
      <c r="O122" s="1540" t="s">
        <v>196</v>
      </c>
      <c r="P122" s="1541"/>
      <c r="Q122" s="1541"/>
      <c r="R122" s="1541"/>
      <c r="S122" s="1541"/>
      <c r="T122" s="1541"/>
      <c r="U122" s="1541"/>
      <c r="V122" s="1541"/>
      <c r="W122" s="1541"/>
      <c r="X122" s="1541"/>
      <c r="Y122" s="1541"/>
      <c r="Z122" s="1541"/>
      <c r="AA122" s="1542"/>
      <c r="AI122" s="227"/>
      <c r="AJ122" s="227"/>
      <c r="AK122" s="227"/>
      <c r="AL122" s="227"/>
      <c r="AM122" s="227"/>
    </row>
    <row r="123" spans="1:39"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53" t="str">
        <f>"% of miles on f2 for Tech "&amp; RIGHT(O121)&amp;" adopters"</f>
        <v>% of miles on f2 for Tech  adopters</v>
      </c>
      <c r="AC126" s="1554"/>
      <c r="AD126" s="1555"/>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53" t="str">
        <f>"% of miles on f2 for Tech "&amp; RIGHT(O173)&amp;" adopters"</f>
        <v>% of miles on f2 for Tech  adopters</v>
      </c>
      <c r="AC178" s="1554"/>
      <c r="AD178" s="1555"/>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53" t="str">
        <f>"% of miles on f2 for Tech "&amp; RIGHT(O226)&amp;" adopters"</f>
        <v>% of miles on f2 for Tech  adopters</v>
      </c>
      <c r="AC231" s="1554"/>
      <c r="AD231" s="1555"/>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40" t="s">
        <v>219</v>
      </c>
      <c r="C280" s="1541"/>
      <c r="D280" s="1541"/>
      <c r="E280" s="1541"/>
      <c r="F280" s="1541"/>
      <c r="G280" s="1541"/>
      <c r="H280" s="1541"/>
      <c r="I280" s="1541"/>
      <c r="J280" s="1541"/>
      <c r="K280" s="1541"/>
      <c r="L280" s="1541"/>
      <c r="M280" s="1541"/>
      <c r="N280" s="1542"/>
      <c r="O280" s="1540" t="s">
        <v>218</v>
      </c>
      <c r="P280" s="1541"/>
      <c r="Q280" s="1541"/>
      <c r="R280" s="1541"/>
      <c r="S280" s="1541"/>
      <c r="T280" s="1541"/>
      <c r="U280" s="1541"/>
      <c r="V280" s="1541"/>
      <c r="W280" s="1541"/>
      <c r="X280" s="1541"/>
      <c r="Y280" s="1541"/>
      <c r="Z280" s="1541"/>
      <c r="AA280" s="1542"/>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53" t="str">
        <f>"% of miles on f2 for Tech "&amp; RIGHT(O279)&amp;" adopters"</f>
        <v>% of miles on f2 for Tech  adopters</v>
      </c>
      <c r="AC284" s="1554"/>
      <c r="AD284" s="1555"/>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J30" sqref="J30"/>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79" t="s">
        <v>150</v>
      </c>
      <c r="B3" s="1580"/>
      <c r="C3" s="1580"/>
      <c r="D3" s="1580"/>
      <c r="E3" s="1580"/>
      <c r="F3" s="1580"/>
      <c r="G3" s="1580"/>
      <c r="H3" s="1580"/>
      <c r="I3" s="1580"/>
      <c r="J3" s="1580"/>
      <c r="K3" s="1580"/>
      <c r="L3" s="1580"/>
      <c r="M3" s="1580"/>
      <c r="N3" s="1580"/>
      <c r="O3" s="1580"/>
      <c r="P3" s="1580"/>
      <c r="Q3" s="1580"/>
      <c r="R3" s="1580"/>
      <c r="S3" s="1580"/>
      <c r="T3" s="1580"/>
      <c r="U3" s="1581"/>
      <c r="V3" s="849"/>
      <c r="W3" s="1582" t="s">
        <v>185</v>
      </c>
      <c r="X3" s="1583"/>
      <c r="Y3" s="1583"/>
      <c r="Z3" s="1583"/>
      <c r="AA3" s="1583"/>
      <c r="AB3" s="1583"/>
      <c r="AC3" s="1583"/>
      <c r="AD3" s="1583"/>
      <c r="AE3" s="1583"/>
      <c r="AF3" s="1583"/>
      <c r="AG3" s="1583"/>
      <c r="AH3" s="1583"/>
      <c r="AI3" s="1583"/>
      <c r="AJ3" s="1583"/>
      <c r="AK3" s="1583"/>
      <c r="AL3" s="1583"/>
      <c r="AM3" s="1583"/>
      <c r="AN3" s="1583"/>
      <c r="AO3" s="1583"/>
      <c r="AP3" s="1583"/>
      <c r="AQ3" s="1584"/>
    </row>
    <row r="4" spans="1:43" ht="15" x14ac:dyDescent="0.2">
      <c r="A4" s="400"/>
      <c r="B4" s="1574" t="s">
        <v>249</v>
      </c>
      <c r="C4" s="1575"/>
      <c r="D4" s="1575"/>
      <c r="E4" s="1575"/>
      <c r="F4" s="1575"/>
      <c r="G4" s="1576"/>
      <c r="H4" s="1574" t="s">
        <v>250</v>
      </c>
      <c r="I4" s="1575"/>
      <c r="J4" s="1575"/>
      <c r="K4" s="1575"/>
      <c r="L4" s="1575"/>
      <c r="M4" s="1576"/>
      <c r="N4" s="1574" t="s">
        <v>154</v>
      </c>
      <c r="O4" s="1575"/>
      <c r="P4" s="1575"/>
      <c r="Q4" s="1575"/>
      <c r="R4" s="1575"/>
      <c r="S4" s="1576"/>
      <c r="T4" s="1574" t="s">
        <v>153</v>
      </c>
      <c r="U4" s="1576"/>
      <c r="W4" s="400"/>
      <c r="X4" s="1574" t="s">
        <v>249</v>
      </c>
      <c r="Y4" s="1575"/>
      <c r="Z4" s="1575"/>
      <c r="AA4" s="1575"/>
      <c r="AB4" s="1575"/>
      <c r="AC4" s="1576"/>
      <c r="AD4" s="1574" t="s">
        <v>250</v>
      </c>
      <c r="AE4" s="1575"/>
      <c r="AF4" s="1575"/>
      <c r="AG4" s="1575"/>
      <c r="AH4" s="1575"/>
      <c r="AI4" s="1576"/>
      <c r="AJ4" s="1574" t="s">
        <v>154</v>
      </c>
      <c r="AK4" s="1575"/>
      <c r="AL4" s="1575"/>
      <c r="AM4" s="1575"/>
      <c r="AN4" s="1575"/>
      <c r="AO4" s="1576"/>
      <c r="AP4" s="1574" t="s">
        <v>153</v>
      </c>
      <c r="AQ4" s="1576"/>
    </row>
    <row r="5" spans="1:43" ht="15" x14ac:dyDescent="0.2">
      <c r="A5" s="401"/>
      <c r="B5" s="1571" t="s">
        <v>129</v>
      </c>
      <c r="C5" s="1572"/>
      <c r="D5" s="1572"/>
      <c r="E5" s="1572"/>
      <c r="F5" s="1572"/>
      <c r="G5" s="1573"/>
      <c r="H5" s="1571" t="s">
        <v>129</v>
      </c>
      <c r="I5" s="1572"/>
      <c r="J5" s="1572"/>
      <c r="K5" s="1572"/>
      <c r="L5" s="1572"/>
      <c r="M5" s="1573"/>
      <c r="N5" s="1571" t="s">
        <v>129</v>
      </c>
      <c r="O5" s="1572"/>
      <c r="P5" s="1572"/>
      <c r="Q5" s="1572"/>
      <c r="R5" s="1572"/>
      <c r="S5" s="1573"/>
      <c r="T5" s="1577" t="s">
        <v>129</v>
      </c>
      <c r="U5" s="1578"/>
      <c r="W5" s="401"/>
      <c r="X5" s="1571" t="s">
        <v>129</v>
      </c>
      <c r="Y5" s="1572"/>
      <c r="Z5" s="1572"/>
      <c r="AA5" s="1572"/>
      <c r="AB5" s="1572"/>
      <c r="AC5" s="1573"/>
      <c r="AD5" s="1571" t="s">
        <v>129</v>
      </c>
      <c r="AE5" s="1572"/>
      <c r="AF5" s="1572"/>
      <c r="AG5" s="1572"/>
      <c r="AH5" s="1572"/>
      <c r="AI5" s="1573"/>
      <c r="AJ5" s="1571" t="s">
        <v>129</v>
      </c>
      <c r="AK5" s="1572"/>
      <c r="AL5" s="1572"/>
      <c r="AM5" s="1572"/>
      <c r="AN5" s="1572"/>
      <c r="AO5" s="1573"/>
      <c r="AP5" s="1577" t="s">
        <v>129</v>
      </c>
      <c r="AQ5" s="1578"/>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6" thickTop="1" x14ac:dyDescent="0.2">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6" thickBot="1" x14ac:dyDescent="0.25">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08/27/2020 19:32</v>
      </c>
      <c r="B56" s="399"/>
    </row>
    <row r="57" spans="1:43" x14ac:dyDescent="0.2">
      <c r="A57" s="473" t="str">
        <f>"Combination, Non-Centrally Refueled: " &amp;TEXT(RtimeCls1NCent1,"mm/dd/yyyy hh:mm")</f>
        <v>Combination, Non-Centrally Refueled: 08/27/2020 19:32</v>
      </c>
    </row>
    <row r="58" spans="1:43" x14ac:dyDescent="0.2">
      <c r="A58" s="473" t="str">
        <f>"Single Unit, Centrally Refueled: " &amp;TEXT(RtimeCls2Cent1,"mm/dd/yyyy hh:mm")</f>
        <v>Single Unit, Centrally Refueled: 08/27/2020 19:32</v>
      </c>
    </row>
    <row r="59" spans="1:43" x14ac:dyDescent="0.2">
      <c r="A59" s="473" t="str">
        <f>"Single Unit, Non-Centrally Refueled: " &amp;TEXT(RtimeCls2NCent1,"mm/dd/yyyy hh:mm")</f>
        <v>Single Unit, Non-Centrally Refueled: 08/27/2020 19:32</v>
      </c>
    </row>
  </sheetData>
  <mergeCells count="18">
    <mergeCell ref="A3:U3"/>
    <mergeCell ref="W3:AQ3"/>
    <mergeCell ref="T5:U5"/>
    <mergeCell ref="T4:U4"/>
    <mergeCell ref="N5:S5"/>
    <mergeCell ref="N4:S4"/>
    <mergeCell ref="X4:AC4"/>
    <mergeCell ref="AD4:AI4"/>
    <mergeCell ref="AJ4:AO4"/>
    <mergeCell ref="X5:AC5"/>
    <mergeCell ref="AD5:AI5"/>
    <mergeCell ref="AJ5:AO5"/>
    <mergeCell ref="H5:M5"/>
    <mergeCell ref="H4:M4"/>
    <mergeCell ref="B5:G5"/>
    <mergeCell ref="B4:G4"/>
    <mergeCell ref="AP5:AQ5"/>
    <mergeCell ref="AP4:AQ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585" t="s">
        <v>128</v>
      </c>
      <c r="B3" s="1586"/>
      <c r="C3" s="1586"/>
      <c r="D3" s="1586"/>
      <c r="E3" s="1586"/>
      <c r="F3" s="1586"/>
      <c r="G3" s="1586"/>
      <c r="H3" s="1586"/>
      <c r="I3" s="1586"/>
      <c r="J3" s="1586"/>
      <c r="K3" s="1586"/>
      <c r="L3" s="1586"/>
      <c r="M3" s="1586"/>
      <c r="N3" s="1586"/>
      <c r="O3" s="1586"/>
      <c r="P3" s="1586"/>
      <c r="Q3" s="1586"/>
      <c r="R3" s="1586"/>
      <c r="S3" s="1586"/>
      <c r="T3" s="1586"/>
      <c r="U3" s="1586"/>
    </row>
    <row r="4" spans="1:26" ht="15" x14ac:dyDescent="0.2">
      <c r="A4" s="400"/>
      <c r="B4" s="1587" t="s">
        <v>249</v>
      </c>
      <c r="C4" s="1588"/>
      <c r="D4" s="1588"/>
      <c r="E4" s="1588"/>
      <c r="F4" s="1588"/>
      <c r="G4" s="1589"/>
      <c r="H4" s="1587" t="s">
        <v>250</v>
      </c>
      <c r="I4" s="1588"/>
      <c r="J4" s="1588"/>
      <c r="K4" s="1588"/>
      <c r="L4" s="1588"/>
      <c r="M4" s="1589"/>
      <c r="N4" s="1587" t="s">
        <v>154</v>
      </c>
      <c r="O4" s="1588"/>
      <c r="P4" s="1588"/>
      <c r="Q4" s="1588"/>
      <c r="R4" s="1588"/>
      <c r="S4" s="1589"/>
      <c r="T4" s="1594" t="s">
        <v>153</v>
      </c>
      <c r="U4" s="1595"/>
    </row>
    <row r="5" spans="1:26" ht="15" x14ac:dyDescent="0.2">
      <c r="A5" s="401"/>
      <c r="B5" s="1590" t="s">
        <v>129</v>
      </c>
      <c r="C5" s="1591"/>
      <c r="D5" s="1591"/>
      <c r="E5" s="1591"/>
      <c r="F5" s="1591"/>
      <c r="G5" s="1592"/>
      <c r="H5" s="1590" t="s">
        <v>129</v>
      </c>
      <c r="I5" s="1591"/>
      <c r="J5" s="1591"/>
      <c r="K5" s="1591"/>
      <c r="L5" s="1591"/>
      <c r="M5" s="1592"/>
      <c r="N5" s="1590" t="s">
        <v>129</v>
      </c>
      <c r="O5" s="1591"/>
      <c r="P5" s="1591"/>
      <c r="Q5" s="1591"/>
      <c r="R5" s="1591"/>
      <c r="S5" s="1592"/>
      <c r="T5" s="1593" t="s">
        <v>129</v>
      </c>
      <c r="U5" s="1578"/>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6" thickTop="1" x14ac:dyDescent="0.2">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6" thickBot="1" x14ac:dyDescent="0.25">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79" t="s">
        <v>151</v>
      </c>
      <c r="B3" s="1580"/>
      <c r="C3" s="1580"/>
      <c r="D3" s="1580"/>
      <c r="E3" s="1580"/>
      <c r="F3" s="1580"/>
      <c r="G3" s="1580"/>
      <c r="H3" s="1580"/>
      <c r="I3" s="1580"/>
      <c r="J3" s="1580"/>
      <c r="K3" s="1580"/>
      <c r="L3" s="1580"/>
      <c r="M3" s="1580"/>
      <c r="N3" s="1580"/>
      <c r="O3" s="1580"/>
      <c r="P3" s="1580"/>
      <c r="Q3" s="1580"/>
      <c r="R3" s="1580"/>
      <c r="S3" s="1580"/>
      <c r="T3" s="1580"/>
      <c r="U3" s="1581"/>
    </row>
    <row r="4" spans="1:24" ht="15" x14ac:dyDescent="0.2">
      <c r="A4" s="400"/>
      <c r="B4" s="1574" t="s">
        <v>249</v>
      </c>
      <c r="C4" s="1575"/>
      <c r="D4" s="1575"/>
      <c r="E4" s="1575"/>
      <c r="F4" s="1575"/>
      <c r="G4" s="1576"/>
      <c r="H4" s="1574" t="s">
        <v>250</v>
      </c>
      <c r="I4" s="1575"/>
      <c r="J4" s="1575"/>
      <c r="K4" s="1575"/>
      <c r="L4" s="1575"/>
      <c r="M4" s="1576"/>
      <c r="N4" s="1574" t="s">
        <v>154</v>
      </c>
      <c r="O4" s="1575"/>
      <c r="P4" s="1575"/>
      <c r="Q4" s="1575"/>
      <c r="R4" s="1575"/>
      <c r="S4" s="1576"/>
      <c r="T4" s="1596" t="s">
        <v>153</v>
      </c>
      <c r="U4" s="1595"/>
    </row>
    <row r="5" spans="1:24" ht="15" x14ac:dyDescent="0.2">
      <c r="A5" s="401"/>
      <c r="B5" s="1571" t="s">
        <v>129</v>
      </c>
      <c r="C5" s="1572"/>
      <c r="D5" s="1572"/>
      <c r="E5" s="1572"/>
      <c r="F5" s="1572"/>
      <c r="G5" s="1573"/>
      <c r="H5" s="1571" t="s">
        <v>129</v>
      </c>
      <c r="I5" s="1572"/>
      <c r="J5" s="1572"/>
      <c r="K5" s="1572"/>
      <c r="L5" s="1572"/>
      <c r="M5" s="1573"/>
      <c r="N5" s="1571" t="s">
        <v>129</v>
      </c>
      <c r="O5" s="1572"/>
      <c r="P5" s="1572"/>
      <c r="Q5" s="1572"/>
      <c r="R5" s="1572"/>
      <c r="S5" s="1573"/>
      <c r="T5" s="1577" t="s">
        <v>129</v>
      </c>
      <c r="U5" s="1578"/>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6" thickTop="1" x14ac:dyDescent="0.2">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6" thickBot="1" x14ac:dyDescent="0.25">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c r="B56" s="399"/>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t="s">
        <v>312</v>
      </c>
      <c r="B5" s="1603">
        <f>'Market Data'!C49/('Market Data'!E49+'Market Data'!C49)</f>
        <v>0.23038147668861172</v>
      </c>
      <c r="C5" s="1604"/>
      <c r="D5" s="1604"/>
      <c r="E5" s="1604"/>
      <c r="F5" s="1604"/>
      <c r="G5" s="1605"/>
      <c r="H5" s="1603">
        <f>'Market Data'!M49/('Market Data'!M49+'Market Data'!O49)</f>
        <v>0.61452169476443286</v>
      </c>
      <c r="I5" s="1604"/>
      <c r="J5" s="1604"/>
      <c r="K5" s="1604"/>
      <c r="L5" s="1604"/>
      <c r="M5" s="1605"/>
      <c r="N5" s="1603">
        <f>'Market Data'!W49/('Market Data'!W49+'Market Data'!Y49)</f>
        <v>0.39932829612730575</v>
      </c>
      <c r="O5" s="1604"/>
      <c r="P5" s="1604"/>
      <c r="Q5" s="1604"/>
      <c r="R5" s="1604"/>
      <c r="S5" s="1605"/>
    </row>
    <row r="6" spans="1:19" x14ac:dyDescent="0.2">
      <c r="A6" s="1178"/>
      <c r="B6" s="1600" t="s">
        <v>129</v>
      </c>
      <c r="C6" s="1601"/>
      <c r="D6" s="1601"/>
      <c r="E6" s="1601"/>
      <c r="F6" s="1601"/>
      <c r="G6" s="1602"/>
      <c r="H6" s="1600" t="s">
        <v>129</v>
      </c>
      <c r="I6" s="1601"/>
      <c r="J6" s="1601"/>
      <c r="K6" s="1601"/>
      <c r="L6" s="1601"/>
      <c r="M6" s="1602"/>
      <c r="N6" s="1600" t="s">
        <v>129</v>
      </c>
      <c r="O6" s="1601"/>
      <c r="P6" s="1601"/>
      <c r="Q6" s="1601"/>
      <c r="R6" s="1601"/>
      <c r="S6" s="1602"/>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0.50691891517311738</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6" thickBot="1" x14ac:dyDescent="0.25">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J6" zoomScale="107" zoomScaleNormal="107"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c r="U4" s="1177"/>
      <c r="V4" s="1597" t="s">
        <v>249</v>
      </c>
      <c r="W4" s="1598"/>
      <c r="X4" s="1598"/>
      <c r="Y4" s="1598"/>
      <c r="Z4" s="1598"/>
      <c r="AA4" s="1599"/>
      <c r="AB4" s="1597" t="s">
        <v>250</v>
      </c>
      <c r="AC4" s="1598"/>
      <c r="AD4" s="1598"/>
      <c r="AE4" s="1598"/>
      <c r="AF4" s="1598"/>
      <c r="AG4" s="1599"/>
      <c r="AH4" s="1597" t="s">
        <v>154</v>
      </c>
      <c r="AI4" s="1598"/>
      <c r="AJ4" s="1598"/>
      <c r="AK4" s="1598"/>
      <c r="AL4" s="1598"/>
      <c r="AM4" s="1599"/>
    </row>
    <row r="5" spans="1:48"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c r="U5" s="1178"/>
      <c r="V5" s="1600" t="s">
        <v>129</v>
      </c>
      <c r="W5" s="1601"/>
      <c r="X5" s="1601"/>
      <c r="Y5" s="1601"/>
      <c r="Z5" s="1601"/>
      <c r="AA5" s="1602"/>
      <c r="AB5" s="1600" t="s">
        <v>129</v>
      </c>
      <c r="AC5" s="1601"/>
      <c r="AD5" s="1601"/>
      <c r="AE5" s="1601"/>
      <c r="AF5" s="1601"/>
      <c r="AG5" s="1602"/>
      <c r="AH5" s="1600" t="s">
        <v>129</v>
      </c>
      <c r="AI5" s="1601"/>
      <c r="AJ5" s="1601"/>
      <c r="AK5" s="1601"/>
      <c r="AL5" s="1601"/>
      <c r="AM5" s="1602"/>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6" t="s">
        <v>374</v>
      </c>
      <c r="AP7" s="1607"/>
      <c r="AQ7" s="1608"/>
      <c r="AR7" s="1335"/>
      <c r="AS7" s="1606" t="s">
        <v>375</v>
      </c>
      <c r="AT7" s="1607"/>
      <c r="AU7" s="1607"/>
      <c r="AV7" s="1608"/>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5.6529804659012148</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5.6529804659012148</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5.6529804659012148</v>
      </c>
      <c r="AC12" s="1249">
        <f t="shared" si="21"/>
        <v>0</v>
      </c>
      <c r="AD12" s="1249">
        <f t="shared" si="22"/>
        <v>0</v>
      </c>
      <c r="AE12" s="1249">
        <f t="shared" si="23"/>
        <v>0</v>
      </c>
      <c r="AF12" s="1249">
        <f t="shared" si="24"/>
        <v>0</v>
      </c>
      <c r="AG12" s="1250">
        <f t="shared" si="25"/>
        <v>0</v>
      </c>
      <c r="AH12" s="1248">
        <f t="shared" si="26"/>
        <v>5.6529804659012148</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5.6529804659012148</v>
      </c>
      <c r="AQ12" s="1327">
        <f t="array" ref="AQ12">1/SUMPRODUCT(IFERROR(1/AH12:AM12,0),'Mkt Pen Veh-Mi'!N12:S12)</f>
        <v>5.6529804659012148</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5.7697883792198921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5.7697883792198921</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5.7697883792198921</v>
      </c>
      <c r="AC13" s="1252">
        <f t="shared" si="21"/>
        <v>0</v>
      </c>
      <c r="AD13" s="1252">
        <f t="shared" si="22"/>
        <v>0</v>
      </c>
      <c r="AE13" s="1252">
        <f t="shared" si="23"/>
        <v>0</v>
      </c>
      <c r="AF13" s="1252">
        <f t="shared" si="24"/>
        <v>0</v>
      </c>
      <c r="AG13" s="1253">
        <f t="shared" si="25"/>
        <v>0</v>
      </c>
      <c r="AH13" s="1251">
        <f t="shared" si="26"/>
        <v>5.7697883792198921</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5.7697883792198921</v>
      </c>
      <c r="AQ13" s="1327">
        <f t="array" ref="AQ13">1/SUMPRODUCT(IFERROR(1/AH13:AM13,0),'Mkt Pen Veh-Mi'!N13:S13)</f>
        <v>5.7697883792198921</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5.8156338758937807</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5.8156338758937807</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5.8156338758937807</v>
      </c>
      <c r="AC14" s="1246">
        <f t="shared" si="21"/>
        <v>0</v>
      </c>
      <c r="AD14" s="1246">
        <f t="shared" si="22"/>
        <v>0</v>
      </c>
      <c r="AE14" s="1246">
        <f t="shared" si="23"/>
        <v>0</v>
      </c>
      <c r="AF14" s="1246">
        <f t="shared" si="24"/>
        <v>0</v>
      </c>
      <c r="AG14" s="1247">
        <f t="shared" si="25"/>
        <v>0</v>
      </c>
      <c r="AH14" s="1245">
        <f t="shared" si="26"/>
        <v>5.8156338758937807</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5.8156338758937807</v>
      </c>
      <c r="AQ14" s="1327">
        <f t="array" ref="AQ14">1/SUMPRODUCT(IFERROR(1/AH14:AM14,0),'Mkt Pen Veh-Mi'!N14:S14)</f>
        <v>5.8156338758937807</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5.9244625288706905</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5.9244625288706905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5.9244625288706905</v>
      </c>
      <c r="AC15" s="1246">
        <f t="shared" si="21"/>
        <v>0</v>
      </c>
      <c r="AD15" s="1246">
        <f t="shared" si="22"/>
        <v>0</v>
      </c>
      <c r="AE15" s="1246">
        <f t="shared" si="23"/>
        <v>0</v>
      </c>
      <c r="AF15" s="1246">
        <f t="shared" si="24"/>
        <v>0</v>
      </c>
      <c r="AG15" s="1247">
        <f t="shared" si="25"/>
        <v>0</v>
      </c>
      <c r="AH15" s="1245">
        <f t="shared" si="26"/>
        <v>5.9244625288706905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5.9244625288706905</v>
      </c>
      <c r="AQ15" s="1327">
        <f t="array" ref="AQ15">1/SUMPRODUCT(IFERROR(1/AH15:AM15,0),'Mkt Pen Veh-Mi'!N15:S15)</f>
        <v>5.9244625288706905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6.0583595281689906</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6.0583595281689906</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6.0583595281689906</v>
      </c>
      <c r="AC16" s="1246">
        <f t="shared" si="21"/>
        <v>0</v>
      </c>
      <c r="AD16" s="1246">
        <f t="shared" si="22"/>
        <v>0</v>
      </c>
      <c r="AE16" s="1246">
        <f t="shared" si="23"/>
        <v>0</v>
      </c>
      <c r="AF16" s="1246">
        <f t="shared" si="24"/>
        <v>0</v>
      </c>
      <c r="AG16" s="1247">
        <f t="shared" si="25"/>
        <v>0</v>
      </c>
      <c r="AH16" s="1245">
        <f t="shared" si="26"/>
        <v>6.0583595281689906</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6.0583595281689906</v>
      </c>
      <c r="AQ16" s="1327">
        <f t="array" ref="AQ16">1/SUMPRODUCT(IFERROR(1/AH16:AM16,0),'Mkt Pen Veh-Mi'!N16:S16)</f>
        <v>6.0583595281689906</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6.1703756815216178</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6.1703756815216178</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6.1703756815216178</v>
      </c>
      <c r="AC17" s="1249">
        <f t="shared" si="21"/>
        <v>0</v>
      </c>
      <c r="AD17" s="1249">
        <f t="shared" si="22"/>
        <v>0</v>
      </c>
      <c r="AE17" s="1249">
        <f t="shared" si="23"/>
        <v>0</v>
      </c>
      <c r="AF17" s="1249">
        <f t="shared" si="24"/>
        <v>0</v>
      </c>
      <c r="AG17" s="1250">
        <f t="shared" si="25"/>
        <v>0</v>
      </c>
      <c r="AH17" s="1248">
        <f t="shared" si="26"/>
        <v>6.1703756815216178</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6.1703756815216178</v>
      </c>
      <c r="AQ17" s="1327">
        <f t="array" ref="AQ17">1/SUMPRODUCT(IFERROR(1/AH17:AM17,0),'Mkt Pen Veh-Mi'!N17:S17)</f>
        <v>6.1703756815216178</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6.2992037959414624</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6.2992037959414624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6.2992037959414624</v>
      </c>
      <c r="AC18" s="1252">
        <f t="shared" si="21"/>
        <v>0</v>
      </c>
      <c r="AD18" s="1252">
        <f t="shared" si="22"/>
        <v>0</v>
      </c>
      <c r="AE18" s="1252">
        <f t="shared" si="23"/>
        <v>0</v>
      </c>
      <c r="AF18" s="1252">
        <f t="shared" si="24"/>
        <v>0</v>
      </c>
      <c r="AG18" s="1253">
        <f t="shared" si="25"/>
        <v>0</v>
      </c>
      <c r="AH18" s="1251">
        <f t="shared" si="26"/>
        <v>6.2992037959414624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6.2992037959414624</v>
      </c>
      <c r="AQ18" s="1327">
        <f t="array" ref="AQ18">1/SUMPRODUCT(IFERROR(1/AH18:AM18,0),'Mkt Pen Veh-Mi'!N18:S18)</f>
        <v>6.2992037959414624</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6.429880170141046</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6.429880170141046</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6.429880170141046</v>
      </c>
      <c r="AC19" s="1246">
        <f t="shared" si="21"/>
        <v>0</v>
      </c>
      <c r="AD19" s="1246">
        <f t="shared" si="22"/>
        <v>0</v>
      </c>
      <c r="AE19" s="1246">
        <f t="shared" si="23"/>
        <v>0</v>
      </c>
      <c r="AF19" s="1246">
        <f t="shared" si="24"/>
        <v>0</v>
      </c>
      <c r="AG19" s="1247">
        <f t="shared" si="25"/>
        <v>0</v>
      </c>
      <c r="AH19" s="1245">
        <f t="shared" si="26"/>
        <v>6.429880170141046</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6.429880170141046</v>
      </c>
      <c r="AQ19" s="1327">
        <f t="array" ref="AQ19">1/SUMPRODUCT(IFERROR(1/AH19:AM19,0),'Mkt Pen Veh-Mi'!N19:S19)</f>
        <v>6.429880170141046</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6.3927777584473002</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6.3927777584473002</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6.3927777584473002</v>
      </c>
      <c r="AC20" s="1246">
        <f t="shared" si="21"/>
        <v>0</v>
      </c>
      <c r="AD20" s="1246">
        <f t="shared" si="22"/>
        <v>0</v>
      </c>
      <c r="AE20" s="1246">
        <f t="shared" si="23"/>
        <v>0</v>
      </c>
      <c r="AF20" s="1246">
        <f t="shared" si="24"/>
        <v>0</v>
      </c>
      <c r="AG20" s="1247">
        <f t="shared" si="25"/>
        <v>0</v>
      </c>
      <c r="AH20" s="1245">
        <f t="shared" si="26"/>
        <v>6.3927777584473002</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6.3927777584473002</v>
      </c>
      <c r="AQ20" s="1327">
        <f t="array" ref="AQ20">1/SUMPRODUCT(IFERROR(1/AH20:AM20,0),'Mkt Pen Veh-Mi'!N20:S20)</f>
        <v>6.3927777584473002</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6.433352026317448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6.433352026317448</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6.433352026317448</v>
      </c>
      <c r="AC21" s="1246">
        <f t="shared" si="21"/>
        <v>0</v>
      </c>
      <c r="AD21" s="1246">
        <f t="shared" si="22"/>
        <v>0</v>
      </c>
      <c r="AE21" s="1246">
        <f t="shared" si="23"/>
        <v>0</v>
      </c>
      <c r="AF21" s="1246">
        <f t="shared" si="24"/>
        <v>0</v>
      </c>
      <c r="AG21" s="1247">
        <f t="shared" si="25"/>
        <v>0</v>
      </c>
      <c r="AH21" s="1245">
        <f t="shared" si="26"/>
        <v>6.433352026317448</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6.433352026317448</v>
      </c>
      <c r="AQ21" s="1327">
        <f t="array" ref="AQ21">1/SUMPRODUCT(IFERROR(1/AH21:AM21,0),'Mkt Pen Veh-Mi'!N21:S21)</f>
        <v>6.433352026317448</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6.4864337636120455</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6.4864337636120455</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6.4864337636120455</v>
      </c>
      <c r="AC22" s="1249">
        <f t="shared" si="21"/>
        <v>0</v>
      </c>
      <c r="AD22" s="1249">
        <f t="shared" si="22"/>
        <v>0</v>
      </c>
      <c r="AE22" s="1249">
        <f t="shared" si="23"/>
        <v>0</v>
      </c>
      <c r="AF22" s="1249">
        <f t="shared" si="24"/>
        <v>0</v>
      </c>
      <c r="AG22" s="1250">
        <f t="shared" si="25"/>
        <v>0</v>
      </c>
      <c r="AH22" s="1248">
        <f t="shared" si="26"/>
        <v>6.4864337636120455</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6.4864337636120455</v>
      </c>
      <c r="AQ22" s="1327">
        <f t="array" ref="AQ22">1/SUMPRODUCT(IFERROR(1/AH22:AM22,0),'Mkt Pen Veh-Mi'!N22:S22)</f>
        <v>6.4864337636120455</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16" zoomScale="85" zoomScaleNormal="85" workbookViewId="0">
      <selection activeCell="J9" sqref="J9:K52"/>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09" t="s">
        <v>362</v>
      </c>
      <c r="N2" s="1610"/>
    </row>
    <row r="3" spans="1:31" x14ac:dyDescent="0.2">
      <c r="M3" s="1611"/>
      <c r="N3" s="1612"/>
      <c r="P3" s="1131" t="s">
        <v>355</v>
      </c>
    </row>
    <row r="4" spans="1:31" x14ac:dyDescent="0.2">
      <c r="M4" s="1127" t="s">
        <v>294</v>
      </c>
      <c r="N4" s="1128">
        <v>4</v>
      </c>
    </row>
    <row r="5" spans="1:31" x14ac:dyDescent="0.2">
      <c r="M5" s="1127" t="s">
        <v>295</v>
      </c>
      <c r="N5" s="1128">
        <v>0.5</v>
      </c>
      <c r="P5" s="1132" t="s">
        <v>289</v>
      </c>
      <c r="Q5" s="571" t="s">
        <v>290</v>
      </c>
      <c r="W5" s="1115"/>
    </row>
    <row r="6" spans="1:31" ht="15" thickBot="1" x14ac:dyDescent="0.25">
      <c r="J6" s="496" t="s">
        <v>447</v>
      </c>
      <c r="M6" s="1129" t="s">
        <v>296</v>
      </c>
      <c r="N6" s="1130">
        <v>1</v>
      </c>
      <c r="P6" s="1131" t="s">
        <v>329</v>
      </c>
      <c r="Q6" s="496">
        <v>2</v>
      </c>
    </row>
    <row r="7" spans="1:31" ht="1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 t="shared" ref="J9:J52" si="0">IF(J$7,VLOOKUP(Q23/Y23,$M$9:$N$109,2),1)</f>
        <v>1</v>
      </c>
      <c r="K9" s="1305">
        <f t="shared" ref="K9:K52" si="1">IF(K$7,VLOOKUP(U23/Y23,$M$9:$N$109,2),1)</f>
        <v>1</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 t="shared" si="0"/>
        <v>1</v>
      </c>
      <c r="K10" s="1307">
        <f t="shared" si="1"/>
        <v>1</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 t="shared" si="0"/>
        <v>1</v>
      </c>
      <c r="K11" s="1307">
        <f t="shared" si="1"/>
        <v>1</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 t="shared" si="0"/>
        <v>1</v>
      </c>
      <c r="K12" s="1307">
        <f t="shared" si="1"/>
        <v>1</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2011</v>
      </c>
      <c r="C13" s="1166">
        <v>1</v>
      </c>
      <c r="D13" s="1158">
        <v>1</v>
      </c>
      <c r="E13" s="1158">
        <v>1</v>
      </c>
      <c r="F13" s="1158">
        <v>1</v>
      </c>
      <c r="G13" s="1158">
        <v>1</v>
      </c>
      <c r="H13" s="1158">
        <v>1</v>
      </c>
      <c r="I13" s="1158">
        <v>1</v>
      </c>
      <c r="J13" s="1306">
        <f t="shared" si="0"/>
        <v>1</v>
      </c>
      <c r="K13" s="1307">
        <f t="shared" si="1"/>
        <v>1</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2012</v>
      </c>
      <c r="C14" s="1166">
        <v>1</v>
      </c>
      <c r="D14" s="1158">
        <v>1</v>
      </c>
      <c r="E14" s="1158">
        <v>1</v>
      </c>
      <c r="F14" s="1158">
        <v>1</v>
      </c>
      <c r="G14" s="1158">
        <v>1</v>
      </c>
      <c r="H14" s="1158">
        <v>1</v>
      </c>
      <c r="I14" s="1158">
        <v>1</v>
      </c>
      <c r="J14" s="1306">
        <f t="shared" si="0"/>
        <v>1</v>
      </c>
      <c r="K14" s="1307">
        <f t="shared" si="1"/>
        <v>1</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2013</v>
      </c>
      <c r="C15" s="1166">
        <v>1</v>
      </c>
      <c r="D15" s="1158">
        <v>1</v>
      </c>
      <c r="E15" s="1158">
        <v>1</v>
      </c>
      <c r="F15" s="1158">
        <v>1</v>
      </c>
      <c r="G15" s="1158">
        <v>1</v>
      </c>
      <c r="H15" s="1158">
        <v>1</v>
      </c>
      <c r="I15" s="1158">
        <v>1</v>
      </c>
      <c r="J15" s="1306">
        <f t="shared" si="0"/>
        <v>1</v>
      </c>
      <c r="K15" s="1307">
        <f t="shared" si="1"/>
        <v>1</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2014</v>
      </c>
      <c r="C16" s="1166">
        <v>1</v>
      </c>
      <c r="D16" s="1158">
        <v>1</v>
      </c>
      <c r="E16" s="1158">
        <v>1</v>
      </c>
      <c r="F16" s="1158">
        <v>1</v>
      </c>
      <c r="G16" s="1158">
        <v>1</v>
      </c>
      <c r="H16" s="1158">
        <v>1</v>
      </c>
      <c r="I16" s="1158">
        <v>1</v>
      </c>
      <c r="J16" s="1306">
        <f t="shared" si="0"/>
        <v>1</v>
      </c>
      <c r="K16" s="1307">
        <f t="shared" si="1"/>
        <v>1</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2015</v>
      </c>
      <c r="C17" s="1166">
        <v>1</v>
      </c>
      <c r="D17" s="1158">
        <v>1</v>
      </c>
      <c r="E17" s="1158">
        <v>1</v>
      </c>
      <c r="F17" s="1158">
        <v>1</v>
      </c>
      <c r="G17" s="1158">
        <v>1</v>
      </c>
      <c r="H17" s="1158">
        <v>1</v>
      </c>
      <c r="I17" s="1158">
        <v>1</v>
      </c>
      <c r="J17" s="1306">
        <f t="shared" si="0"/>
        <v>1</v>
      </c>
      <c r="K17" s="1307">
        <f t="shared" si="1"/>
        <v>1</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2016</v>
      </c>
      <c r="C18" s="1166">
        <v>1</v>
      </c>
      <c r="D18" s="1158">
        <v>1</v>
      </c>
      <c r="E18" s="1158">
        <v>1</v>
      </c>
      <c r="F18" s="1158">
        <v>1</v>
      </c>
      <c r="G18" s="1158">
        <v>1</v>
      </c>
      <c r="H18" s="1158">
        <v>1</v>
      </c>
      <c r="I18" s="1158">
        <v>1</v>
      </c>
      <c r="J18" s="1306">
        <f t="shared" si="0"/>
        <v>1</v>
      </c>
      <c r="K18" s="1307">
        <f t="shared" si="1"/>
        <v>1</v>
      </c>
      <c r="M18" s="1302">
        <f t="shared" si="3"/>
        <v>0.09</v>
      </c>
      <c r="N18" s="1287">
        <f t="shared" si="2"/>
        <v>1.0492091947258413E-3</v>
      </c>
      <c r="P18" s="1134">
        <v>2002</v>
      </c>
      <c r="Q18" s="1117">
        <f>873</f>
        <v>873</v>
      </c>
      <c r="R18" s="1117">
        <v>3431</v>
      </c>
      <c r="S18" s="1117"/>
      <c r="T18" s="1117">
        <v>36</v>
      </c>
      <c r="U18" s="1117">
        <v>7</v>
      </c>
      <c r="V18" s="1117">
        <v>79</v>
      </c>
      <c r="W18" s="1117">
        <v>1166</v>
      </c>
      <c r="X18" s="1117">
        <v>149</v>
      </c>
      <c r="Y18" s="1126">
        <v>170018</v>
      </c>
      <c r="AC18" s="496">
        <v>2002</v>
      </c>
      <c r="AD18" s="1301">
        <f>Table1[[#This Row],[Electricity]]/Table1[[#This Row],[Gasoline]]</f>
        <v>5.1347504381888979E-3</v>
      </c>
      <c r="AE18" s="1301">
        <f>Table1[[#This Row],[Hydrogen]]/Table1[[#This Row],[Gasoline]]</f>
        <v>4.1172111188227128E-5</v>
      </c>
    </row>
    <row r="19" spans="2:31" x14ac:dyDescent="0.2">
      <c r="B19" s="1161">
        <v>2017</v>
      </c>
      <c r="C19" s="1166">
        <v>1</v>
      </c>
      <c r="D19" s="1158">
        <v>1</v>
      </c>
      <c r="E19" s="1158">
        <v>1</v>
      </c>
      <c r="F19" s="1158">
        <v>1</v>
      </c>
      <c r="G19" s="1158">
        <v>1</v>
      </c>
      <c r="H19" s="1158">
        <v>1</v>
      </c>
      <c r="I19" s="1158">
        <v>1</v>
      </c>
      <c r="J19" s="1306">
        <f t="shared" si="0"/>
        <v>1</v>
      </c>
      <c r="K19" s="1307">
        <f t="shared" si="1"/>
        <v>1</v>
      </c>
      <c r="M19" s="1302">
        <f t="shared" si="3"/>
        <v>9.9999999999999992E-2</v>
      </c>
      <c r="N19" s="1287">
        <f t="shared" si="2"/>
        <v>1.5987206823936864E-3</v>
      </c>
      <c r="P19" s="1134">
        <v>2003</v>
      </c>
      <c r="Q19" s="1117">
        <f>830</f>
        <v>830</v>
      </c>
      <c r="R19" s="1117">
        <v>3966</v>
      </c>
      <c r="S19" s="1117"/>
      <c r="T19" s="1117">
        <v>62</v>
      </c>
      <c r="U19" s="1117">
        <v>7</v>
      </c>
      <c r="V19" s="1117">
        <v>142</v>
      </c>
      <c r="W19" s="1117">
        <v>1035</v>
      </c>
      <c r="X19" s="1117">
        <v>188</v>
      </c>
      <c r="Y19" s="1126">
        <v>167571</v>
      </c>
      <c r="AC19" s="496">
        <v>2003</v>
      </c>
      <c r="AD19" s="1301">
        <f>Table1[[#This Row],[Electricity]]/Table1[[#This Row],[Gasoline]]</f>
        <v>4.9531243472915954E-3</v>
      </c>
      <c r="AE19" s="1301">
        <f>Table1[[#This Row],[Hydrogen]]/Table1[[#This Row],[Gasoline]]</f>
        <v>4.1773337868724299E-5</v>
      </c>
    </row>
    <row r="20" spans="2:31" x14ac:dyDescent="0.2">
      <c r="B20" s="1161">
        <v>2018</v>
      </c>
      <c r="C20" s="1166">
        <v>1</v>
      </c>
      <c r="D20" s="1158">
        <v>1</v>
      </c>
      <c r="E20" s="1158">
        <v>1</v>
      </c>
      <c r="F20" s="1158">
        <v>1</v>
      </c>
      <c r="G20" s="1158">
        <v>1</v>
      </c>
      <c r="H20" s="1158">
        <v>1</v>
      </c>
      <c r="I20" s="1158">
        <v>1</v>
      </c>
      <c r="J20" s="1306">
        <f t="shared" si="0"/>
        <v>1</v>
      </c>
      <c r="K20" s="1307">
        <f t="shared" si="1"/>
        <v>1</v>
      </c>
      <c r="M20" s="1302">
        <f t="shared" si="3"/>
        <v>0.10999999999999999</v>
      </c>
      <c r="N20" s="1287">
        <f t="shared" si="2"/>
        <v>2.3398183475694901E-3</v>
      </c>
      <c r="P20" s="1134">
        <v>2004</v>
      </c>
      <c r="Q20" s="1117">
        <f>671</f>
        <v>671</v>
      </c>
      <c r="R20" s="1117">
        <v>3689</v>
      </c>
      <c r="S20" s="1118"/>
      <c r="T20" s="1117">
        <v>58</v>
      </c>
      <c r="U20" s="1117">
        <v>9</v>
      </c>
      <c r="V20" s="1117">
        <v>176</v>
      </c>
      <c r="W20" s="1117">
        <v>917</v>
      </c>
      <c r="X20" s="1117">
        <v>200</v>
      </c>
      <c r="Y20" s="1126">
        <v>167346</v>
      </c>
      <c r="AC20" s="496">
        <v>2004</v>
      </c>
      <c r="AD20" s="1301">
        <f>Table1[[#This Row],[Electricity]]/Table1[[#This Row],[Gasoline]]</f>
        <v>4.0096566395372464E-3</v>
      </c>
      <c r="AE20" s="1301">
        <f>Table1[[#This Row],[Hydrogen]]/Table1[[#This Row],[Gasoline]]</f>
        <v>5.378078950198989E-5</v>
      </c>
    </row>
    <row r="21" spans="2:31" x14ac:dyDescent="0.2">
      <c r="B21" s="1161">
        <v>2019</v>
      </c>
      <c r="C21" s="1166">
        <v>1</v>
      </c>
      <c r="D21" s="1158">
        <v>1</v>
      </c>
      <c r="E21" s="1158">
        <v>1</v>
      </c>
      <c r="F21" s="1158">
        <v>1</v>
      </c>
      <c r="G21" s="1158">
        <v>1</v>
      </c>
      <c r="H21" s="1158">
        <v>1</v>
      </c>
      <c r="I21" s="1158">
        <v>1</v>
      </c>
      <c r="J21" s="1306">
        <f t="shared" si="0"/>
        <v>1</v>
      </c>
      <c r="K21" s="1307">
        <f t="shared" si="1"/>
        <v>1</v>
      </c>
      <c r="M21" s="1302">
        <f t="shared" si="3"/>
        <v>0.11999999999999998</v>
      </c>
      <c r="N21" s="1287">
        <f t="shared" si="2"/>
        <v>3.3122623159705469E-3</v>
      </c>
      <c r="P21" s="1134">
        <v>2005</v>
      </c>
      <c r="Q21" s="1117">
        <f>588</f>
        <v>588</v>
      </c>
      <c r="R21" s="1117">
        <v>2995</v>
      </c>
      <c r="S21" s="1118"/>
      <c r="T21" s="1117">
        <v>40</v>
      </c>
      <c r="U21" s="1117">
        <v>14</v>
      </c>
      <c r="V21" s="1117">
        <v>304</v>
      </c>
      <c r="W21" s="1117">
        <v>787</v>
      </c>
      <c r="X21" s="1117">
        <v>436</v>
      </c>
      <c r="Y21" s="1126">
        <v>168987</v>
      </c>
      <c r="AC21" s="496">
        <v>2005</v>
      </c>
      <c r="AD21" s="1301">
        <f>Table1[[#This Row],[Electricity]]/Table1[[#This Row],[Gasoline]]</f>
        <v>3.4795575991052566E-3</v>
      </c>
      <c r="AE21" s="1301">
        <f>Table1[[#This Row],[Hydrogen]]/Table1[[#This Row],[Gasoline]]</f>
        <v>8.284660950250611E-5</v>
      </c>
    </row>
    <row r="22" spans="2:31" x14ac:dyDescent="0.2">
      <c r="B22" s="1161">
        <v>2020</v>
      </c>
      <c r="C22" s="1166">
        <v>1</v>
      </c>
      <c r="D22" s="1158">
        <v>1</v>
      </c>
      <c r="E22" s="1158">
        <v>1</v>
      </c>
      <c r="F22" s="1158">
        <v>1</v>
      </c>
      <c r="G22" s="1158">
        <v>1</v>
      </c>
      <c r="H22" s="1158">
        <v>1</v>
      </c>
      <c r="I22" s="1158">
        <v>1</v>
      </c>
      <c r="J22" s="1306">
        <f t="shared" si="0"/>
        <v>1</v>
      </c>
      <c r="K22" s="1307">
        <f t="shared" si="1"/>
        <v>1</v>
      </c>
      <c r="M22" s="1302">
        <f t="shared" si="3"/>
        <v>0.12999999999999998</v>
      </c>
      <c r="N22" s="1287">
        <f t="shared" si="2"/>
        <v>4.5593345334435922E-3</v>
      </c>
      <c r="P22" s="1134">
        <v>2006</v>
      </c>
      <c r="Q22" s="1117">
        <f>465</f>
        <v>465</v>
      </c>
      <c r="R22" s="1117">
        <v>2619</v>
      </c>
      <c r="S22" s="1117"/>
      <c r="T22" s="1117">
        <v>37</v>
      </c>
      <c r="U22" s="1117">
        <v>17</v>
      </c>
      <c r="V22" s="1117">
        <v>459</v>
      </c>
      <c r="W22" s="1117">
        <v>732</v>
      </c>
      <c r="X22" s="1117">
        <v>762</v>
      </c>
      <c r="Y22" s="1126">
        <v>167476</v>
      </c>
      <c r="AC22" s="496">
        <v>2006</v>
      </c>
      <c r="AD22" s="1301">
        <f>Table1[[#This Row],[Electricity]]/Table1[[#This Row],[Gasoline]]</f>
        <v>2.7765172323198548E-3</v>
      </c>
      <c r="AE22" s="1301">
        <f>Table1[[#This Row],[Hydrogen]]/Table1[[#This Row],[Gasoline]]</f>
        <v>1.0150708161169362E-4</v>
      </c>
    </row>
    <row r="23" spans="2:31" x14ac:dyDescent="0.2">
      <c r="B23" s="1161">
        <v>2021</v>
      </c>
      <c r="C23" s="1166">
        <v>1</v>
      </c>
      <c r="D23" s="1158">
        <v>1</v>
      </c>
      <c r="E23" s="1158">
        <v>1</v>
      </c>
      <c r="F23" s="1158">
        <v>1</v>
      </c>
      <c r="G23" s="1158">
        <v>1</v>
      </c>
      <c r="H23" s="1158">
        <v>1</v>
      </c>
      <c r="I23" s="1158">
        <v>1</v>
      </c>
      <c r="J23" s="1306">
        <f t="shared" si="0"/>
        <v>1</v>
      </c>
      <c r="K23" s="1307">
        <f t="shared" si="1"/>
        <v>1</v>
      </c>
      <c r="M23" s="1302">
        <f t="shared" si="3"/>
        <v>0.13999999999999999</v>
      </c>
      <c r="N23" s="1287">
        <f t="shared" si="2"/>
        <v>6.1277085437277685E-3</v>
      </c>
      <c r="P23" s="1134">
        <v>2007</v>
      </c>
      <c r="Q23" s="1119">
        <f>442</f>
        <v>442</v>
      </c>
      <c r="R23" s="1119">
        <v>2371</v>
      </c>
      <c r="S23" s="1117"/>
      <c r="T23" s="1117">
        <v>35</v>
      </c>
      <c r="U23" s="1117">
        <v>32</v>
      </c>
      <c r="V23" s="1119">
        <v>742</v>
      </c>
      <c r="W23" s="1119">
        <v>721</v>
      </c>
      <c r="X23" s="1119">
        <v>1208</v>
      </c>
      <c r="Y23" s="1126">
        <v>164292</v>
      </c>
      <c r="AC23" s="496">
        <v>2007</v>
      </c>
      <c r="AD23" s="1301">
        <f>Table1[[#This Row],[Electricity]]/Table1[[#This Row],[Gasoline]]</f>
        <v>2.6903318481727658E-3</v>
      </c>
      <c r="AE23" s="1301">
        <f>Table1[[#This Row],[Hydrogen]]/Table1[[#This Row],[Gasoline]]</f>
        <v>1.9477515642879752E-4</v>
      </c>
    </row>
    <row r="24" spans="2:31" x14ac:dyDescent="0.2">
      <c r="B24" s="1161">
        <v>2022</v>
      </c>
      <c r="C24" s="1166">
        <v>1</v>
      </c>
      <c r="D24" s="1158">
        <v>1</v>
      </c>
      <c r="E24" s="1158">
        <v>1</v>
      </c>
      <c r="F24" s="1158">
        <v>1</v>
      </c>
      <c r="G24" s="1158">
        <v>1</v>
      </c>
      <c r="H24" s="1158">
        <v>1</v>
      </c>
      <c r="I24" s="1158">
        <v>1</v>
      </c>
      <c r="J24" s="1306">
        <f t="shared" si="0"/>
        <v>1</v>
      </c>
      <c r="K24" s="1307">
        <f t="shared" si="1"/>
        <v>1</v>
      </c>
      <c r="M24" s="1302">
        <f t="shared" si="3"/>
        <v>0.15</v>
      </c>
      <c r="N24" s="1287">
        <f t="shared" si="2"/>
        <v>8.0672833944288314E-3</v>
      </c>
      <c r="P24" s="1134">
        <v>2008</v>
      </c>
      <c r="Q24" s="1119">
        <f>430</f>
        <v>430</v>
      </c>
      <c r="R24" s="1119">
        <v>2175</v>
      </c>
      <c r="S24" s="1117"/>
      <c r="T24" s="1123">
        <v>38</v>
      </c>
      <c r="U24" s="1117">
        <v>46</v>
      </c>
      <c r="V24" s="1119">
        <v>645</v>
      </c>
      <c r="W24" s="1119">
        <v>778</v>
      </c>
      <c r="X24" s="1119">
        <v>1644</v>
      </c>
      <c r="Y24" s="1126">
        <v>161078</v>
      </c>
      <c r="AC24" s="496">
        <v>2008</v>
      </c>
      <c r="AD24" s="1301">
        <f>Table1[[#This Row],[Electricity]]/Table1[[#This Row],[Gasoline]]</f>
        <v>2.6695141484249867E-3</v>
      </c>
      <c r="AE24" s="1301">
        <f>Table1[[#This Row],[Hydrogen]]/Table1[[#This Row],[Gasoline]]</f>
        <v>2.8557593215709158E-4</v>
      </c>
    </row>
    <row r="25" spans="2:31" x14ac:dyDescent="0.2">
      <c r="B25" s="1161">
        <v>2023</v>
      </c>
      <c r="C25" s="1166">
        <v>1</v>
      </c>
      <c r="D25" s="1158">
        <v>1</v>
      </c>
      <c r="E25" s="1158">
        <v>1</v>
      </c>
      <c r="F25" s="1158">
        <v>1</v>
      </c>
      <c r="G25" s="1158">
        <v>1</v>
      </c>
      <c r="H25" s="1158">
        <v>1</v>
      </c>
      <c r="I25" s="1158">
        <v>1</v>
      </c>
      <c r="J25" s="1306">
        <f t="shared" si="0"/>
        <v>1</v>
      </c>
      <c r="K25" s="1307">
        <f t="shared" si="1"/>
        <v>1</v>
      </c>
      <c r="M25" s="1302">
        <f t="shared" si="3"/>
        <v>0.16</v>
      </c>
      <c r="N25" s="1287">
        <f t="shared" si="2"/>
        <v>1.0430976069530742E-2</v>
      </c>
      <c r="P25" s="1134">
        <v>2009</v>
      </c>
      <c r="Q25" s="1119">
        <f>465</f>
        <v>465</v>
      </c>
      <c r="R25" s="1119">
        <v>2468</v>
      </c>
      <c r="S25" s="1117"/>
      <c r="T25" s="1123">
        <v>36</v>
      </c>
      <c r="U25" s="1117">
        <v>63</v>
      </c>
      <c r="V25" s="1119">
        <v>679</v>
      </c>
      <c r="W25" s="1119">
        <v>772</v>
      </c>
      <c r="X25" s="1119">
        <v>1928</v>
      </c>
      <c r="Y25" s="1126">
        <v>162350</v>
      </c>
      <c r="AC25" s="496">
        <v>2009</v>
      </c>
      <c r="AD25" s="1301">
        <f>Table1[[#This Row],[Electricity]]/Table1[[#This Row],[Gasoline]]</f>
        <v>2.864182322143517E-3</v>
      </c>
      <c r="AE25" s="1301">
        <f>Table1[[#This Row],[Hydrogen]]/Table1[[#This Row],[Gasoline]]</f>
        <v>3.8805050816137976E-4</v>
      </c>
    </row>
    <row r="26" spans="2:31" x14ac:dyDescent="0.2">
      <c r="B26" s="1161">
        <v>2024</v>
      </c>
      <c r="C26" s="1166">
        <v>1</v>
      </c>
      <c r="D26" s="1158">
        <v>1</v>
      </c>
      <c r="E26" s="1158">
        <v>1</v>
      </c>
      <c r="F26" s="1158">
        <v>1</v>
      </c>
      <c r="G26" s="1158">
        <v>1</v>
      </c>
      <c r="H26" s="1158">
        <v>1</v>
      </c>
      <c r="I26" s="1158">
        <v>1</v>
      </c>
      <c r="J26" s="1306">
        <f t="shared" si="0"/>
        <v>1</v>
      </c>
      <c r="K26" s="1307">
        <f t="shared" si="1"/>
        <v>1</v>
      </c>
      <c r="M26" s="1302">
        <f t="shared" si="3"/>
        <v>0.17</v>
      </c>
      <c r="N26" s="1287">
        <f t="shared" si="2"/>
        <v>1.3274466716304363E-2</v>
      </c>
      <c r="P26" s="1134">
        <v>2010</v>
      </c>
      <c r="Q26" s="1119">
        <f>541</f>
        <v>541</v>
      </c>
      <c r="R26" s="1119">
        <v>2647</v>
      </c>
      <c r="S26" s="1117"/>
      <c r="T26" s="1123">
        <v>39</v>
      </c>
      <c r="U26" s="1117">
        <v>58</v>
      </c>
      <c r="V26" s="1119">
        <v>644</v>
      </c>
      <c r="W26" s="1119">
        <v>841</v>
      </c>
      <c r="X26" s="1119">
        <v>2142</v>
      </c>
      <c r="Y26" s="1126">
        <v>159006</v>
      </c>
      <c r="AC26" s="496">
        <v>2010</v>
      </c>
      <c r="AD26" s="1301">
        <f>Table1[[#This Row],[Electricity]]/Table1[[#This Row],[Gasoline]]</f>
        <v>3.4023873312956743E-3</v>
      </c>
      <c r="AE26" s="1301">
        <f>Table1[[#This Row],[Hydrogen]]/Table1[[#This Row],[Gasoline]]</f>
        <v>3.6476610945498911E-4</v>
      </c>
    </row>
    <row r="27" spans="2:31" x14ac:dyDescent="0.2">
      <c r="B27" s="1161">
        <v>2025</v>
      </c>
      <c r="C27" s="1166">
        <v>1</v>
      </c>
      <c r="D27" s="1158">
        <v>1</v>
      </c>
      <c r="E27" s="1158">
        <v>1</v>
      </c>
      <c r="F27" s="1158">
        <v>1</v>
      </c>
      <c r="G27" s="1158">
        <v>1</v>
      </c>
      <c r="H27" s="1158">
        <v>1</v>
      </c>
      <c r="I27" s="1158">
        <v>1</v>
      </c>
      <c r="J27" s="1306">
        <f t="shared" si="0"/>
        <v>1</v>
      </c>
      <c r="K27" s="1307">
        <f t="shared" si="1"/>
        <v>1</v>
      </c>
      <c r="M27" s="1302">
        <f t="shared" si="3"/>
        <v>0.18000000000000002</v>
      </c>
      <c r="N27" s="1287">
        <f t="shared" si="2"/>
        <v>1.665589092984994E-2</v>
      </c>
      <c r="P27" s="1134">
        <v>2011</v>
      </c>
      <c r="Q27" s="1120">
        <f>3394/plugs_per_station</f>
        <v>1697</v>
      </c>
      <c r="R27" s="1120">
        <v>2597</v>
      </c>
      <c r="S27" s="1121"/>
      <c r="T27" s="1123">
        <v>45</v>
      </c>
      <c r="U27" s="1117">
        <v>56</v>
      </c>
      <c r="V27" s="1120">
        <v>627</v>
      </c>
      <c r="W27" s="1120">
        <v>910</v>
      </c>
      <c r="X27" s="1120">
        <v>2442</v>
      </c>
      <c r="Y27" s="1126">
        <v>157393</v>
      </c>
      <c r="AC27" s="496">
        <v>2011</v>
      </c>
      <c r="AD27" s="1301">
        <f>Table1[[#This Row],[Electricity]]/Table1[[#This Row],[Gasoline]]</f>
        <v>1.0781928040001779E-2</v>
      </c>
      <c r="AE27" s="1301">
        <f>Table1[[#This Row],[Hydrogen]]/Table1[[#This Row],[Gasoline]]</f>
        <v>3.5579727179734806E-4</v>
      </c>
    </row>
    <row r="28" spans="2:31" x14ac:dyDescent="0.2">
      <c r="B28" s="1161">
        <v>2026</v>
      </c>
      <c r="C28" s="1166">
        <v>1</v>
      </c>
      <c r="D28" s="1158">
        <v>1</v>
      </c>
      <c r="E28" s="1158">
        <v>1</v>
      </c>
      <c r="F28" s="1158">
        <v>1</v>
      </c>
      <c r="G28" s="1158">
        <v>1</v>
      </c>
      <c r="H28" s="1158">
        <v>1</v>
      </c>
      <c r="I28" s="1158">
        <v>1</v>
      </c>
      <c r="J28" s="1306">
        <f t="shared" si="0"/>
        <v>1</v>
      </c>
      <c r="K28" s="1307">
        <f t="shared" si="1"/>
        <v>1</v>
      </c>
      <c r="M28" s="1302">
        <f t="shared" si="3"/>
        <v>0.19000000000000003</v>
      </c>
      <c r="N28" s="1287">
        <f t="shared" si="2"/>
        <v>2.063547350575257E-2</v>
      </c>
      <c r="P28" s="1134">
        <v>2012</v>
      </c>
      <c r="Q28" s="1120">
        <f>13392/plugs_per_station</f>
        <v>6696</v>
      </c>
      <c r="R28" s="1120">
        <v>2654</v>
      </c>
      <c r="S28" s="1121"/>
      <c r="T28" s="1123">
        <v>59</v>
      </c>
      <c r="U28" s="1117">
        <v>58</v>
      </c>
      <c r="V28" s="1120">
        <v>675</v>
      </c>
      <c r="W28" s="1120">
        <v>1107</v>
      </c>
      <c r="X28" s="1120">
        <v>2553</v>
      </c>
      <c r="Y28" s="1126">
        <v>156065</v>
      </c>
      <c r="AC28" s="496">
        <v>2012</v>
      </c>
      <c r="AD28" s="1301">
        <f>Table1[[#This Row],[Electricity]]/Table1[[#This Row],[Gasoline]]</f>
        <v>4.2905199756511712E-2</v>
      </c>
      <c r="AE28" s="1301">
        <f>Table1[[#This Row],[Hydrogen]]/Table1[[#This Row],[Gasoline]]</f>
        <v>3.7164002178579437E-4</v>
      </c>
    </row>
    <row r="29" spans="2:31" x14ac:dyDescent="0.2">
      <c r="B29" s="1161">
        <v>2027</v>
      </c>
      <c r="C29" s="1166">
        <v>1</v>
      </c>
      <c r="D29" s="1158">
        <v>1</v>
      </c>
      <c r="E29" s="1158">
        <v>1</v>
      </c>
      <c r="F29" s="1158">
        <v>1</v>
      </c>
      <c r="G29" s="1158">
        <v>1</v>
      </c>
      <c r="H29" s="1158">
        <v>1</v>
      </c>
      <c r="I29" s="1158">
        <v>1</v>
      </c>
      <c r="J29" s="1306">
        <f t="shared" si="0"/>
        <v>1</v>
      </c>
      <c r="K29" s="1307">
        <f t="shared" si="1"/>
        <v>1</v>
      </c>
      <c r="M29" s="1302">
        <f t="shared" si="3"/>
        <v>0.20000000000000004</v>
      </c>
      <c r="N29" s="1287">
        <f t="shared" si="2"/>
        <v>2.5275098398206075E-2</v>
      </c>
      <c r="P29" s="1134">
        <v>2013</v>
      </c>
      <c r="Q29" s="1120">
        <f>19410/plugs_per_station</f>
        <v>9705</v>
      </c>
      <c r="R29" s="1120">
        <v>2956</v>
      </c>
      <c r="S29" s="1121"/>
      <c r="T29" s="1123">
        <v>81</v>
      </c>
      <c r="U29" s="1117">
        <v>53</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3.3960208887322588E-4</v>
      </c>
    </row>
    <row r="30" spans="2:31" x14ac:dyDescent="0.2">
      <c r="B30" s="1161">
        <v>2028</v>
      </c>
      <c r="C30" s="1166">
        <v>1</v>
      </c>
      <c r="D30" s="1158">
        <v>1</v>
      </c>
      <c r="E30" s="1158">
        <v>1</v>
      </c>
      <c r="F30" s="1158">
        <v>1</v>
      </c>
      <c r="G30" s="1158">
        <v>1</v>
      </c>
      <c r="H30" s="1158">
        <v>1</v>
      </c>
      <c r="I30" s="1158">
        <v>1</v>
      </c>
      <c r="J30" s="1306">
        <f t="shared" si="0"/>
        <v>1</v>
      </c>
      <c r="K30" s="1307">
        <f t="shared" si="1"/>
        <v>1</v>
      </c>
      <c r="M30" s="1302">
        <f t="shared" si="3"/>
        <v>0.21000000000000005</v>
      </c>
      <c r="N30" s="1287">
        <f t="shared" si="2"/>
        <v>3.0637810156220375E-2</v>
      </c>
      <c r="P30" s="1134">
        <v>2014</v>
      </c>
      <c r="Q30" s="1120">
        <f>25602/plugs_per_station</f>
        <v>12801</v>
      </c>
      <c r="R30" s="1120">
        <v>2931</v>
      </c>
      <c r="S30" s="1121"/>
      <c r="T30" s="1123">
        <v>103</v>
      </c>
      <c r="U30" s="1117">
        <v>51</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3.2678691570819853E-4</v>
      </c>
    </row>
    <row r="31" spans="2:31" x14ac:dyDescent="0.2">
      <c r="B31" s="1161">
        <v>2029</v>
      </c>
      <c r="C31" s="1166">
        <v>1</v>
      </c>
      <c r="D31" s="1158">
        <v>1</v>
      </c>
      <c r="E31" s="1158">
        <v>1</v>
      </c>
      <c r="F31" s="1158">
        <v>1</v>
      </c>
      <c r="G31" s="1158">
        <v>1</v>
      </c>
      <c r="H31" s="1158">
        <v>1</v>
      </c>
      <c r="I31" s="1158">
        <v>1</v>
      </c>
      <c r="J31" s="1306">
        <f t="shared" si="0"/>
        <v>1</v>
      </c>
      <c r="K31" s="1307">
        <f t="shared" si="1"/>
        <v>1</v>
      </c>
      <c r="M31" s="1302">
        <f t="shared" si="3"/>
        <v>0.22000000000000006</v>
      </c>
      <c r="N31" s="1287">
        <f t="shared" si="2"/>
        <v>3.6787242882874376E-2</v>
      </c>
      <c r="P31" s="1134">
        <v>2015</v>
      </c>
      <c r="Q31" s="1124">
        <f>30945/plugs_per_station</f>
        <v>15472.5</v>
      </c>
      <c r="R31" s="1124">
        <v>3594</v>
      </c>
      <c r="S31" s="1121"/>
      <c r="T31" s="1124">
        <v>111</v>
      </c>
      <c r="U31" s="1124">
        <v>45</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2.8834139621311631E-4</v>
      </c>
    </row>
    <row r="32" spans="2:31" x14ac:dyDescent="0.2">
      <c r="B32" s="1161">
        <v>2030</v>
      </c>
      <c r="C32" s="1166">
        <v>1</v>
      </c>
      <c r="D32" s="1158">
        <v>1</v>
      </c>
      <c r="E32" s="1158">
        <v>1</v>
      </c>
      <c r="F32" s="1158">
        <v>1</v>
      </c>
      <c r="G32" s="1158">
        <v>1</v>
      </c>
      <c r="H32" s="1158">
        <v>1</v>
      </c>
      <c r="I32" s="1158">
        <v>1</v>
      </c>
      <c r="J32" s="1306">
        <f t="shared" si="0"/>
        <v>1</v>
      </c>
      <c r="K32" s="1307">
        <f t="shared" si="1"/>
        <v>1</v>
      </c>
      <c r="M32" s="1302">
        <f t="shared" si="3"/>
        <v>0.23000000000000007</v>
      </c>
      <c r="N32" s="1287">
        <f t="shared" si="2"/>
        <v>4.3786973799347463E-2</v>
      </c>
      <c r="P32" s="1134">
        <v>2016</v>
      </c>
      <c r="Q32" s="1124">
        <f>42029/plugs_per_station</f>
        <v>21014.5</v>
      </c>
      <c r="R32" s="1124">
        <v>3665</v>
      </c>
      <c r="S32" s="1121"/>
      <c r="T32" s="1124">
        <v>140</v>
      </c>
      <c r="U32" s="1124">
        <v>54</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3.4600967545573961E-4</v>
      </c>
    </row>
    <row r="33" spans="2:32" x14ac:dyDescent="0.2">
      <c r="B33" s="1161">
        <v>2031</v>
      </c>
      <c r="C33" s="1166">
        <v>1</v>
      </c>
      <c r="D33" s="1158">
        <v>1</v>
      </c>
      <c r="E33" s="1158">
        <v>1</v>
      </c>
      <c r="F33" s="1158">
        <v>1</v>
      </c>
      <c r="G33" s="1158">
        <v>1</v>
      </c>
      <c r="H33" s="1158">
        <v>1</v>
      </c>
      <c r="I33" s="1158">
        <v>1</v>
      </c>
      <c r="J33" s="1306">
        <f t="shared" si="0"/>
        <v>1</v>
      </c>
      <c r="K33" s="1307">
        <f t="shared" si="1"/>
        <v>1</v>
      </c>
      <c r="M33" s="1302">
        <f t="shared" si="3"/>
        <v>0.24000000000000007</v>
      </c>
      <c r="N33" s="1287">
        <f t="shared" si="2"/>
        <v>5.1699799821003561E-2</v>
      </c>
      <c r="P33" s="1134">
        <v>2017</v>
      </c>
      <c r="Q33" s="1122">
        <f>50627/plugs_per_station</f>
        <v>25313.5</v>
      </c>
      <c r="R33" s="538"/>
      <c r="S33" s="538"/>
      <c r="T33" s="538"/>
      <c r="U33" s="1122">
        <v>63</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4.0367795469836286E-4</v>
      </c>
    </row>
    <row r="34" spans="2:32" x14ac:dyDescent="0.2">
      <c r="B34" s="1161">
        <v>2032</v>
      </c>
      <c r="C34" s="1166">
        <v>1</v>
      </c>
      <c r="D34" s="1158">
        <v>1</v>
      </c>
      <c r="E34" s="1158">
        <v>1</v>
      </c>
      <c r="F34" s="1158">
        <v>1</v>
      </c>
      <c r="G34" s="1158">
        <v>1</v>
      </c>
      <c r="H34" s="1158">
        <v>1</v>
      </c>
      <c r="I34" s="1158">
        <v>1</v>
      </c>
      <c r="J34" s="1306">
        <f t="shared" si="0"/>
        <v>1</v>
      </c>
      <c r="K34" s="1307">
        <f t="shared" si="1"/>
        <v>1</v>
      </c>
      <c r="M34" s="1302">
        <f t="shared" si="3"/>
        <v>0.25000000000000006</v>
      </c>
      <c r="N34" s="1287">
        <f t="shared" si="2"/>
        <v>6.0586937186524262E-2</v>
      </c>
      <c r="P34" s="1134">
        <v>2018</v>
      </c>
      <c r="Q34" s="1122">
        <f>61067/plugs_per_station</f>
        <v>30533.5</v>
      </c>
      <c r="R34" s="538"/>
      <c r="S34" s="538"/>
      <c r="T34" s="538"/>
      <c r="U34" s="1122">
        <v>41</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2.6271104988306155E-4</v>
      </c>
    </row>
    <row r="35" spans="2:32" x14ac:dyDescent="0.2">
      <c r="B35" s="1161">
        <v>2033</v>
      </c>
      <c r="C35" s="1166">
        <v>1</v>
      </c>
      <c r="D35" s="1158">
        <v>1</v>
      </c>
      <c r="E35" s="1158">
        <v>1</v>
      </c>
      <c r="F35" s="1158">
        <v>1</v>
      </c>
      <c r="G35" s="1158">
        <v>1</v>
      </c>
      <c r="H35" s="1158">
        <v>1</v>
      </c>
      <c r="I35" s="1158">
        <v>1</v>
      </c>
      <c r="J35" s="1306">
        <f t="shared" si="0"/>
        <v>1</v>
      </c>
      <c r="K35" s="1307">
        <f t="shared" si="1"/>
        <v>1</v>
      </c>
      <c r="M35" s="1302">
        <f t="shared" si="3"/>
        <v>0.26000000000000006</v>
      </c>
      <c r="N35" s="1287">
        <f t="shared" si="2"/>
        <v>7.0507146135246307E-2</v>
      </c>
      <c r="P35" s="1134">
        <v>2019</v>
      </c>
      <c r="Q35" s="1122">
        <f>$R$109+P35*$R$110</f>
        <v>32521.333333333954</v>
      </c>
      <c r="R35" s="538"/>
      <c r="S35" s="538"/>
      <c r="T35" s="538"/>
      <c r="U35" s="1122">
        <v>57</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3.652324352032807E-4</v>
      </c>
    </row>
    <row r="36" spans="2:32" x14ac:dyDescent="0.2">
      <c r="B36" s="1161">
        <v>2034</v>
      </c>
      <c r="C36" s="1166">
        <v>1</v>
      </c>
      <c r="D36" s="1158">
        <v>1</v>
      </c>
      <c r="E36" s="1158">
        <v>1</v>
      </c>
      <c r="F36" s="1158">
        <v>1</v>
      </c>
      <c r="G36" s="1158">
        <v>1</v>
      </c>
      <c r="H36" s="1158">
        <v>1</v>
      </c>
      <c r="I36" s="1158">
        <v>1</v>
      </c>
      <c r="J36" s="1306">
        <f t="shared" si="0"/>
        <v>1</v>
      </c>
      <c r="K36" s="1307">
        <f t="shared" si="1"/>
        <v>1</v>
      </c>
      <c r="M36" s="1302">
        <f t="shared" si="3"/>
        <v>0.27000000000000007</v>
      </c>
      <c r="N36" s="1287">
        <f t="shared" si="2"/>
        <v>8.1515784905052846E-2</v>
      </c>
      <c r="P36" s="1134">
        <v>2020</v>
      </c>
      <c r="Q36" s="1122">
        <f t="shared" ref="Q36:Q66" si="5">$R$109+P36*$R$110</f>
        <v>36275.06666666735</v>
      </c>
      <c r="R36" s="773"/>
      <c r="S36" s="773"/>
      <c r="T36" s="773"/>
      <c r="U36" s="1122">
        <v>75</v>
      </c>
      <c r="V36" s="773"/>
      <c r="W36" s="773"/>
      <c r="X36" s="773"/>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4.805689936885272E-4</v>
      </c>
      <c r="AF36" s="498"/>
    </row>
    <row r="37" spans="2:32" x14ac:dyDescent="0.2">
      <c r="B37" s="1161">
        <v>2035</v>
      </c>
      <c r="C37" s="1166">
        <v>1</v>
      </c>
      <c r="D37" s="1158">
        <v>1</v>
      </c>
      <c r="E37" s="1158">
        <v>1</v>
      </c>
      <c r="F37" s="1158">
        <v>1</v>
      </c>
      <c r="G37" s="1158">
        <v>1</v>
      </c>
      <c r="H37" s="1158">
        <v>1</v>
      </c>
      <c r="I37" s="1158">
        <v>1</v>
      </c>
      <c r="J37" s="1306">
        <f t="shared" si="0"/>
        <v>1</v>
      </c>
      <c r="K37" s="1307">
        <f t="shared" si="1"/>
        <v>1</v>
      </c>
      <c r="M37" s="1302">
        <f t="shared" si="3"/>
        <v>0.28000000000000008</v>
      </c>
      <c r="N37" s="1287">
        <f t="shared" si="2"/>
        <v>9.3663799913688631E-2</v>
      </c>
      <c r="P37" s="1134">
        <v>2021</v>
      </c>
      <c r="Q37" s="1122">
        <f t="shared" si="5"/>
        <v>40028.800000000745</v>
      </c>
      <c r="R37" s="538"/>
      <c r="S37" s="538"/>
      <c r="T37" s="538"/>
      <c r="U37" s="1122">
        <v>111</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7.1124211065902031E-4</v>
      </c>
    </row>
    <row r="38" spans="2:32" x14ac:dyDescent="0.2">
      <c r="B38" s="1161">
        <v>2036</v>
      </c>
      <c r="C38" s="1166">
        <v>1</v>
      </c>
      <c r="D38" s="1158">
        <v>1</v>
      </c>
      <c r="E38" s="1158">
        <v>1</v>
      </c>
      <c r="F38" s="1158">
        <v>1</v>
      </c>
      <c r="G38" s="1158">
        <v>1</v>
      </c>
      <c r="H38" s="1158">
        <v>1</v>
      </c>
      <c r="I38" s="1158">
        <v>1</v>
      </c>
      <c r="J38" s="1306">
        <f t="shared" si="0"/>
        <v>1</v>
      </c>
      <c r="K38" s="1307">
        <f t="shared" si="1"/>
        <v>1</v>
      </c>
      <c r="M38" s="1302">
        <f t="shared" si="3"/>
        <v>0.29000000000000009</v>
      </c>
      <c r="N38" s="1287">
        <f t="shared" si="2"/>
        <v>0.10699666186542625</v>
      </c>
      <c r="P38" s="1134">
        <v>2022</v>
      </c>
      <c r="Q38" s="1122">
        <f t="shared" si="5"/>
        <v>43782.53333333414</v>
      </c>
      <c r="R38" s="538"/>
      <c r="S38" s="538"/>
      <c r="T38" s="538"/>
      <c r="U38" s="1122">
        <v>161</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1.0316214397847051E-3</v>
      </c>
    </row>
    <row r="39" spans="2:32" x14ac:dyDescent="0.2">
      <c r="B39" s="1161">
        <v>2037</v>
      </c>
      <c r="C39" s="1166">
        <v>1</v>
      </c>
      <c r="D39" s="1158">
        <v>1</v>
      </c>
      <c r="E39" s="1158">
        <v>1</v>
      </c>
      <c r="F39" s="1158">
        <v>1</v>
      </c>
      <c r="G39" s="1158">
        <v>1</v>
      </c>
      <c r="H39" s="1158">
        <v>1</v>
      </c>
      <c r="I39" s="1158">
        <v>1</v>
      </c>
      <c r="J39" s="1306">
        <f t="shared" si="0"/>
        <v>1</v>
      </c>
      <c r="K39" s="1307">
        <f t="shared" si="1"/>
        <v>1</v>
      </c>
      <c r="M39" s="1302">
        <f t="shared" si="3"/>
        <v>0.3000000000000001</v>
      </c>
      <c r="N39" s="1287">
        <f t="shared" si="2"/>
        <v>0.12155326065006883</v>
      </c>
      <c r="P39" s="1134">
        <v>2023</v>
      </c>
      <c r="Q39" s="1122">
        <f t="shared" si="5"/>
        <v>47536.266666667536</v>
      </c>
      <c r="R39" s="538"/>
      <c r="S39" s="538"/>
      <c r="T39" s="538"/>
      <c r="U39" s="1122">
        <v>246</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1.5762662992983693E-3</v>
      </c>
    </row>
    <row r="40" spans="2:32" x14ac:dyDescent="0.2">
      <c r="B40" s="1161">
        <v>2038</v>
      </c>
      <c r="C40" s="1166">
        <v>1</v>
      </c>
      <c r="D40" s="1158">
        <v>1</v>
      </c>
      <c r="E40" s="1158">
        <v>1</v>
      </c>
      <c r="F40" s="1158">
        <v>1</v>
      </c>
      <c r="G40" s="1158">
        <v>1</v>
      </c>
      <c r="H40" s="1158">
        <v>1</v>
      </c>
      <c r="I40" s="1158">
        <v>1</v>
      </c>
      <c r="J40" s="1306">
        <f t="shared" si="0"/>
        <v>1</v>
      </c>
      <c r="K40" s="1307">
        <f t="shared" si="1"/>
        <v>1</v>
      </c>
      <c r="M40" s="1302">
        <f t="shared" si="3"/>
        <v>0.31000000000000011</v>
      </c>
      <c r="N40" s="1287">
        <f t="shared" si="2"/>
        <v>0.13736477520959006</v>
      </c>
      <c r="P40" s="1134">
        <v>2024</v>
      </c>
      <c r="Q40" s="1122">
        <f t="shared" si="5"/>
        <v>51290.000000000931</v>
      </c>
      <c r="R40" s="538"/>
      <c r="S40" s="538"/>
      <c r="T40" s="538"/>
      <c r="U40" s="1122">
        <v>967</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6.1961362252907441E-3</v>
      </c>
    </row>
    <row r="41" spans="2:32" x14ac:dyDescent="0.2">
      <c r="B41" s="1161">
        <v>2039</v>
      </c>
      <c r="C41" s="1166">
        <v>1</v>
      </c>
      <c r="D41" s="1158">
        <v>1</v>
      </c>
      <c r="E41" s="1158">
        <v>1</v>
      </c>
      <c r="F41" s="1158">
        <v>1</v>
      </c>
      <c r="G41" s="1158">
        <v>1</v>
      </c>
      <c r="H41" s="1158">
        <v>1</v>
      </c>
      <c r="I41" s="1158">
        <v>1</v>
      </c>
      <c r="J41" s="1306">
        <f t="shared" si="0"/>
        <v>1</v>
      </c>
      <c r="K41" s="1307">
        <f t="shared" si="1"/>
        <v>1</v>
      </c>
      <c r="M41" s="1302">
        <f t="shared" si="3"/>
        <v>0.32000000000000012</v>
      </c>
      <c r="N41" s="1287">
        <f t="shared" ref="N41:N59" si="6">WEIBULL(M41,$N$4,$N$5,$N$6)</f>
        <v>0.15445353795437128</v>
      </c>
      <c r="P41" s="1134">
        <v>2025</v>
      </c>
      <c r="Q41" s="1122">
        <f t="shared" si="5"/>
        <v>55043.733333334327</v>
      </c>
      <c r="R41" s="538"/>
      <c r="S41" s="538"/>
      <c r="T41" s="538"/>
      <c r="U41" s="1122">
        <v>1975</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1.265498350046455E-2</v>
      </c>
    </row>
    <row r="42" spans="2:32" x14ac:dyDescent="0.2">
      <c r="B42" s="1161">
        <v>2040</v>
      </c>
      <c r="C42" s="1166">
        <v>1</v>
      </c>
      <c r="D42" s="1158">
        <v>1</v>
      </c>
      <c r="E42" s="1158">
        <v>1</v>
      </c>
      <c r="F42" s="1158">
        <v>1</v>
      </c>
      <c r="G42" s="1158">
        <v>1</v>
      </c>
      <c r="H42" s="1158">
        <v>1</v>
      </c>
      <c r="I42" s="1158">
        <v>1</v>
      </c>
      <c r="J42" s="1306">
        <f t="shared" si="0"/>
        <v>1</v>
      </c>
      <c r="K42" s="1307">
        <f t="shared" si="1"/>
        <v>1</v>
      </c>
      <c r="M42" s="1302">
        <f t="shared" si="3"/>
        <v>0.33000000000000013</v>
      </c>
      <c r="N42" s="1287">
        <f t="shared" si="6"/>
        <v>0.17283191670766812</v>
      </c>
      <c r="P42" s="1134">
        <v>2026</v>
      </c>
      <c r="Q42" s="1122">
        <f t="shared" si="5"/>
        <v>58797.466666666791</v>
      </c>
      <c r="R42" s="538"/>
      <c r="S42" s="538"/>
      <c r="T42" s="538"/>
      <c r="U42" s="1122">
        <v>3242.3900000000003</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2.0775894659276584E-2</v>
      </c>
    </row>
    <row r="43" spans="2:32" x14ac:dyDescent="0.2">
      <c r="B43" s="1161">
        <v>2041</v>
      </c>
      <c r="C43" s="1166">
        <v>1</v>
      </c>
      <c r="D43" s="1158">
        <v>1</v>
      </c>
      <c r="E43" s="1158">
        <v>1</v>
      </c>
      <c r="F43" s="1158">
        <v>1</v>
      </c>
      <c r="G43" s="1158">
        <v>1</v>
      </c>
      <c r="H43" s="1158">
        <v>1</v>
      </c>
      <c r="I43" s="1158">
        <v>1</v>
      </c>
      <c r="J43" s="1306">
        <f t="shared" si="0"/>
        <v>1</v>
      </c>
      <c r="K43" s="1307">
        <f t="shared" si="1"/>
        <v>1</v>
      </c>
      <c r="M43" s="1302">
        <f t="shared" si="3"/>
        <v>0.34000000000000014</v>
      </c>
      <c r="N43" s="1287">
        <f t="shared" si="6"/>
        <v>0.19250124041164726</v>
      </c>
      <c r="P43" s="1134">
        <v>2027</v>
      </c>
      <c r="Q43" s="1122">
        <f t="shared" si="5"/>
        <v>62551.200000000186</v>
      </c>
      <c r="R43" s="538"/>
      <c r="S43" s="538"/>
      <c r="T43" s="538"/>
      <c r="U43" s="1122">
        <v>4626.9699999999993</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2.9647710889693393E-2</v>
      </c>
    </row>
    <row r="44" spans="2:32" x14ac:dyDescent="0.2">
      <c r="B44" s="1161">
        <v>2042</v>
      </c>
      <c r="C44" s="1166">
        <v>1</v>
      </c>
      <c r="D44" s="1158">
        <v>1</v>
      </c>
      <c r="E44" s="1158">
        <v>1</v>
      </c>
      <c r="F44" s="1158">
        <v>1</v>
      </c>
      <c r="G44" s="1158">
        <v>1</v>
      </c>
      <c r="H44" s="1158">
        <v>1</v>
      </c>
      <c r="I44" s="1158">
        <v>1</v>
      </c>
      <c r="J44" s="1306">
        <f t="shared" si="0"/>
        <v>1</v>
      </c>
      <c r="K44" s="1307">
        <f t="shared" si="1"/>
        <v>1</v>
      </c>
      <c r="M44" s="1302">
        <f t="shared" si="3"/>
        <v>0.35000000000000014</v>
      </c>
      <c r="N44" s="1287">
        <f t="shared" si="6"/>
        <v>0.21345079778654535</v>
      </c>
      <c r="P44" s="1134">
        <v>2028</v>
      </c>
      <c r="Q44" s="1122">
        <f t="shared" si="5"/>
        <v>66304.933333333582</v>
      </c>
      <c r="R44" s="538"/>
      <c r="S44" s="538"/>
      <c r="T44" s="538"/>
      <c r="U44" s="1122">
        <v>6873.7499999999991</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4.4044148271553514E-2</v>
      </c>
    </row>
    <row r="45" spans="2:32" x14ac:dyDescent="0.2">
      <c r="B45" s="1161">
        <v>2043</v>
      </c>
      <c r="C45" s="1166">
        <v>1</v>
      </c>
      <c r="D45" s="1158">
        <v>1</v>
      </c>
      <c r="E45" s="1158">
        <v>1</v>
      </c>
      <c r="F45" s="1158">
        <v>1</v>
      </c>
      <c r="G45" s="1158">
        <v>1</v>
      </c>
      <c r="H45" s="1158">
        <v>1</v>
      </c>
      <c r="I45" s="1158">
        <v>1</v>
      </c>
      <c r="J45" s="1306">
        <f t="shared" si="0"/>
        <v>1</v>
      </c>
      <c r="K45" s="1307">
        <f t="shared" si="1"/>
        <v>1</v>
      </c>
      <c r="M45" s="1302">
        <f t="shared" si="3"/>
        <v>0.36000000000000015</v>
      </c>
      <c r="N45" s="1287">
        <f t="shared" si="6"/>
        <v>0.23565694062183914</v>
      </c>
      <c r="P45" s="1134">
        <v>2029</v>
      </c>
      <c r="Q45" s="1122">
        <f t="shared" si="5"/>
        <v>70058.666666666977</v>
      </c>
      <c r="R45" s="538"/>
      <c r="S45" s="538"/>
      <c r="T45" s="538"/>
      <c r="U45" s="1122">
        <v>8874.9</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5.6866690161150799E-2</v>
      </c>
    </row>
    <row r="46" spans="2:32" x14ac:dyDescent="0.2">
      <c r="B46" s="1161">
        <v>2044</v>
      </c>
      <c r="C46" s="1166">
        <v>1</v>
      </c>
      <c r="D46" s="1158">
        <v>1</v>
      </c>
      <c r="E46" s="1158">
        <v>1</v>
      </c>
      <c r="F46" s="1158">
        <v>1</v>
      </c>
      <c r="G46" s="1158">
        <v>1</v>
      </c>
      <c r="H46" s="1158">
        <v>1</v>
      </c>
      <c r="I46" s="1158">
        <v>1</v>
      </c>
      <c r="J46" s="1306">
        <f t="shared" si="0"/>
        <v>1</v>
      </c>
      <c r="K46" s="1307">
        <f t="shared" si="1"/>
        <v>1</v>
      </c>
      <c r="M46" s="1302">
        <f t="shared" si="3"/>
        <v>0.37000000000000016</v>
      </c>
      <c r="N46" s="1287">
        <f t="shared" si="6"/>
        <v>0.25908232520512747</v>
      </c>
      <c r="P46" s="1134">
        <v>2030</v>
      </c>
      <c r="Q46" s="1122">
        <f t="shared" si="5"/>
        <v>73812.400000000373</v>
      </c>
      <c r="R46" s="538"/>
      <c r="S46" s="538"/>
      <c r="T46" s="538"/>
      <c r="U46" s="1122">
        <v>11075.6</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7.0967865953288703E-2</v>
      </c>
    </row>
    <row r="47" spans="2:32" x14ac:dyDescent="0.2">
      <c r="B47" s="1161">
        <v>2045</v>
      </c>
      <c r="C47" s="1166">
        <v>1</v>
      </c>
      <c r="D47" s="1158">
        <v>1</v>
      </c>
      <c r="E47" s="1158">
        <v>1</v>
      </c>
      <c r="F47" s="1158">
        <v>1</v>
      </c>
      <c r="G47" s="1158">
        <v>1</v>
      </c>
      <c r="H47" s="1158">
        <v>1</v>
      </c>
      <c r="I47" s="1158">
        <v>1</v>
      </c>
      <c r="J47" s="1306">
        <f t="shared" si="0"/>
        <v>1</v>
      </c>
      <c r="K47" s="1307">
        <f t="shared" si="1"/>
        <v>1</v>
      </c>
      <c r="M47" s="1302">
        <f t="shared" si="3"/>
        <v>0.38000000000000017</v>
      </c>
      <c r="N47" s="1287">
        <f t="shared" si="6"/>
        <v>0.28367532636244841</v>
      </c>
      <c r="P47" s="1134">
        <v>2031</v>
      </c>
      <c r="Q47" s="1122">
        <f t="shared" si="5"/>
        <v>77566.133333333768</v>
      </c>
      <c r="R47" s="538"/>
      <c r="S47" s="538"/>
      <c r="T47" s="538"/>
      <c r="U47" s="1122">
        <v>13478.789999999997</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8.6366513952519763E-2</v>
      </c>
    </row>
    <row r="48" spans="2:32" x14ac:dyDescent="0.2">
      <c r="B48" s="1161">
        <v>2046</v>
      </c>
      <c r="C48" s="1166">
        <v>1</v>
      </c>
      <c r="D48" s="1158">
        <v>1</v>
      </c>
      <c r="E48" s="1158">
        <v>1</v>
      </c>
      <c r="F48" s="1158">
        <v>1</v>
      </c>
      <c r="G48" s="1158">
        <v>1</v>
      </c>
      <c r="H48" s="1158">
        <v>1</v>
      </c>
      <c r="I48" s="1158">
        <v>1</v>
      </c>
      <c r="J48" s="1306">
        <f t="shared" si="0"/>
        <v>1</v>
      </c>
      <c r="K48" s="1307">
        <f t="shared" si="1"/>
        <v>1</v>
      </c>
      <c r="M48" s="1302">
        <f t="shared" si="3"/>
        <v>0.39000000000000018</v>
      </c>
      <c r="N48" s="1287">
        <f t="shared" si="6"/>
        <v>0.30936965849496828</v>
      </c>
      <c r="P48" s="1134">
        <v>2032</v>
      </c>
      <c r="Q48" s="1122">
        <f t="shared" si="5"/>
        <v>81319.866666667163</v>
      </c>
      <c r="R48" s="538"/>
      <c r="S48" s="538"/>
      <c r="T48" s="538"/>
      <c r="U48" s="1122">
        <v>16001.890000000003</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0.10253349565886011</v>
      </c>
    </row>
    <row r="49" spans="2:31" x14ac:dyDescent="0.2">
      <c r="B49" s="1161">
        <v>2047</v>
      </c>
      <c r="C49" s="1166">
        <v>1</v>
      </c>
      <c r="D49" s="1158">
        <v>1</v>
      </c>
      <c r="E49" s="1158">
        <v>1</v>
      </c>
      <c r="F49" s="1158">
        <v>1</v>
      </c>
      <c r="G49" s="1158">
        <v>1</v>
      </c>
      <c r="H49" s="1158">
        <v>1</v>
      </c>
      <c r="I49" s="1158">
        <v>1</v>
      </c>
      <c r="J49" s="1306">
        <f t="shared" si="0"/>
        <v>1</v>
      </c>
      <c r="K49" s="1307">
        <f t="shared" si="1"/>
        <v>1</v>
      </c>
      <c r="M49" s="1302">
        <f t="shared" si="3"/>
        <v>0.40000000000000019</v>
      </c>
      <c r="N49" s="1287">
        <f t="shared" si="6"/>
        <v>0.33608423666452697</v>
      </c>
      <c r="P49" s="1134">
        <v>2033</v>
      </c>
      <c r="Q49" s="1122">
        <f t="shared" si="5"/>
        <v>85073.600000000559</v>
      </c>
      <c r="R49" s="538"/>
      <c r="S49" s="538"/>
      <c r="T49" s="538"/>
      <c r="U49" s="1122">
        <v>18199.889999999996</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0.11661737096722517</v>
      </c>
    </row>
    <row r="50" spans="2:31" x14ac:dyDescent="0.2">
      <c r="B50" s="1161">
        <v>2048</v>
      </c>
      <c r="C50" s="1166">
        <v>1</v>
      </c>
      <c r="D50" s="1158">
        <v>1</v>
      </c>
      <c r="E50" s="1158">
        <v>1</v>
      </c>
      <c r="F50" s="1158">
        <v>1</v>
      </c>
      <c r="G50" s="1158">
        <v>1</v>
      </c>
      <c r="H50" s="1158">
        <v>1</v>
      </c>
      <c r="I50" s="1158">
        <v>1</v>
      </c>
      <c r="J50" s="1306">
        <f t="shared" si="0"/>
        <v>1</v>
      </c>
      <c r="K50" s="1307">
        <f t="shared" si="1"/>
        <v>1</v>
      </c>
      <c r="M50" s="1302">
        <f t="shared" si="3"/>
        <v>0.4100000000000002</v>
      </c>
      <c r="N50" s="1287">
        <f t="shared" si="6"/>
        <v>0.36372330804167707</v>
      </c>
      <c r="P50" s="1134">
        <v>2034</v>
      </c>
      <c r="Q50" s="1122">
        <f t="shared" si="5"/>
        <v>88827.333333333954</v>
      </c>
      <c r="R50" s="538"/>
      <c r="S50" s="538"/>
      <c r="T50" s="538"/>
      <c r="U50" s="1122">
        <v>20480.889999999996</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0.13123307596193892</v>
      </c>
    </row>
    <row r="51" spans="2:31" x14ac:dyDescent="0.2">
      <c r="B51" s="1161">
        <v>2049</v>
      </c>
      <c r="C51" s="1166">
        <v>1</v>
      </c>
      <c r="D51" s="1158">
        <v>1</v>
      </c>
      <c r="E51" s="1158">
        <v>1</v>
      </c>
      <c r="F51" s="1158">
        <v>1</v>
      </c>
      <c r="G51" s="1158">
        <v>1</v>
      </c>
      <c r="H51" s="1158">
        <v>1</v>
      </c>
      <c r="I51" s="1158">
        <v>1</v>
      </c>
      <c r="J51" s="1306">
        <f t="shared" si="0"/>
        <v>1</v>
      </c>
      <c r="K51" s="1307">
        <f t="shared" si="1"/>
        <v>1</v>
      </c>
      <c r="M51" s="1302">
        <f t="shared" si="3"/>
        <v>0.42000000000000021</v>
      </c>
      <c r="N51" s="1287">
        <f t="shared" si="6"/>
        <v>0.39217687976031146</v>
      </c>
      <c r="P51" s="1134">
        <v>2035</v>
      </c>
      <c r="Q51" s="1122">
        <f t="shared" si="5"/>
        <v>92581.06666666735</v>
      </c>
      <c r="R51" s="538"/>
      <c r="S51" s="538"/>
      <c r="T51" s="538"/>
      <c r="U51" s="1122">
        <v>22921.889999999996</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0.14687399480985483</v>
      </c>
    </row>
    <row r="52" spans="2:31" ht="15" thickBot="1" x14ac:dyDescent="0.25">
      <c r="B52" s="1162">
        <v>2050</v>
      </c>
      <c r="C52" s="1167">
        <v>1</v>
      </c>
      <c r="D52" s="1159">
        <v>1</v>
      </c>
      <c r="E52" s="1159">
        <v>1</v>
      </c>
      <c r="F52" s="1159">
        <v>1</v>
      </c>
      <c r="G52" s="1159">
        <v>1</v>
      </c>
      <c r="H52" s="1159">
        <v>1</v>
      </c>
      <c r="I52" s="1159">
        <v>1</v>
      </c>
      <c r="J52" s="1308">
        <f t="shared" si="0"/>
        <v>1</v>
      </c>
      <c r="K52" s="1309">
        <f t="shared" si="1"/>
        <v>1</v>
      </c>
      <c r="M52" s="1302">
        <f t="shared" si="3"/>
        <v>0.43000000000000022</v>
      </c>
      <c r="N52" s="1287">
        <f t="shared" si="6"/>
        <v>0.42132146335212817</v>
      </c>
      <c r="P52" s="1134">
        <v>2036</v>
      </c>
      <c r="Q52" s="1122">
        <f t="shared" si="5"/>
        <v>96334.800000000745</v>
      </c>
      <c r="R52" s="538"/>
      <c r="S52" s="538"/>
      <c r="T52" s="538"/>
      <c r="U52" s="1122">
        <v>25534.889999999996</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0.16361701854996313</v>
      </c>
    </row>
    <row r="53" spans="2:31" x14ac:dyDescent="0.2">
      <c r="M53" s="1302">
        <f t="shared" si="3"/>
        <v>0.44000000000000022</v>
      </c>
      <c r="N53" s="1287">
        <f t="shared" si="6"/>
        <v>0.45102114846019115</v>
      </c>
      <c r="P53" s="1134">
        <v>2037</v>
      </c>
      <c r="Q53" s="1122">
        <f t="shared" si="5"/>
        <v>100088.53333333414</v>
      </c>
      <c r="R53" s="538"/>
      <c r="S53" s="538"/>
      <c r="T53" s="538"/>
      <c r="U53" s="1122">
        <v>28238.889999999996</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0.18094313266908016</v>
      </c>
    </row>
    <row r="54" spans="2:31" x14ac:dyDescent="0.2">
      <c r="M54" s="1302">
        <f t="shared" si="3"/>
        <v>0.45000000000000023</v>
      </c>
      <c r="N54" s="1287">
        <f t="shared" si="6"/>
        <v>0.48112900953454829</v>
      </c>
      <c r="P54" s="1134">
        <v>2038</v>
      </c>
      <c r="Q54" s="1122">
        <f t="shared" si="5"/>
        <v>103842.26666666754</v>
      </c>
      <c r="R54" s="538"/>
      <c r="S54" s="538"/>
      <c r="T54" s="538"/>
      <c r="U54" s="1122">
        <v>31005.889999999996</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0.19867292474289555</v>
      </c>
    </row>
    <row r="55" spans="2:31" x14ac:dyDescent="0.2">
      <c r="M55" s="1302">
        <f t="shared" si="3"/>
        <v>0.46000000000000024</v>
      </c>
      <c r="N55" s="1287">
        <f t="shared" si="6"/>
        <v>0.51148883886909147</v>
      </c>
      <c r="P55" s="1134">
        <v>2039</v>
      </c>
      <c r="Q55" s="1122">
        <f t="shared" si="5"/>
        <v>107596.00000000093</v>
      </c>
      <c r="R55" s="538"/>
      <c r="S55" s="538"/>
      <c r="T55" s="538"/>
      <c r="U55" s="1122">
        <v>33834.89</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0.21679998718482682</v>
      </c>
    </row>
    <row r="56" spans="2:31" x14ac:dyDescent="0.2">
      <c r="D56" s="496" t="b">
        <v>1</v>
      </c>
      <c r="M56" s="1302">
        <f t="shared" si="3"/>
        <v>0.47000000000000025</v>
      </c>
      <c r="N56" s="1287">
        <f t="shared" si="6"/>
        <v>0.54193718792371426</v>
      </c>
      <c r="P56" s="1134">
        <v>2040</v>
      </c>
      <c r="Q56" s="1122">
        <f t="shared" si="5"/>
        <v>111349.73333333433</v>
      </c>
      <c r="R56" s="538"/>
      <c r="S56" s="538"/>
      <c r="T56" s="538"/>
      <c r="U56" s="1122">
        <v>36523.89</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0.23402998750520615</v>
      </c>
    </row>
    <row r="57" spans="2:31" x14ac:dyDescent="0.2">
      <c r="D57" s="496" t="b">
        <v>0</v>
      </c>
      <c r="M57" s="1302">
        <f t="shared" si="3"/>
        <v>0.48000000000000026</v>
      </c>
      <c r="N57" s="1287">
        <f t="shared" si="6"/>
        <v>0.57230568676862981</v>
      </c>
      <c r="P57" s="1134">
        <v>2041</v>
      </c>
      <c r="Q57" s="1122">
        <f t="shared" si="5"/>
        <v>115103.46666666679</v>
      </c>
      <c r="R57" s="1125"/>
      <c r="S57" s="1125"/>
      <c r="T57" s="1125"/>
      <c r="U57" s="1122">
        <v>39429.890000000007</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0.25265043411399102</v>
      </c>
    </row>
    <row r="58" spans="2:31" x14ac:dyDescent="0.2">
      <c r="M58" s="1302">
        <f t="shared" si="3"/>
        <v>0.49000000000000027</v>
      </c>
      <c r="N58" s="1287">
        <f t="shared" si="6"/>
        <v>0.60242359916581223</v>
      </c>
      <c r="P58" s="1134">
        <v>2042</v>
      </c>
      <c r="Q58" s="1122">
        <f t="shared" si="5"/>
        <v>118857.20000000019</v>
      </c>
      <c r="R58" s="1125"/>
      <c r="S58" s="1125"/>
      <c r="T58" s="1125"/>
      <c r="U58" s="1122">
        <v>42341.890000000007</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0.27130932624227089</v>
      </c>
    </row>
    <row r="59" spans="2:31" x14ac:dyDescent="0.2">
      <c r="M59" s="1302">
        <f t="shared" si="3"/>
        <v>0.50000000000000022</v>
      </c>
      <c r="N59" s="1287">
        <f t="shared" si="6"/>
        <v>0.63212055882855833</v>
      </c>
      <c r="P59" s="1134">
        <v>2043</v>
      </c>
      <c r="Q59" s="1122">
        <f t="shared" si="5"/>
        <v>122610.93333333358</v>
      </c>
      <c r="R59" s="1125"/>
      <c r="S59" s="1125"/>
      <c r="T59" s="1125"/>
      <c r="U59" s="1122">
        <v>45272.890000000007</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0.29008996251561853</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22">
        <v>48191.890000000007</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0.308793707749976</v>
      </c>
    </row>
    <row r="61" spans="2:31" x14ac:dyDescent="0.2">
      <c r="M61" s="1302">
        <f t="shared" si="3"/>
        <v>0.52000000000000024</v>
      </c>
      <c r="N61" s="1287">
        <f t="shared" si="7"/>
        <v>0.68958915732970893</v>
      </c>
      <c r="P61" s="1134">
        <v>2045</v>
      </c>
      <c r="Q61" s="1122">
        <f t="shared" si="5"/>
        <v>130118.40000000037</v>
      </c>
      <c r="R61" s="1125"/>
      <c r="S61" s="1125"/>
      <c r="T61" s="1125"/>
      <c r="U61" s="1122">
        <v>51068.890000000007</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0.32722833434786791</v>
      </c>
    </row>
    <row r="62" spans="2:31" x14ac:dyDescent="0.2">
      <c r="M62" s="1302">
        <f t="shared" si="3"/>
        <v>0.53000000000000025</v>
      </c>
      <c r="N62" s="1287">
        <f t="shared" si="7"/>
        <v>0.71704770374006288</v>
      </c>
      <c r="P62" s="1134">
        <v>2046</v>
      </c>
      <c r="Q62" s="1122">
        <f t="shared" si="5"/>
        <v>133872.13333333377</v>
      </c>
      <c r="R62" s="1125"/>
      <c r="S62" s="1125"/>
      <c r="T62" s="1125"/>
      <c r="U62" s="1122">
        <v>53824.890000000007</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0.34488764296927565</v>
      </c>
    </row>
    <row r="63" spans="2:31" x14ac:dyDescent="0.2">
      <c r="M63" s="1302">
        <f t="shared" si="3"/>
        <v>0.54000000000000026</v>
      </c>
      <c r="N63" s="1287">
        <f t="shared" si="7"/>
        <v>0.74346468922347331</v>
      </c>
      <c r="P63" s="1134">
        <v>2047</v>
      </c>
      <c r="Q63" s="1122">
        <f t="shared" si="5"/>
        <v>137625.86666666716</v>
      </c>
      <c r="R63" s="1125"/>
      <c r="S63" s="1125"/>
      <c r="T63" s="1125"/>
      <c r="U63" s="1122">
        <v>56484.890000000007</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0.36193182327876211</v>
      </c>
    </row>
    <row r="64" spans="2:31" x14ac:dyDescent="0.2">
      <c r="M64" s="1302">
        <f t="shared" si="3"/>
        <v>0.55000000000000027</v>
      </c>
      <c r="N64" s="1287">
        <f t="shared" si="7"/>
        <v>0.768713944715672</v>
      </c>
      <c r="P64" s="1134">
        <v>2048</v>
      </c>
      <c r="Q64" s="1122">
        <f t="shared" si="5"/>
        <v>141379.60000000056</v>
      </c>
      <c r="R64" s="1125"/>
      <c r="S64" s="1125"/>
      <c r="T64" s="1125"/>
      <c r="U64" s="1122">
        <v>59039.890000000007</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0.37830320699708458</v>
      </c>
    </row>
    <row r="65" spans="13:31" x14ac:dyDescent="0.2">
      <c r="M65" s="1302">
        <f t="shared" si="3"/>
        <v>0.56000000000000028</v>
      </c>
      <c r="N65" s="1287">
        <f t="shared" si="7"/>
        <v>0.79268571663322196</v>
      </c>
      <c r="P65" s="1134">
        <v>2049</v>
      </c>
      <c r="Q65" s="1122">
        <f t="shared" si="5"/>
        <v>145133.33333333395</v>
      </c>
      <c r="R65" s="1125"/>
      <c r="S65" s="1125"/>
      <c r="T65" s="1125"/>
      <c r="U65" s="1122">
        <v>61442.890000000007</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0.39370063755486501</v>
      </c>
    </row>
    <row r="66" spans="13:31" x14ac:dyDescent="0.2">
      <c r="M66" s="1302">
        <f t="shared" si="3"/>
        <v>0.57000000000000028</v>
      </c>
      <c r="N66" s="1287">
        <f t="shared" si="7"/>
        <v>0.81528850543313935</v>
      </c>
      <c r="P66" s="1134">
        <v>2050</v>
      </c>
      <c r="Q66" s="1122">
        <f t="shared" si="5"/>
        <v>148887.06666666735</v>
      </c>
      <c r="R66" s="1125"/>
      <c r="S66" s="1125"/>
      <c r="T66" s="1125"/>
      <c r="U66" s="1122">
        <v>63797.890000000007</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0.40879050395668476</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330</v>
      </c>
      <c r="R71"/>
      <c r="S71"/>
      <c r="T71"/>
      <c r="U71"/>
      <c r="V71"/>
      <c r="W71"/>
      <c r="X71"/>
      <c r="Y71"/>
      <c r="Z71"/>
    </row>
    <row r="72" spans="13:31" ht="1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331</v>
      </c>
      <c r="R73" s="1282"/>
      <c r="S73"/>
      <c r="T73"/>
      <c r="U73"/>
      <c r="V73"/>
      <c r="W73"/>
      <c r="X73"/>
      <c r="Y73"/>
      <c r="Z73"/>
    </row>
    <row r="74" spans="13:31" x14ac:dyDescent="0.2">
      <c r="M74" s="1302">
        <f t="shared" si="3"/>
        <v>0.65000000000000036</v>
      </c>
      <c r="N74" s="1287">
        <f t="shared" si="7"/>
        <v>0.94250745547383585</v>
      </c>
      <c r="P74"/>
      <c r="Q74" s="1281" t="s">
        <v>332</v>
      </c>
      <c r="R74" s="1281">
        <v>0.99449967320782939</v>
      </c>
      <c r="S74"/>
      <c r="T74"/>
      <c r="U74"/>
      <c r="V74"/>
      <c r="W74"/>
      <c r="X74"/>
      <c r="Y74"/>
      <c r="Z74"/>
    </row>
    <row r="75" spans="13:31" x14ac:dyDescent="0.2">
      <c r="M75" s="1302">
        <f t="shared" si="3"/>
        <v>0.66000000000000036</v>
      </c>
      <c r="N75" s="1287">
        <f t="shared" si="7"/>
        <v>0.95197135907101305</v>
      </c>
      <c r="P75"/>
      <c r="Q75" s="1281" t="s">
        <v>333</v>
      </c>
      <c r="R75" s="1281">
        <v>0.98902960001047946</v>
      </c>
      <c r="S75"/>
      <c r="T75"/>
      <c r="U75"/>
      <c r="V75"/>
      <c r="W75"/>
      <c r="X75"/>
      <c r="Y75"/>
      <c r="Z75"/>
    </row>
    <row r="76" spans="13:31" x14ac:dyDescent="0.2">
      <c r="M76" s="1302">
        <f t="shared" ref="M76:M109" si="8">M75+0.01</f>
        <v>0.67000000000000037</v>
      </c>
      <c r="N76" s="1287">
        <f t="shared" si="7"/>
        <v>0.96021157984875782</v>
      </c>
      <c r="P76"/>
      <c r="Q76" s="1281" t="s">
        <v>334</v>
      </c>
      <c r="R76" s="1281">
        <v>0.98720120001222611</v>
      </c>
      <c r="S76"/>
      <c r="T76"/>
      <c r="U76"/>
      <c r="V76"/>
      <c r="W76"/>
      <c r="X76"/>
      <c r="Y76"/>
      <c r="Z76"/>
    </row>
    <row r="77" spans="13:31" x14ac:dyDescent="0.2">
      <c r="M77" s="1302">
        <f t="shared" si="8"/>
        <v>0.68000000000000038</v>
      </c>
      <c r="N77" s="1287">
        <f t="shared" si="7"/>
        <v>0.96732091996204717</v>
      </c>
      <c r="P77"/>
      <c r="Q77" s="1281" t="s">
        <v>335</v>
      </c>
      <c r="R77" s="1281">
        <v>1099.8062500724445</v>
      </c>
      <c r="S77"/>
      <c r="T77"/>
      <c r="U77"/>
      <c r="V77"/>
      <c r="W77"/>
      <c r="X77"/>
      <c r="Y77"/>
      <c r="Z77"/>
    </row>
    <row r="78" spans="13:31" ht="15" thickBot="1" x14ac:dyDescent="0.25">
      <c r="M78" s="1302">
        <f t="shared" si="8"/>
        <v>0.69000000000000039</v>
      </c>
      <c r="N78" s="1287">
        <f t="shared" si="7"/>
        <v>0.97339721474921714</v>
      </c>
      <c r="P78"/>
      <c r="Q78" s="1279" t="s">
        <v>336</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5" thickBot="1" x14ac:dyDescent="0.25">
      <c r="M80" s="1302">
        <f t="shared" si="8"/>
        <v>0.71000000000000041</v>
      </c>
      <c r="N80" s="1287">
        <f t="shared" si="7"/>
        <v>0.9828519181996197</v>
      </c>
      <c r="P80"/>
      <c r="Q80" t="s">
        <v>337</v>
      </c>
      <c r="R80"/>
      <c r="S80"/>
      <c r="T80"/>
      <c r="U80"/>
      <c r="V80"/>
      <c r="W80"/>
      <c r="X80"/>
      <c r="Y80"/>
      <c r="Z80"/>
    </row>
    <row r="81" spans="13:26" x14ac:dyDescent="0.2">
      <c r="M81" s="1302">
        <f t="shared" si="8"/>
        <v>0.72000000000000042</v>
      </c>
      <c r="N81" s="1287">
        <f t="shared" si="7"/>
        <v>0.98642895717144563</v>
      </c>
      <c r="P81"/>
      <c r="Q81" s="1280"/>
      <c r="R81" s="1280" t="s">
        <v>341</v>
      </c>
      <c r="S81" s="1280" t="s">
        <v>342</v>
      </c>
      <c r="T81" s="1280" t="s">
        <v>343</v>
      </c>
      <c r="U81" s="1280" t="s">
        <v>344</v>
      </c>
      <c r="V81" s="1280" t="s">
        <v>345</v>
      </c>
      <c r="W81"/>
      <c r="X81"/>
      <c r="Y81"/>
      <c r="Z81"/>
    </row>
    <row r="82" spans="13:26" x14ac:dyDescent="0.2">
      <c r="M82" s="1302">
        <f t="shared" si="8"/>
        <v>0.73000000000000043</v>
      </c>
      <c r="N82" s="1287">
        <f t="shared" si="7"/>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339</v>
      </c>
      <c r="R83" s="1281">
        <v>6</v>
      </c>
      <c r="S83" s="1281">
        <v>7257442.7261904757</v>
      </c>
      <c r="T83" s="1281">
        <v>1209573.7876984125</v>
      </c>
      <c r="U83" s="1281"/>
      <c r="V83" s="1281"/>
      <c r="W83"/>
      <c r="X83"/>
      <c r="Y83"/>
      <c r="Z83"/>
    </row>
    <row r="84" spans="13:26" ht="1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8"/>
        <v>0.78000000000000047</v>
      </c>
      <c r="N87" s="1287">
        <f t="shared" si="7"/>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8"/>
        <v>0.79000000000000048</v>
      </c>
      <c r="N88" s="1287">
        <f t="shared" si="7"/>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330</v>
      </c>
      <c r="R93"/>
      <c r="S93"/>
      <c r="T93"/>
      <c r="U93"/>
      <c r="V93"/>
      <c r="W93"/>
      <c r="X93"/>
      <c r="Y93"/>
    </row>
    <row r="94" spans="13:26" ht="1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331</v>
      </c>
      <c r="R95" s="1282"/>
      <c r="S95"/>
      <c r="T95"/>
      <c r="U95"/>
      <c r="V95"/>
      <c r="W95"/>
      <c r="X95"/>
      <c r="Y95"/>
    </row>
    <row r="96" spans="13:26" x14ac:dyDescent="0.2">
      <c r="M96" s="1302">
        <f t="shared" si="8"/>
        <v>0.87000000000000055</v>
      </c>
      <c r="N96" s="1287">
        <f t="shared" si="7"/>
        <v>0.999895503999498</v>
      </c>
      <c r="Q96" s="1281" t="s">
        <v>332</v>
      </c>
      <c r="R96" s="1281">
        <v>0.99269784439834385</v>
      </c>
      <c r="S96"/>
      <c r="T96"/>
      <c r="U96"/>
      <c r="V96"/>
      <c r="W96"/>
      <c r="X96"/>
      <c r="Y96"/>
    </row>
    <row r="97" spans="13:25" x14ac:dyDescent="0.2">
      <c r="M97" s="1302">
        <f t="shared" si="8"/>
        <v>0.88000000000000056</v>
      </c>
      <c r="N97" s="1287">
        <f t="shared" si="7"/>
        <v>0.99993194033152688</v>
      </c>
      <c r="Q97" s="1281" t="s">
        <v>333</v>
      </c>
      <c r="R97" s="1281">
        <v>0.98544901027311849</v>
      </c>
      <c r="S97"/>
      <c r="T97"/>
      <c r="U97"/>
      <c r="V97"/>
      <c r="W97"/>
      <c r="X97"/>
      <c r="Y97"/>
    </row>
    <row r="98" spans="13:25" x14ac:dyDescent="0.2">
      <c r="M98" s="1302">
        <f t="shared" si="8"/>
        <v>0.89000000000000057</v>
      </c>
      <c r="N98" s="1287">
        <f t="shared" si="7"/>
        <v>0.99995632604198814</v>
      </c>
      <c r="Q98" s="1281" t="s">
        <v>334</v>
      </c>
      <c r="R98" s="1281">
        <v>0.9833702974549926</v>
      </c>
      <c r="S98"/>
      <c r="T98"/>
      <c r="U98"/>
      <c r="V98"/>
      <c r="W98"/>
      <c r="X98"/>
      <c r="Y98"/>
    </row>
    <row r="99" spans="13:25" x14ac:dyDescent="0.2">
      <c r="M99" s="1302">
        <f t="shared" si="8"/>
        <v>0.90000000000000058</v>
      </c>
      <c r="N99" s="1287">
        <f t="shared" si="7"/>
        <v>0.99997239738380339</v>
      </c>
      <c r="Q99" s="1281" t="s">
        <v>335</v>
      </c>
      <c r="R99" s="1281">
        <v>1335.4241024233945</v>
      </c>
      <c r="S99"/>
      <c r="T99"/>
      <c r="U99"/>
      <c r="V99"/>
      <c r="W99"/>
      <c r="X99"/>
      <c r="Y99"/>
    </row>
    <row r="100" spans="13:25" ht="15" thickBot="1" x14ac:dyDescent="0.25">
      <c r="M100" s="1302">
        <f t="shared" si="8"/>
        <v>0.91000000000000059</v>
      </c>
      <c r="N100" s="1287">
        <f t="shared" si="7"/>
        <v>0.99998282393580651</v>
      </c>
      <c r="Q100" s="1279" t="s">
        <v>336</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5" thickBot="1" x14ac:dyDescent="0.25">
      <c r="M102" s="1302">
        <f t="shared" si="8"/>
        <v>0.9300000000000006</v>
      </c>
      <c r="N102" s="1287">
        <f t="shared" si="7"/>
        <v>0.9999936612702216</v>
      </c>
      <c r="Q102" t="s">
        <v>337</v>
      </c>
      <c r="R102"/>
      <c r="S102"/>
      <c r="T102"/>
      <c r="U102"/>
      <c r="V102"/>
      <c r="W102"/>
      <c r="X102"/>
      <c r="Y102"/>
    </row>
    <row r="103" spans="13:25" x14ac:dyDescent="0.2">
      <c r="M103" s="1302">
        <f t="shared" si="8"/>
        <v>0.94000000000000061</v>
      </c>
      <c r="N103" s="1287">
        <f t="shared" si="7"/>
        <v>0.99999624335152093</v>
      </c>
      <c r="Q103" s="1280"/>
      <c r="R103" s="1280" t="s">
        <v>341</v>
      </c>
      <c r="S103" s="1280" t="s">
        <v>342</v>
      </c>
      <c r="T103" s="1280" t="s">
        <v>343</v>
      </c>
      <c r="U103" s="1280" t="s">
        <v>344</v>
      </c>
      <c r="V103" s="1280" t="s">
        <v>345</v>
      </c>
      <c r="W103"/>
      <c r="X103"/>
      <c r="Y103"/>
    </row>
    <row r="104" spans="13:25" x14ac:dyDescent="0.2">
      <c r="M104" s="1302">
        <f t="shared" si="8"/>
        <v>0.95000000000000062</v>
      </c>
      <c r="N104" s="1287">
        <f t="shared" si="7"/>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339</v>
      </c>
      <c r="R105" s="1281">
        <v>7</v>
      </c>
      <c r="S105" s="1281">
        <v>12483502.733333301</v>
      </c>
      <c r="T105" s="1281">
        <v>1783357.5333333288</v>
      </c>
      <c r="U105" s="1281"/>
      <c r="V105" s="1281"/>
      <c r="W105"/>
      <c r="X105"/>
      <c r="Y105"/>
    </row>
    <row r="106" spans="13:25" ht="1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8"/>
        <v>1.0000000000000007</v>
      </c>
      <c r="N109" s="1287">
        <f t="shared" si="7"/>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327</v>
      </c>
    </row>
    <row r="2" spans="1:19" s="1176" customFormat="1" ht="15" x14ac:dyDescent="0.2"/>
    <row r="3" spans="1:19" s="1176" customFormat="1" ht="16" thickBot="1" x14ac:dyDescent="0.25"/>
    <row r="4" spans="1:19"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6" thickTop="1" x14ac:dyDescent="0.2">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
      <c r="A23" s="1191">
        <v>2021</v>
      </c>
      <c r="B23" s="1270">
        <f t="shared" si="6"/>
        <v>151412</v>
      </c>
      <c r="C23" s="1271">
        <f t="shared" si="12"/>
        <v>1151412</v>
      </c>
      <c r="D23" s="1271">
        <f t="shared" si="12"/>
        <v>1151412</v>
      </c>
      <c r="E23" s="1271">
        <f t="shared" si="12"/>
        <v>1151412</v>
      </c>
      <c r="F23" s="1271">
        <f t="shared" si="12"/>
        <v>1151412</v>
      </c>
      <c r="G23" s="1272">
        <f t="shared" si="12"/>
        <v>1151412</v>
      </c>
      <c r="H23" s="1270">
        <f t="shared" si="8"/>
        <v>138005</v>
      </c>
      <c r="I23" s="1271">
        <f t="shared" si="13"/>
        <v>1151412</v>
      </c>
      <c r="J23" s="1271">
        <f t="shared" si="13"/>
        <v>1151412</v>
      </c>
      <c r="K23" s="1271">
        <f t="shared" si="13"/>
        <v>1151412</v>
      </c>
      <c r="L23" s="1271">
        <f t="shared" si="13"/>
        <v>1151412</v>
      </c>
      <c r="M23" s="1272">
        <f t="shared" si="13"/>
        <v>1151412</v>
      </c>
      <c r="N23" s="1270">
        <f t="shared" si="10"/>
        <v>81898</v>
      </c>
      <c r="O23" s="1271">
        <f t="shared" si="14"/>
        <v>1151412</v>
      </c>
      <c r="P23" s="1271">
        <f t="shared" si="14"/>
        <v>1151412</v>
      </c>
      <c r="Q23" s="1271">
        <f t="shared" si="14"/>
        <v>1151412</v>
      </c>
      <c r="R23" s="1271">
        <f t="shared" si="14"/>
        <v>1151412</v>
      </c>
      <c r="S23" s="1272">
        <f t="shared" si="14"/>
        <v>1151412</v>
      </c>
    </row>
    <row r="24" spans="1:19" s="1176" customFormat="1" ht="15" x14ac:dyDescent="0.2">
      <c r="A24" s="1191">
        <v>2022</v>
      </c>
      <c r="B24" s="1262">
        <f t="shared" si="6"/>
        <v>152694.05291325031</v>
      </c>
      <c r="C24" s="1265">
        <f t="shared" si="12"/>
        <v>1152694.0529132504</v>
      </c>
      <c r="D24" s="1265">
        <f t="shared" si="12"/>
        <v>1152694.0529132504</v>
      </c>
      <c r="E24" s="1265">
        <f t="shared" si="12"/>
        <v>1152694.0529132504</v>
      </c>
      <c r="F24" s="1265">
        <f t="shared" si="12"/>
        <v>1152694.0529132504</v>
      </c>
      <c r="G24" s="1266">
        <f t="shared" si="12"/>
        <v>1152694.0529132504</v>
      </c>
      <c r="H24" s="1262">
        <f t="shared" si="8"/>
        <v>138005</v>
      </c>
      <c r="I24" s="1265">
        <f t="shared" si="13"/>
        <v>1152694.0529132504</v>
      </c>
      <c r="J24" s="1265">
        <f t="shared" si="13"/>
        <v>1152694.0529132504</v>
      </c>
      <c r="K24" s="1265">
        <f t="shared" si="13"/>
        <v>1152694.0529132504</v>
      </c>
      <c r="L24" s="1265">
        <f t="shared" si="13"/>
        <v>1152694.0529132504</v>
      </c>
      <c r="M24" s="1266">
        <f t="shared" si="13"/>
        <v>1152694.0529132504</v>
      </c>
      <c r="N24" s="1262">
        <f t="shared" si="10"/>
        <v>82009.100849793598</v>
      </c>
      <c r="O24" s="1265">
        <f t="shared" si="14"/>
        <v>1152694.0529132504</v>
      </c>
      <c r="P24" s="1265">
        <f t="shared" si="14"/>
        <v>1152694.0529132504</v>
      </c>
      <c r="Q24" s="1265">
        <f t="shared" si="14"/>
        <v>1152694.0529132504</v>
      </c>
      <c r="R24" s="1265">
        <f t="shared" si="14"/>
        <v>1152694.0529132504</v>
      </c>
      <c r="S24" s="1266">
        <f t="shared" si="14"/>
        <v>1152694.0529132504</v>
      </c>
    </row>
    <row r="25" spans="1:19" s="1176" customFormat="1" ht="15" x14ac:dyDescent="0.2">
      <c r="A25" s="1191">
        <v>2023</v>
      </c>
      <c r="B25" s="1262">
        <f t="shared" si="6"/>
        <v>153887.62389136266</v>
      </c>
      <c r="C25" s="1265">
        <f t="shared" si="12"/>
        <v>1153887.6238913627</v>
      </c>
      <c r="D25" s="1265">
        <f t="shared" si="12"/>
        <v>1153887.6238913627</v>
      </c>
      <c r="E25" s="1265">
        <f t="shared" si="12"/>
        <v>1153887.6238913627</v>
      </c>
      <c r="F25" s="1265">
        <f t="shared" si="12"/>
        <v>1153887.6238913627</v>
      </c>
      <c r="G25" s="1266">
        <f t="shared" si="12"/>
        <v>1153887.6238913627</v>
      </c>
      <c r="H25" s="1262">
        <f t="shared" si="8"/>
        <v>138005</v>
      </c>
      <c r="I25" s="1265">
        <f t="shared" si="13"/>
        <v>1153887.6238913627</v>
      </c>
      <c r="J25" s="1265">
        <f t="shared" si="13"/>
        <v>1153887.6238913627</v>
      </c>
      <c r="K25" s="1265">
        <f t="shared" si="13"/>
        <v>1153887.6238913627</v>
      </c>
      <c r="L25" s="1265">
        <f t="shared" si="13"/>
        <v>1153887.6238913627</v>
      </c>
      <c r="M25" s="1266">
        <f t="shared" si="13"/>
        <v>1153887.6238913627</v>
      </c>
      <c r="N25" s="1262">
        <f t="shared" si="10"/>
        <v>82148.907841415799</v>
      </c>
      <c r="O25" s="1265">
        <f t="shared" si="14"/>
        <v>1153887.6238913627</v>
      </c>
      <c r="P25" s="1265">
        <f t="shared" si="14"/>
        <v>1153887.6238913627</v>
      </c>
      <c r="Q25" s="1265">
        <f t="shared" si="14"/>
        <v>1153887.6238913627</v>
      </c>
      <c r="R25" s="1265">
        <f t="shared" si="14"/>
        <v>1153887.6238913627</v>
      </c>
      <c r="S25" s="1266">
        <f t="shared" si="14"/>
        <v>1153887.6238913627</v>
      </c>
    </row>
    <row r="26" spans="1:19" s="1176" customFormat="1" ht="15" x14ac:dyDescent="0.2">
      <c r="A26" s="1191">
        <v>2024</v>
      </c>
      <c r="B26" s="1262">
        <f t="shared" si="6"/>
        <v>155468.9856745867</v>
      </c>
      <c r="C26" s="1265">
        <f t="shared" si="12"/>
        <v>1155468.9856745866</v>
      </c>
      <c r="D26" s="1265">
        <f t="shared" si="12"/>
        <v>1155468.9856745866</v>
      </c>
      <c r="E26" s="1265">
        <f t="shared" si="12"/>
        <v>1155468.9856745866</v>
      </c>
      <c r="F26" s="1265">
        <f t="shared" si="12"/>
        <v>1155468.9856745866</v>
      </c>
      <c r="G26" s="1266">
        <f t="shared" si="12"/>
        <v>1155468.9856745866</v>
      </c>
      <c r="H26" s="1262">
        <f t="shared" si="8"/>
        <v>138005</v>
      </c>
      <c r="I26" s="1265">
        <f t="shared" si="13"/>
        <v>1155468.9856745866</v>
      </c>
      <c r="J26" s="1265">
        <f t="shared" si="13"/>
        <v>1155468.9856745866</v>
      </c>
      <c r="K26" s="1265">
        <f t="shared" si="13"/>
        <v>1155468.9856745866</v>
      </c>
      <c r="L26" s="1265">
        <f t="shared" si="13"/>
        <v>1155468.9856745866</v>
      </c>
      <c r="M26" s="1266">
        <f t="shared" si="13"/>
        <v>1155468.9856745866</v>
      </c>
      <c r="N26" s="1262">
        <f t="shared" si="10"/>
        <v>82304.395976705782</v>
      </c>
      <c r="O26" s="1265">
        <f t="shared" si="14"/>
        <v>1155468.9856745866</v>
      </c>
      <c r="P26" s="1265">
        <f t="shared" si="14"/>
        <v>1155468.9856745866</v>
      </c>
      <c r="Q26" s="1265">
        <f t="shared" si="14"/>
        <v>1155468.9856745866</v>
      </c>
      <c r="R26" s="1265">
        <f t="shared" si="14"/>
        <v>1155468.9856745866</v>
      </c>
      <c r="S26" s="1266">
        <f t="shared" si="14"/>
        <v>1155468.9856745866</v>
      </c>
    </row>
    <row r="27" spans="1:19" s="1176" customFormat="1" ht="15" x14ac:dyDescent="0.2">
      <c r="A27" s="1197">
        <v>2025</v>
      </c>
      <c r="B27" s="1267">
        <f t="shared" si="6"/>
        <v>157278.03996967364</v>
      </c>
      <c r="C27" s="1268">
        <f t="shared" si="12"/>
        <v>158648.39118098008</v>
      </c>
      <c r="D27" s="1268">
        <f t="shared" si="12"/>
        <v>166605.52063647142</v>
      </c>
      <c r="E27" s="1268">
        <f t="shared" si="12"/>
        <v>705690.88578820531</v>
      </c>
      <c r="F27" s="1268">
        <f t="shared" si="12"/>
        <v>297354.40636847832</v>
      </c>
      <c r="G27" s="1269">
        <f t="shared" si="12"/>
        <v>1157278.0399696736</v>
      </c>
      <c r="H27" s="1267">
        <f t="shared" si="8"/>
        <v>138005</v>
      </c>
      <c r="I27" s="1268">
        <f t="shared" si="13"/>
        <v>164275.10160235863</v>
      </c>
      <c r="J27" s="1268">
        <f t="shared" si="13"/>
        <v>172307.23149939469</v>
      </c>
      <c r="K27" s="1268">
        <f t="shared" si="13"/>
        <v>484771.02567962359</v>
      </c>
      <c r="L27" s="1268">
        <f t="shared" si="13"/>
        <v>257134.69755041646</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240047.39265222088</v>
      </c>
      <c r="S27" s="1269">
        <f t="shared" si="14"/>
        <v>1157278.0399696736</v>
      </c>
    </row>
    <row r="28" spans="1:19" s="1176" customFormat="1" ht="15" x14ac:dyDescent="0.2">
      <c r="A28" s="1191">
        <v>2026</v>
      </c>
      <c r="B28" s="1270">
        <f t="shared" si="6"/>
        <v>159370.44685304872</v>
      </c>
      <c r="C28" s="1271">
        <f t="shared" si="12"/>
        <v>161021.31665105085</v>
      </c>
      <c r="D28" s="1271">
        <f t="shared" si="12"/>
        <v>168621.87542647062</v>
      </c>
      <c r="E28" s="1271">
        <f t="shared" si="12"/>
        <v>668429.63026362786</v>
      </c>
      <c r="F28" s="1271">
        <f t="shared" si="12"/>
        <v>285929.76712368859</v>
      </c>
      <c r="G28" s="1272">
        <f t="shared" si="12"/>
        <v>1159370.4468530486</v>
      </c>
      <c r="H28" s="1270">
        <f t="shared" si="8"/>
        <v>138005</v>
      </c>
      <c r="I28" s="1271">
        <f t="shared" si="13"/>
        <v>168189.98880409278</v>
      </c>
      <c r="J28" s="1271">
        <f t="shared" si="13"/>
        <v>175787.95960472722</v>
      </c>
      <c r="K28" s="1271">
        <f t="shared" si="13"/>
        <v>454944.64852746902</v>
      </c>
      <c r="L28" s="1271">
        <f t="shared" si="13"/>
        <v>250895.30352414944</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235000.37749375281</v>
      </c>
      <c r="S28" s="1272">
        <f t="shared" si="14"/>
        <v>1159370.4468530486</v>
      </c>
    </row>
    <row r="29" spans="1:19" s="1176" customFormat="1" ht="15" x14ac:dyDescent="0.2">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270917.97992628836</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244366.64993857368</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228518.48327190703</v>
      </c>
      <c r="S29" s="1266">
        <f t="shared" si="17"/>
        <v>1161438.6499385736</v>
      </c>
    </row>
    <row r="30" spans="1:19" s="1176" customFormat="1" ht="15" x14ac:dyDescent="0.2">
      <c r="A30" s="1191">
        <v>2028</v>
      </c>
      <c r="B30" s="1262">
        <f t="shared" si="6"/>
        <v>161925.61809378397</v>
      </c>
      <c r="C30" s="1265">
        <f t="shared" si="15"/>
        <v>164126.81723243161</v>
      </c>
      <c r="D30" s="1265">
        <f t="shared" si="15"/>
        <v>171091.59997032338</v>
      </c>
      <c r="E30" s="1265">
        <f t="shared" si="15"/>
        <v>569614.35506467451</v>
      </c>
      <c r="F30" s="1265">
        <f t="shared" si="15"/>
        <v>266570.74381802278</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241607.99562569152</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224090.26519089544</v>
      </c>
      <c r="S30" s="1266">
        <f t="shared" si="17"/>
        <v>1161925.618093784</v>
      </c>
    </row>
    <row r="31" spans="1:19" s="1176" customFormat="1" ht="15" x14ac:dyDescent="0.2">
      <c r="A31" s="1191">
        <v>2029</v>
      </c>
      <c r="B31" s="1262">
        <f t="shared" si="6"/>
        <v>162512.84826185249</v>
      </c>
      <c r="C31" s="1265">
        <f t="shared" si="15"/>
        <v>164862.49854820932</v>
      </c>
      <c r="D31" s="1265">
        <f t="shared" si="15"/>
        <v>171686.90330924993</v>
      </c>
      <c r="E31" s="1265">
        <f t="shared" si="15"/>
        <v>531060.40032099746</v>
      </c>
      <c r="F31" s="1265">
        <f t="shared" si="15"/>
        <v>263494.08323170058</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239755.14995146217</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222008.22435101157</v>
      </c>
      <c r="S31" s="1266">
        <f t="shared" si="17"/>
        <v>1162512.8482618525</v>
      </c>
    </row>
    <row r="32" spans="1:19" s="1176" customFormat="1" ht="15" x14ac:dyDescent="0.2">
      <c r="A32" s="1197">
        <v>2030</v>
      </c>
      <c r="B32" s="1267">
        <f t="shared" si="6"/>
        <v>162980.88423840102</v>
      </c>
      <c r="C32" s="1268">
        <f t="shared" si="15"/>
        <v>165499.65477619151</v>
      </c>
      <c r="D32" s="1268">
        <f t="shared" si="15"/>
        <v>172164.13649785405</v>
      </c>
      <c r="E32" s="1268">
        <f t="shared" si="15"/>
        <v>486937.55818151467</v>
      </c>
      <c r="F32" s="1268">
        <f t="shared" si="15"/>
        <v>259788.09876334266</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237183.6235849947</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220133.2154153258</v>
      </c>
      <c r="S32" s="1269">
        <f t="shared" si="17"/>
        <v>1162980.884238401</v>
      </c>
    </row>
    <row r="33" spans="1:19" s="1176" customFormat="1" ht="15" x14ac:dyDescent="0.2">
      <c r="A33" s="1191">
        <v>2031</v>
      </c>
      <c r="B33" s="1270">
        <f t="shared" si="6"/>
        <v>163384.93715879397</v>
      </c>
      <c r="C33" s="1271">
        <f t="shared" si="15"/>
        <v>166043.05272250841</v>
      </c>
      <c r="D33" s="1271">
        <f t="shared" si="15"/>
        <v>172575.76737382272</v>
      </c>
      <c r="E33" s="1271">
        <f t="shared" si="15"/>
        <v>450601.38032305805</v>
      </c>
      <c r="F33" s="1271">
        <f t="shared" si="15"/>
        <v>256753.00715685604</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234714.57270478044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218997.71003381151</v>
      </c>
      <c r="S33" s="1272">
        <f t="shared" si="17"/>
        <v>1163384.9371587939</v>
      </c>
    </row>
    <row r="34" spans="1:19" s="1176" customFormat="1" ht="15" x14ac:dyDescent="0.2">
      <c r="A34" s="1191">
        <v>2032</v>
      </c>
      <c r="B34" s="1262">
        <f t="shared" si="6"/>
        <v>163647.29087656995</v>
      </c>
      <c r="C34" s="1265">
        <f t="shared" si="15"/>
        <v>166392.69662617228</v>
      </c>
      <c r="D34" s="1265">
        <f t="shared" si="15"/>
        <v>172842.86816560774</v>
      </c>
      <c r="E34" s="1265">
        <f t="shared" si="15"/>
        <v>427848.47710585804</v>
      </c>
      <c r="F34" s="1265">
        <f t="shared" si="15"/>
        <v>254860.97062599447</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232888.59827695094</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218431.35938000941</v>
      </c>
      <c r="S34" s="1266">
        <f t="shared" si="17"/>
        <v>1163647.2908765699</v>
      </c>
    </row>
    <row r="35" spans="1:19" s="1176" customFormat="1" ht="15" x14ac:dyDescent="0.2">
      <c r="A35" s="1191">
        <v>2033</v>
      </c>
      <c r="B35" s="1262">
        <f t="shared" si="6"/>
        <v>163724.32308695698</v>
      </c>
      <c r="C35" s="1265">
        <f t="shared" si="15"/>
        <v>166515.39145009188</v>
      </c>
      <c r="D35" s="1265">
        <f t="shared" si="15"/>
        <v>172922.38363117038</v>
      </c>
      <c r="E35" s="1265">
        <f t="shared" si="15"/>
        <v>415885.93382348685</v>
      </c>
      <c r="F35" s="1265">
        <f t="shared" si="15"/>
        <v>253811.01372161225</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231719.78888204353</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218109.68815895799</v>
      </c>
      <c r="S35" s="1266">
        <f t="shared" si="17"/>
        <v>1163724.323086957</v>
      </c>
    </row>
    <row r="36" spans="1:19" s="1176" customFormat="1" ht="15" x14ac:dyDescent="0.2">
      <c r="A36" s="1191">
        <v>2034</v>
      </c>
      <c r="B36" s="1262">
        <f t="shared" si="6"/>
        <v>163799.77124309973</v>
      </c>
      <c r="C36" s="1265">
        <f t="shared" si="15"/>
        <v>166612.48945806338</v>
      </c>
      <c r="D36" s="1265">
        <f t="shared" si="15"/>
        <v>172999.00916421833</v>
      </c>
      <c r="E36" s="1265">
        <f t="shared" si="15"/>
        <v>410253.10106150911</v>
      </c>
      <c r="F36" s="1265">
        <f t="shared" si="15"/>
        <v>253352.12655483308</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231137.66914810694</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218003.68479141814</v>
      </c>
      <c r="S36" s="1266">
        <f t="shared" si="17"/>
        <v>1163799.7712430998</v>
      </c>
    </row>
    <row r="37" spans="1:19" s="1176" customFormat="1" ht="15" x14ac:dyDescent="0.2">
      <c r="A37" s="1197">
        <v>2035</v>
      </c>
      <c r="B37" s="1267">
        <f t="shared" si="6"/>
        <v>163848.29249390995</v>
      </c>
      <c r="C37" s="1268">
        <f t="shared" si="15"/>
        <v>166678.48046726114</v>
      </c>
      <c r="D37" s="1268">
        <f t="shared" si="15"/>
        <v>173048.48046726114</v>
      </c>
      <c r="E37" s="1268">
        <f t="shared" si="15"/>
        <v>405695.48046726116</v>
      </c>
      <c r="F37" s="1268">
        <f t="shared" si="15"/>
        <v>252969.48046726114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230569.9591605766</v>
      </c>
      <c r="M37" s="1269">
        <f t="shared" si="16"/>
        <v>1163848.2924939101</v>
      </c>
      <c r="N37" s="1267">
        <f t="shared" si="10"/>
        <v>84301.125</v>
      </c>
      <c r="O37" s="1268">
        <f t="shared" si="17"/>
        <v>165995.16749390995</v>
      </c>
      <c r="P37" s="1268">
        <f t="shared" si="17"/>
        <v>169968.16749390995</v>
      </c>
      <c r="Q37" s="1268">
        <f t="shared" si="17"/>
        <v>264470.16749390995</v>
      </c>
      <c r="R37" s="1268">
        <f t="shared" si="17"/>
        <v>217909.16749390995</v>
      </c>
      <c r="S37" s="1269">
        <f t="shared" si="17"/>
        <v>1163848.2924939101</v>
      </c>
    </row>
    <row r="38" spans="1:19" s="1176" customFormat="1" ht="15" x14ac:dyDescent="0.2">
      <c r="A38" s="1191">
        <v>2036</v>
      </c>
      <c r="B38" s="1270">
        <f t="shared" si="6"/>
        <v>163848.29249390995</v>
      </c>
      <c r="C38" s="1271">
        <f t="shared" si="15"/>
        <v>166868.56387563623</v>
      </c>
      <c r="D38" s="1271">
        <f t="shared" si="15"/>
        <v>173154.76501354866</v>
      </c>
      <c r="E38" s="1271">
        <f t="shared" si="15"/>
        <v>398331.42306870606</v>
      </c>
      <c r="F38" s="1271">
        <f t="shared" si="15"/>
        <v>250616.3337333313</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216883.63449173045</v>
      </c>
      <c r="S38" s="1272">
        <f t="shared" si="17"/>
        <v>1163848.2924939101</v>
      </c>
    </row>
    <row r="39" spans="1:19" s="1176" customFormat="1" ht="15" x14ac:dyDescent="0.2">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249181.52184895467</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216246.34975652173</v>
      </c>
      <c r="S39" s="1266">
        <f t="shared" si="20"/>
        <v>1163848.2924939101</v>
      </c>
    </row>
    <row r="40" spans="1:19" s="1176" customFormat="1" ht="15" x14ac:dyDescent="0.2">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215240.50749035634</v>
      </c>
      <c r="S40" s="1266">
        <f t="shared" si="20"/>
        <v>1163848.2924939101</v>
      </c>
    </row>
    <row r="41" spans="1:19" s="1176" customFormat="1" ht="15" x14ac:dyDescent="0.2">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213693.99549933244</v>
      </c>
      <c r="S41" s="1266">
        <f t="shared" si="20"/>
        <v>1163848.2924939101</v>
      </c>
    </row>
    <row r="42" spans="1:19" s="1176" customFormat="1" ht="15" x14ac:dyDescent="0.2">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211409.38938411896</v>
      </c>
      <c r="S42" s="1278">
        <f t="shared" si="20"/>
        <v>1163848.2924939101</v>
      </c>
    </row>
    <row r="43" spans="1:19" s="1176" customFormat="1" ht="15" x14ac:dyDescent="0.2">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208226.25688819628</v>
      </c>
      <c r="S43" s="1272">
        <f t="shared" si="20"/>
        <v>1163848.2924939101</v>
      </c>
    </row>
    <row r="44" spans="1:19" s="1176" customFormat="1" ht="15" x14ac:dyDescent="0.2">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204134.7647452107</v>
      </c>
      <c r="S44" s="1266">
        <f t="shared" si="20"/>
        <v>1163848.2924939101</v>
      </c>
    </row>
    <row r="45" spans="1:19" s="1176" customFormat="1" ht="15" x14ac:dyDescent="0.2">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199388.01162067536</v>
      </c>
      <c r="S45" s="1266">
        <f t="shared" si="20"/>
        <v>1163848.2924939101</v>
      </c>
    </row>
    <row r="46" spans="1:19" s="1176" customFormat="1" ht="15" x14ac:dyDescent="0.2">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194493.87321294961</v>
      </c>
      <c r="S46" s="1266">
        <f t="shared" si="20"/>
        <v>1163848.2924939101</v>
      </c>
    </row>
    <row r="47" spans="1:19" s="1176" customFormat="1" ht="15" x14ac:dyDescent="0.2">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190024.74794473988</v>
      </c>
      <c r="S47" s="1269">
        <f t="shared" si="20"/>
        <v>1163848.2924939101</v>
      </c>
    </row>
    <row r="48" spans="1:19" s="1176" customFormat="1" ht="15" x14ac:dyDescent="0.2">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186374.10495893139</v>
      </c>
      <c r="S48" s="1272">
        <f t="shared" si="20"/>
        <v>1163848.2924939101</v>
      </c>
    </row>
    <row r="49" spans="1:19" s="1176" customFormat="1" ht="15" x14ac:dyDescent="0.2">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183653.99355723587</v>
      </c>
      <c r="S49" s="1266">
        <f t="shared" si="20"/>
        <v>1163848.2924939101</v>
      </c>
    </row>
    <row r="50" spans="1:19" s="1176" customFormat="1" ht="15" x14ac:dyDescent="0.2">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181762.91747618921</v>
      </c>
      <c r="S50" s="1266">
        <f t="shared" si="20"/>
        <v>1163848.2924939101</v>
      </c>
    </row>
    <row r="51" spans="1:19" s="1176" customFormat="1" ht="15" x14ac:dyDescent="0.2">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180510.6712738901</v>
      </c>
      <c r="S51" s="1266">
        <f t="shared" si="20"/>
        <v>1163848.2924939101</v>
      </c>
    </row>
    <row r="52" spans="1:19" s="1176" customFormat="1" ht="16" thickBot="1" x14ac:dyDescent="0.25">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178400.79249390995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14" t="s">
        <v>10</v>
      </c>
      <c r="C5" s="1613"/>
      <c r="D5" s="1613"/>
      <c r="E5" s="1615"/>
      <c r="F5" s="1614" t="s">
        <v>11</v>
      </c>
      <c r="G5" s="1613"/>
      <c r="H5" s="1613"/>
      <c r="I5" s="1615"/>
      <c r="J5" s="74"/>
      <c r="K5" s="72"/>
      <c r="L5" s="1614" t="s">
        <v>10</v>
      </c>
      <c r="M5" s="1613"/>
      <c r="N5" s="1613"/>
      <c r="O5" s="1615"/>
      <c r="P5" s="1614" t="s">
        <v>11</v>
      </c>
      <c r="Q5" s="1613"/>
      <c r="R5" s="1613"/>
      <c r="S5" s="1615"/>
      <c r="T5" s="74">
        <v>1</v>
      </c>
      <c r="U5" s="72"/>
      <c r="V5" s="1613" t="s">
        <v>10</v>
      </c>
      <c r="W5" s="1613"/>
      <c r="X5" s="1613"/>
      <c r="Y5" s="1613"/>
      <c r="Z5" s="1614" t="s">
        <v>11</v>
      </c>
      <c r="AA5" s="1613"/>
      <c r="AB5" s="1615"/>
      <c r="AC5" s="73"/>
    </row>
    <row r="6" spans="1:30" s="1299" customFormat="1" ht="45" customHeight="1" thickBot="1" x14ac:dyDescent="0.2">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6" x14ac:dyDescent="0.2">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16"/>
      <c r="L139" s="1617"/>
      <c r="M139" s="1620" t="s">
        <v>41</v>
      </c>
      <c r="N139" s="1621"/>
      <c r="O139" s="1621"/>
      <c r="P139" s="1621"/>
      <c r="Q139" s="1621"/>
      <c r="R139" s="1621"/>
      <c r="S139" s="1621"/>
      <c r="T139" s="1622"/>
    </row>
    <row r="140" spans="1:30" s="171" customFormat="1" ht="54" customHeight="1" thickBot="1" x14ac:dyDescent="0.35">
      <c r="B140" s="1623" t="s">
        <v>42</v>
      </c>
      <c r="C140" s="1624"/>
      <c r="D140" s="173" t="s">
        <v>10</v>
      </c>
      <c r="E140" s="174" t="s">
        <v>43</v>
      </c>
      <c r="F140" s="174" t="s">
        <v>44</v>
      </c>
      <c r="G140" s="174" t="s">
        <v>45</v>
      </c>
      <c r="H140" s="175" t="s">
        <v>46</v>
      </c>
      <c r="I140" s="176"/>
      <c r="J140" s="51"/>
      <c r="K140" s="1618"/>
      <c r="L140" s="1619"/>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25"/>
      <c r="L141" s="1626"/>
      <c r="M141" s="1627">
        <v>2007</v>
      </c>
      <c r="N141" s="1628"/>
      <c r="O141" s="1627">
        <v>2010</v>
      </c>
      <c r="P141" s="1628"/>
      <c r="Q141" s="1627">
        <v>2015</v>
      </c>
      <c r="R141" s="1628"/>
      <c r="S141" s="1627">
        <v>2020</v>
      </c>
      <c r="T141" s="1628"/>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31" t="s">
        <v>163</v>
      </c>
      <c r="L142" s="1632"/>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29" t="s">
        <v>163</v>
      </c>
      <c r="C143" s="1630"/>
      <c r="D143" s="192">
        <f>+D142+D141</f>
        <v>137873.22849999985</v>
      </c>
      <c r="E143" s="193">
        <f>+D143/$D$153</f>
        <v>0.47625518546831802</v>
      </c>
      <c r="F143" s="192">
        <f>+F141+F142</f>
        <v>15757585.297999991</v>
      </c>
      <c r="G143" s="194">
        <f>IF(F143=0,0,+F143/D143)</f>
        <v>114.29039175651137</v>
      </c>
      <c r="H143" s="195">
        <f>F143/F153</f>
        <v>0.66842924773992651</v>
      </c>
      <c r="I143" s="196"/>
      <c r="J143" s="48"/>
      <c r="K143" s="1631" t="s">
        <v>166</v>
      </c>
      <c r="L143" s="1632"/>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33" t="s">
        <v>169</v>
      </c>
      <c r="L144" s="1634"/>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35" t="s">
        <v>49</v>
      </c>
      <c r="L145" s="1636"/>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38"/>
      <c r="L146" s="1639"/>
      <c r="M146" s="1627">
        <v>2025</v>
      </c>
      <c r="N146" s="1637"/>
      <c r="O146" s="1627">
        <v>2030</v>
      </c>
      <c r="P146" s="1628"/>
      <c r="Q146" s="1627">
        <v>2035</v>
      </c>
      <c r="R146" s="1628"/>
      <c r="S146" s="1627">
        <v>2040</v>
      </c>
      <c r="T146" s="1628"/>
    </row>
    <row r="147" spans="2:30" s="115" customFormat="1" ht="18" thickTop="1" thickBot="1" x14ac:dyDescent="0.25">
      <c r="B147" s="1629" t="s">
        <v>166</v>
      </c>
      <c r="C147" s="1630"/>
      <c r="D147" s="192">
        <f>+D146+D145</f>
        <v>74071.53689999989</v>
      </c>
      <c r="E147" s="193">
        <f>+D147/$D$153</f>
        <v>0.25586514458267617</v>
      </c>
      <c r="F147" s="192">
        <f>+F146+F145</f>
        <v>5702382.5209999923</v>
      </c>
      <c r="G147" s="194">
        <f>IF(F147=0,0,+F147/D147)</f>
        <v>76.984800905352898</v>
      </c>
      <c r="H147" s="195">
        <f>F147/F153</f>
        <v>0.24189234497249509</v>
      </c>
      <c r="I147" s="196"/>
      <c r="J147" s="48"/>
      <c r="K147" s="1631" t="s">
        <v>163</v>
      </c>
      <c r="L147" s="1632"/>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31" t="s">
        <v>166</v>
      </c>
      <c r="L148" s="1632"/>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33" t="s">
        <v>169</v>
      </c>
      <c r="L149" s="1634"/>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35" t="s">
        <v>49</v>
      </c>
      <c r="L150" s="1636"/>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29" t="s">
        <v>169</v>
      </c>
      <c r="C151" s="1630"/>
      <c r="D151" s="192">
        <f>+D150+D149</f>
        <v>77549.675199999983</v>
      </c>
      <c r="E151" s="193">
        <f>+D151/$D$153</f>
        <v>0.26787966994900575</v>
      </c>
      <c r="F151" s="192">
        <f>+F149+F150</f>
        <v>2114083.3633489003</v>
      </c>
      <c r="G151" s="194">
        <f>IF(F151=0,0,+F151/D151)</f>
        <v>27.261021505205488</v>
      </c>
      <c r="H151" s="195">
        <f>F151/F153</f>
        <v>8.967840728757831E-2</v>
      </c>
      <c r="I151" s="196"/>
      <c r="J151" s="48"/>
      <c r="K151" s="1638"/>
      <c r="L151" s="1639"/>
      <c r="M151" s="1627">
        <v>2045</v>
      </c>
      <c r="N151" s="1637"/>
      <c r="O151" s="1627">
        <v>2050</v>
      </c>
      <c r="P151" s="1637"/>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31" t="s">
        <v>163</v>
      </c>
      <c r="L152" s="1632"/>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40" t="s">
        <v>49</v>
      </c>
      <c r="C153" s="1641"/>
      <c r="D153" s="209">
        <f>D143+D147+D151</f>
        <v>289494.44059999974</v>
      </c>
      <c r="E153" s="210">
        <f>+D153/$D$153</f>
        <v>1</v>
      </c>
      <c r="F153" s="209">
        <f>F143+F147+F151</f>
        <v>23574051.182348885</v>
      </c>
      <c r="G153" s="211">
        <f>IF(F153=0,0,+F153/D153)</f>
        <v>81.431792380847909</v>
      </c>
      <c r="H153" s="212">
        <f>SUM(H143:H152)</f>
        <v>1</v>
      </c>
      <c r="I153" s="213"/>
      <c r="J153" s="48"/>
      <c r="K153" s="1631" t="s">
        <v>166</v>
      </c>
      <c r="L153" s="1632"/>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33" t="s">
        <v>169</v>
      </c>
      <c r="L154" s="1634"/>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35" t="s">
        <v>49</v>
      </c>
      <c r="L155" s="1636"/>
      <c r="M155" s="206" t="e">
        <f>SUM(M152:M154)</f>
        <v>#REF!</v>
      </c>
      <c r="N155" s="207" t="e">
        <f>M155/M$155</f>
        <v>#REF!</v>
      </c>
      <c r="O155" s="206" t="e">
        <f>SUM(O152:O154)</f>
        <v>#REF!</v>
      </c>
      <c r="P155" s="207"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361</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392</v>
      </c>
      <c r="D3" s="22" t="s">
        <v>393</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62365A-279E-4A43-A7C9-024690DBC5C1}">
  <ds:schemaRefs>
    <ds:schemaRef ds:uri="http://schemas.microsoft.com/office/2006/documentManagement/types"/>
    <ds:schemaRef ds:uri="http://purl.org/dc/terms/"/>
    <ds:schemaRef ds:uri="http://schemas.microsoft.com/office/infopath/2007/PartnerControls"/>
    <ds:schemaRef ds:uri="http://purl.org/dc/dcmitype/"/>
    <ds:schemaRef ds:uri="http://purl.org/dc/elements/1.1/"/>
    <ds:schemaRef ds:uri="http://schemas.microsoft.com/office/2006/metadata/properties"/>
    <ds:schemaRef ds:uri="http://schemas.openxmlformats.org/package/2006/metadata/core-properties"/>
    <ds:schemaRef ds:uri="065de1db-e31c-4292-be75-d6c27d0859e3"/>
    <ds:schemaRef ds:uri="http://www.w3.org/XML/1998/namespace"/>
  </ds:schemaRefs>
</ds:datastoreItem>
</file>

<file path=customXml/itemProps2.xml><?xml version="1.0" encoding="utf-8"?>
<ds:datastoreItem xmlns:ds="http://schemas.openxmlformats.org/officeDocument/2006/customXml" ds:itemID="{73C34440-8B68-467C-809C-D8AD8560F3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D47DDDF-63E3-4EA5-87AD-D2591CB9FF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2020-08-28T21:37:06Z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