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0.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2.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drawings/drawing13.xml" ContentType="application/vnd.openxmlformats-officedocument.drawing+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charts/chart33.xml" ContentType="application/vnd.openxmlformats-officedocument.drawingml.chart+xml"/>
  <Override PartName="/xl/charts/style31.xml" ContentType="application/vnd.ms-office.chartstyle+xml"/>
  <Override PartName="/xl/charts/colors3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AED3405E-18A6-7748-903B-221204F4FC1D}" xr6:coauthVersionLast="45" xr6:coauthVersionMax="45" xr10:uidLastSave="{00000000-0000-0000-0000-000000000000}"/>
  <bookViews>
    <workbookView xWindow="1260" yWindow="580" windowWidth="25480" windowHeight="19580" tabRatio="926" activeTab="3"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Veh Price" sheetId="27" r:id="rId17"/>
    <sheet name="FuelAvail" sheetId="23"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FuelAvail!$C$6:$K$49</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FuelAvail!$D$53:$D$54</definedName>
    <definedName name="VehPrice">'Veh Price'!$B$9:$S$52</definedName>
    <definedName name="Years">'Inputs 7&amp;8 Sleep'!$B$22:$B$65</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9" l="1"/>
  <c r="S23" i="4" l="1"/>
  <c r="S22" i="4"/>
  <c r="S21" i="4"/>
  <c r="S20" i="4"/>
  <c r="S19" i="4"/>
  <c r="S18" i="4"/>
  <c r="S17" i="4"/>
  <c r="S16" i="4"/>
  <c r="S15" i="4"/>
  <c r="S14" i="4"/>
  <c r="S13" i="4"/>
  <c r="S12" i="4"/>
  <c r="S11" i="4"/>
  <c r="C35" i="1" l="1"/>
  <c r="C34" i="1"/>
  <c r="C33" i="1"/>
  <c r="AE54" i="4" l="1"/>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O23" i="4" s="1"/>
  <c r="AE22" i="4"/>
  <c r="AO22" i="4" s="1"/>
  <c r="AE21" i="4"/>
  <c r="AO21" i="4" s="1"/>
  <c r="AE20" i="4"/>
  <c r="AO20" i="4" s="1"/>
  <c r="AE19" i="4"/>
  <c r="AO19" i="4" s="1"/>
  <c r="AE18" i="4"/>
  <c r="AO18" i="4" s="1"/>
  <c r="AE17" i="4"/>
  <c r="AO17" i="4" s="1"/>
  <c r="AE16" i="4"/>
  <c r="AO16" i="4" s="1"/>
  <c r="AE15" i="4"/>
  <c r="AO15" i="4" s="1"/>
  <c r="AE14" i="4"/>
  <c r="AO14" i="4" s="1"/>
  <c r="AE13" i="4"/>
  <c r="AO13" i="4" s="1"/>
  <c r="AE12" i="4"/>
  <c r="AO12" i="4" s="1"/>
  <c r="AE11" i="4"/>
  <c r="AO11" i="4" s="1"/>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Q51" i="22" l="1"/>
  <c r="Q52" i="22" s="1"/>
  <c r="Q53" i="22" s="1"/>
  <c r="Q54" i="22" s="1"/>
  <c r="Q55" i="22" s="1"/>
  <c r="Q56" i="22" s="1"/>
  <c r="Q57" i="22" s="1"/>
  <c r="Q58" i="22" s="1"/>
  <c r="Q59" i="22" s="1"/>
  <c r="Q60" i="22" s="1"/>
  <c r="Q61" i="22" s="1"/>
  <c r="Q62" i="22" s="1"/>
  <c r="Q63" i="22" s="1"/>
  <c r="Q64" i="22" s="1"/>
  <c r="Q65" i="22" s="1"/>
  <c r="P46" i="22"/>
  <c r="P47" i="22" s="1"/>
  <c r="P48" i="22" s="1"/>
  <c r="P49" i="22" s="1"/>
  <c r="P50" i="22" s="1"/>
  <c r="P51" i="22" s="1"/>
  <c r="P52" i="22" s="1"/>
  <c r="P53" i="22" s="1"/>
  <c r="P54" i="22" s="1"/>
  <c r="P55" i="22" s="1"/>
  <c r="P56" i="22" s="1"/>
  <c r="P57" i="22" s="1"/>
  <c r="P58" i="22" s="1"/>
  <c r="P59" i="22" s="1"/>
  <c r="P60" i="22" s="1"/>
  <c r="P61" i="22" s="1"/>
  <c r="P62" i="22" s="1"/>
  <c r="P63" i="22" s="1"/>
  <c r="P64" i="22" s="1"/>
  <c r="P65" i="22" s="1"/>
  <c r="O46" i="22"/>
  <c r="O47" i="22" s="1"/>
  <c r="O48" i="22" s="1"/>
  <c r="O49" i="22" s="1"/>
  <c r="O50" i="22" s="1"/>
  <c r="O51" i="22" s="1"/>
  <c r="O52" i="22" s="1"/>
  <c r="O53" i="22" s="1"/>
  <c r="O54" i="22" s="1"/>
  <c r="O55" i="22" s="1"/>
  <c r="O56" i="22" s="1"/>
  <c r="O57" i="22" s="1"/>
  <c r="O58" i="22" s="1"/>
  <c r="O59" i="22" s="1"/>
  <c r="O60" i="22" s="1"/>
  <c r="O61" i="22" s="1"/>
  <c r="O62" i="22" s="1"/>
  <c r="O63" i="22" s="1"/>
  <c r="O64" i="22" s="1"/>
  <c r="O65" i="22" s="1"/>
  <c r="P46" i="12"/>
  <c r="P47" i="12" s="1"/>
  <c r="P48" i="12" s="1"/>
  <c r="P49" i="12" s="1"/>
  <c r="P50" i="12" s="1"/>
  <c r="P51" i="12" s="1"/>
  <c r="P52" i="12" s="1"/>
  <c r="P53" i="12" s="1"/>
  <c r="P54" i="12" s="1"/>
  <c r="P55" i="12" s="1"/>
  <c r="P56" i="12" s="1"/>
  <c r="P57" i="12" s="1"/>
  <c r="P58" i="12" s="1"/>
  <c r="P59" i="12" s="1"/>
  <c r="P60" i="12" s="1"/>
  <c r="P61" i="12" s="1"/>
  <c r="P62" i="12" s="1"/>
  <c r="P63" i="12" s="1"/>
  <c r="P64" i="12" s="1"/>
  <c r="P65" i="12" s="1"/>
  <c r="O46" i="12"/>
  <c r="O47" i="12" s="1"/>
  <c r="O48" i="12" s="1"/>
  <c r="O49" i="12" s="1"/>
  <c r="O50" i="12" s="1"/>
  <c r="O51" i="12" s="1"/>
  <c r="O52" i="12" s="1"/>
  <c r="O53" i="12" s="1"/>
  <c r="O54" i="12" s="1"/>
  <c r="O55" i="12" s="1"/>
  <c r="O56" i="12" s="1"/>
  <c r="O57" i="12" s="1"/>
  <c r="O58" i="12" s="1"/>
  <c r="O59" i="12" s="1"/>
  <c r="O60" i="12" s="1"/>
  <c r="O61" i="12" s="1"/>
  <c r="O62" i="12" s="1"/>
  <c r="O63" i="12" s="1"/>
  <c r="O64" i="12" s="1"/>
  <c r="O65" i="12" s="1"/>
  <c r="O24" i="12" l="1"/>
  <c r="O23" i="12" s="1"/>
  <c r="O22" i="12" s="1"/>
  <c r="P24" i="12"/>
  <c r="P23" i="12" s="1"/>
  <c r="P22" i="12" s="1"/>
  <c r="AE21" i="22" l="1"/>
  <c r="AD21" i="22"/>
  <c r="AC21" i="22"/>
  <c r="AB21" i="22"/>
  <c r="AA21" i="22"/>
  <c r="AE21" i="12"/>
  <c r="AD21" i="12"/>
  <c r="AC21" i="12"/>
  <c r="AB21" i="12"/>
  <c r="AA21" i="12"/>
  <c r="BQ65" i="1" l="1"/>
  <c r="BP36" i="1" l="1"/>
  <c r="BP37" i="1"/>
  <c r="BP38" i="1"/>
  <c r="BP39" i="1"/>
  <c r="BP40" i="1"/>
  <c r="BP41" i="1"/>
  <c r="BP42" i="1"/>
  <c r="BP43" i="1"/>
  <c r="BP44" i="1"/>
  <c r="BP45" i="1"/>
  <c r="BP46" i="1"/>
  <c r="BP47" i="1"/>
  <c r="BP48" i="1"/>
  <c r="BP49" i="1"/>
  <c r="BP50" i="1"/>
  <c r="BP51" i="1"/>
  <c r="BP52" i="1"/>
  <c r="BP53" i="1"/>
  <c r="BP54" i="1"/>
  <c r="BP55" i="1"/>
  <c r="BP56" i="1"/>
  <c r="BP57" i="1"/>
  <c r="BP58" i="1"/>
  <c r="BP59" i="1"/>
  <c r="BP60" i="1"/>
  <c r="BP61" i="1"/>
  <c r="BP62" i="1"/>
  <c r="BP63" i="1"/>
  <c r="BP64" i="1"/>
  <c r="BP65" i="1"/>
  <c r="BP35" i="1"/>
  <c r="AO55" i="4" l="1"/>
  <c r="AO56" i="4"/>
  <c r="AO57" i="4"/>
  <c r="AO58" i="4"/>
  <c r="AL24" i="9"/>
  <c r="AM24" i="9" s="1"/>
  <c r="AN24" i="9" s="1"/>
  <c r="AN23" i="9" s="1"/>
  <c r="AN22" i="9" s="1"/>
  <c r="AN21" i="9" s="1"/>
  <c r="AN20" i="9" s="1"/>
  <c r="AN19" i="9" s="1"/>
  <c r="AN18" i="9" s="1"/>
  <c r="AN17" i="9" s="1"/>
  <c r="AN16" i="9" s="1"/>
  <c r="AN15" i="9" s="1"/>
  <c r="AN14" i="9" s="1"/>
  <c r="AN13" i="9" s="1"/>
  <c r="AN12" i="9" s="1"/>
  <c r="AN11" i="9" s="1"/>
  <c r="AN10" i="9" s="1"/>
  <c r="AN9"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S42" i="4" l="1"/>
  <c r="AO42" i="4"/>
  <c r="S49" i="4"/>
  <c r="AO49" i="4"/>
  <c r="S41" i="4"/>
  <c r="AO41" i="4"/>
  <c r="S50" i="4"/>
  <c r="AO50" i="4"/>
  <c r="S48" i="4"/>
  <c r="AO48" i="4"/>
  <c r="S40" i="4"/>
  <c r="AO40" i="4"/>
  <c r="S51" i="4"/>
  <c r="AO51" i="4"/>
  <c r="S53" i="4"/>
  <c r="AO53"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S39" i="4" l="1"/>
  <c r="AO39" i="4"/>
  <c r="S52" i="4"/>
  <c r="AO52" i="4"/>
  <c r="S46" i="4"/>
  <c r="AO46" i="4"/>
  <c r="S54" i="4"/>
  <c r="AO54" i="4"/>
  <c r="S47" i="4"/>
  <c r="AO47" i="4"/>
  <c r="S44" i="4"/>
  <c r="AO44" i="4"/>
  <c r="S45" i="4"/>
  <c r="AO45" i="4"/>
  <c r="Y30" i="23"/>
  <c r="U38" i="4"/>
  <c r="B11" i="9"/>
  <c r="B12" i="9"/>
  <c r="B13" i="9"/>
  <c r="B14" i="9"/>
  <c r="B15" i="9"/>
  <c r="B16" i="9"/>
  <c r="B17" i="9"/>
  <c r="B18" i="9"/>
  <c r="B19" i="9"/>
  <c r="B20" i="9"/>
  <c r="B21" i="9"/>
  <c r="B22" i="9"/>
  <c r="B23" i="9"/>
  <c r="B24" i="9"/>
  <c r="B25" i="9"/>
  <c r="B26" i="9"/>
  <c r="B27" i="9"/>
  <c r="B28" i="9"/>
  <c r="B29" i="9"/>
  <c r="B30" i="9"/>
  <c r="B31" i="9"/>
  <c r="B32" i="9"/>
  <c r="B33" i="9"/>
  <c r="B34" i="9"/>
  <c r="S38" i="4" l="1"/>
  <c r="AO38" i="4"/>
  <c r="Y31" i="23"/>
  <c r="U37" i="4"/>
  <c r="G21" i="1"/>
  <c r="S37" i="4" l="1"/>
  <c r="AO37" i="4"/>
  <c r="Y32" i="23"/>
  <c r="U36" i="4"/>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S36" i="4" l="1"/>
  <c r="AO36" i="4"/>
  <c r="Y33" i="23"/>
  <c r="U35" i="4"/>
  <c r="P2" i="4"/>
  <c r="AF19" i="4" s="1"/>
  <c r="AP19" i="4" s="1"/>
  <c r="S35" i="4" l="1"/>
  <c r="AO35" i="4"/>
  <c r="Y34" i="23"/>
  <c r="U34" i="4"/>
  <c r="J30" i="4"/>
  <c r="T30" i="4" s="1"/>
  <c r="AF33" i="4"/>
  <c r="AP33" i="4" s="1"/>
  <c r="J53" i="4"/>
  <c r="T53" i="4" s="1"/>
  <c r="J37" i="4"/>
  <c r="T37" i="4" s="1"/>
  <c r="J21" i="4"/>
  <c r="T21" i="4" s="1"/>
  <c r="J20" i="4"/>
  <c r="T20" i="4" s="1"/>
  <c r="J47" i="4"/>
  <c r="T47" i="4" s="1"/>
  <c r="J39" i="4"/>
  <c r="T39" i="4" s="1"/>
  <c r="J31" i="4"/>
  <c r="T31" i="4" s="1"/>
  <c r="J23" i="4"/>
  <c r="T23" i="4" s="1"/>
  <c r="AF50" i="4"/>
  <c r="AP50" i="4" s="1"/>
  <c r="AF42" i="4"/>
  <c r="AP42" i="4" s="1"/>
  <c r="AF34" i="4"/>
  <c r="AP34" i="4" s="1"/>
  <c r="AF26" i="4"/>
  <c r="AP26" i="4" s="1"/>
  <c r="J38" i="4"/>
  <c r="T38" i="4" s="1"/>
  <c r="AF24" i="4"/>
  <c r="AP24" i="4" s="1"/>
  <c r="J52" i="4"/>
  <c r="T52" i="4" s="1"/>
  <c r="J44" i="4"/>
  <c r="T44" i="4" s="1"/>
  <c r="J36" i="4"/>
  <c r="T36" i="4" s="1"/>
  <c r="J28" i="4"/>
  <c r="T28" i="4" s="1"/>
  <c r="AF20" i="4"/>
  <c r="AP20" i="4" s="1"/>
  <c r="AF47" i="4"/>
  <c r="AP47" i="4" s="1"/>
  <c r="AF39" i="4"/>
  <c r="AP39" i="4" s="1"/>
  <c r="AF31" i="4"/>
  <c r="AP31" i="4" s="1"/>
  <c r="AF23" i="4"/>
  <c r="AP23" i="4" s="1"/>
  <c r="J22" i="4"/>
  <c r="T22" i="4" s="1"/>
  <c r="AF25" i="4"/>
  <c r="AP25" i="4" s="1"/>
  <c r="J29" i="4"/>
  <c r="T29" i="4" s="1"/>
  <c r="AF32" i="4"/>
  <c r="AP32" i="4" s="1"/>
  <c r="J51" i="4"/>
  <c r="T51" i="4" s="1"/>
  <c r="J43" i="4"/>
  <c r="T43" i="4" s="1"/>
  <c r="J35" i="4"/>
  <c r="T35" i="4" s="1"/>
  <c r="J27" i="4"/>
  <c r="T27" i="4" s="1"/>
  <c r="AF54" i="4"/>
  <c r="AP54" i="4" s="1"/>
  <c r="AF46" i="4"/>
  <c r="AP46" i="4" s="1"/>
  <c r="AF38" i="4"/>
  <c r="AP38" i="4" s="1"/>
  <c r="AF30" i="4"/>
  <c r="AP30" i="4" s="1"/>
  <c r="AF22" i="4"/>
  <c r="AP22" i="4" s="1"/>
  <c r="J54" i="4"/>
  <c r="T54" i="4" s="1"/>
  <c r="AF49" i="4"/>
  <c r="AP49" i="4" s="1"/>
  <c r="J45" i="4"/>
  <c r="T45" i="4" s="1"/>
  <c r="AF48" i="4"/>
  <c r="AP48" i="4" s="1"/>
  <c r="J50" i="4"/>
  <c r="T50" i="4" s="1"/>
  <c r="J42" i="4"/>
  <c r="T42" i="4" s="1"/>
  <c r="J34" i="4"/>
  <c r="T34" i="4" s="1"/>
  <c r="J26" i="4"/>
  <c r="T26" i="4" s="1"/>
  <c r="AF53" i="4"/>
  <c r="AP53" i="4" s="1"/>
  <c r="AF45" i="4"/>
  <c r="AP45" i="4" s="1"/>
  <c r="AF37" i="4"/>
  <c r="AP37" i="4" s="1"/>
  <c r="AF29" i="4"/>
  <c r="AP29" i="4" s="1"/>
  <c r="AF21" i="4"/>
  <c r="AP21" i="4" s="1"/>
  <c r="J46" i="4"/>
  <c r="T46" i="4" s="1"/>
  <c r="AF41" i="4"/>
  <c r="AP41" i="4" s="1"/>
  <c r="AF40" i="4"/>
  <c r="AP40" i="4" s="1"/>
  <c r="J49" i="4"/>
  <c r="T49" i="4" s="1"/>
  <c r="J41" i="4"/>
  <c r="T41" i="4" s="1"/>
  <c r="J33" i="4"/>
  <c r="T33" i="4" s="1"/>
  <c r="J25" i="4"/>
  <c r="T25" i="4" s="1"/>
  <c r="AF52" i="4"/>
  <c r="AP52" i="4" s="1"/>
  <c r="AF44" i="4"/>
  <c r="AP44" i="4" s="1"/>
  <c r="AF36" i="4"/>
  <c r="AP36" i="4" s="1"/>
  <c r="AF28" i="4"/>
  <c r="AP28" i="4" s="1"/>
  <c r="J19" i="4"/>
  <c r="T19" i="4" s="1"/>
  <c r="J48" i="4"/>
  <c r="T48" i="4" s="1"/>
  <c r="J40" i="4"/>
  <c r="T40" i="4" s="1"/>
  <c r="J32" i="4"/>
  <c r="T32" i="4" s="1"/>
  <c r="J24" i="4"/>
  <c r="T24" i="4" s="1"/>
  <c r="AF51" i="4"/>
  <c r="AP51" i="4" s="1"/>
  <c r="AF43" i="4"/>
  <c r="AP43" i="4" s="1"/>
  <c r="AF35" i="4"/>
  <c r="AP35" i="4" s="1"/>
  <c r="AF27" i="4"/>
  <c r="AP27" i="4" s="1"/>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S34" i="4" l="1"/>
  <c r="AO34" i="4"/>
  <c r="Y35" i="23"/>
  <c r="U33" i="4"/>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S33" i="4" l="1"/>
  <c r="AO33" i="4"/>
  <c r="Y36" i="23"/>
  <c r="U32" i="4"/>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S32" i="4" l="1"/>
  <c r="AO32" i="4"/>
  <c r="Y37" i="23"/>
  <c r="U31" i="4"/>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S31" i="4" l="1"/>
  <c r="AO31" i="4"/>
  <c r="Y38" i="23"/>
  <c r="U30" i="4"/>
  <c r="J8" i="5"/>
  <c r="J45" i="5"/>
  <c r="J47" i="5"/>
  <c r="J48" i="5"/>
  <c r="J7" i="5"/>
  <c r="Y16" i="11"/>
  <c r="Y17" i="11" s="1"/>
  <c r="S30" i="4" l="1"/>
  <c r="AO30" i="4"/>
  <c r="Y39" i="23"/>
  <c r="U29" i="4"/>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S29" i="4" l="1"/>
  <c r="AO29" i="4"/>
  <c r="Y40" i="23"/>
  <c r="U28" i="4"/>
  <c r="S28" i="4" l="1"/>
  <c r="AO28" i="4"/>
  <c r="Y41" i="23"/>
  <c r="U27" i="4"/>
  <c r="AF12" i="4"/>
  <c r="AP12" i="4" s="1"/>
  <c r="AF13" i="4"/>
  <c r="AP13" i="4" s="1"/>
  <c r="AF14" i="4"/>
  <c r="AP14" i="4" s="1"/>
  <c r="AF15" i="4"/>
  <c r="AP15" i="4" s="1"/>
  <c r="AF16" i="4"/>
  <c r="AP16" i="4" s="1"/>
  <c r="AF17" i="4"/>
  <c r="AP17" i="4" s="1"/>
  <c r="AF18" i="4"/>
  <c r="AP18" i="4" s="1"/>
  <c r="AF11" i="4"/>
  <c r="AP11" i="4" s="1"/>
  <c r="J12" i="4"/>
  <c r="T12" i="4" s="1"/>
  <c r="J13" i="4"/>
  <c r="T13" i="4" s="1"/>
  <c r="J14" i="4"/>
  <c r="T14" i="4" s="1"/>
  <c r="J15" i="4"/>
  <c r="T15" i="4" s="1"/>
  <c r="J16" i="4"/>
  <c r="T16" i="4" s="1"/>
  <c r="J17" i="4"/>
  <c r="T17" i="4" s="1"/>
  <c r="J18" i="4"/>
  <c r="T18" i="4" s="1"/>
  <c r="J11" i="4"/>
  <c r="T11" i="4" s="1"/>
  <c r="S27" i="4" l="1"/>
  <c r="AO27" i="4"/>
  <c r="Y42" i="23"/>
  <c r="U26" i="4"/>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S26" i="4" l="1"/>
  <c r="AO26" i="4"/>
  <c r="AD24" i="23"/>
  <c r="AD25" i="23"/>
  <c r="AD26" i="23"/>
  <c r="AD23" i="23"/>
  <c r="Y43" i="23"/>
  <c r="U25" i="4"/>
  <c r="Q34" i="23"/>
  <c r="Q33" i="23"/>
  <c r="Q32" i="23"/>
  <c r="Q31" i="23"/>
  <c r="Q30" i="23"/>
  <c r="Q29" i="23"/>
  <c r="Q28" i="23"/>
  <c r="Q27" i="23"/>
  <c r="S25" i="4" l="1"/>
  <c r="AO25" i="4"/>
  <c r="AD27" i="23"/>
  <c r="AD28" i="23"/>
  <c r="Y44" i="23"/>
  <c r="U24" i="4"/>
  <c r="W69" i="11"/>
  <c r="S24" i="4" l="1"/>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Y46" i="23" l="1"/>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Y47" i="23" l="1"/>
  <c r="Z6" i="4"/>
  <c r="Z12" i="4" s="1"/>
  <c r="AJ12" i="4" s="1"/>
  <c r="Y6" i="4"/>
  <c r="X6" i="4"/>
  <c r="AB6" i="4"/>
  <c r="AD6" i="4"/>
  <c r="AD14" i="4" s="1"/>
  <c r="AN14" i="4" s="1"/>
  <c r="Y48" i="23" l="1"/>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H33" i="12"/>
  <c r="G33" i="12"/>
  <c r="F33" i="12"/>
  <c r="E33" i="12"/>
  <c r="D33" i="12"/>
  <c r="AE33" i="22"/>
  <c r="AE32" i="22" s="1"/>
  <c r="AE31" i="22" s="1"/>
  <c r="AE30" i="22" s="1"/>
  <c r="AE29" i="22" s="1"/>
  <c r="AE28" i="22" s="1"/>
  <c r="AE27" i="22" s="1"/>
  <c r="AE26" i="22" s="1"/>
  <c r="AE25" i="22" s="1"/>
  <c r="AE24" i="22" s="1"/>
  <c r="AE23" i="22" s="1"/>
  <c r="AE22" i="22" s="1"/>
  <c r="AD33" i="22"/>
  <c r="AD32" i="22" s="1"/>
  <c r="AD31" i="22" s="1"/>
  <c r="AD30" i="22" s="1"/>
  <c r="AD29" i="22" s="1"/>
  <c r="AD28" i="22" s="1"/>
  <c r="AD27" i="22" s="1"/>
  <c r="AD26" i="22" s="1"/>
  <c r="AD25" i="22" s="1"/>
  <c r="AD24" i="22" s="1"/>
  <c r="AD23" i="22" s="1"/>
  <c r="AD22" i="22" s="1"/>
  <c r="AC33" i="22"/>
  <c r="AC32" i="22" s="1"/>
  <c r="AC31" i="22" s="1"/>
  <c r="AC30" i="22" s="1"/>
  <c r="AC29" i="22" s="1"/>
  <c r="AC28" i="22" s="1"/>
  <c r="AC27" i="22" s="1"/>
  <c r="AC26" i="22" s="1"/>
  <c r="AC25" i="22" s="1"/>
  <c r="AC24" i="22" s="1"/>
  <c r="AC23" i="22" s="1"/>
  <c r="AC22" i="22" s="1"/>
  <c r="AB33" i="22"/>
  <c r="AB32" i="22" s="1"/>
  <c r="AB31" i="22" s="1"/>
  <c r="AB30" i="22" s="1"/>
  <c r="AB29" i="22" s="1"/>
  <c r="AB28" i="22" s="1"/>
  <c r="AB27" i="22" s="1"/>
  <c r="AB26" i="22" s="1"/>
  <c r="AB25" i="22" s="1"/>
  <c r="AB24" i="22" s="1"/>
  <c r="AB23" i="22" s="1"/>
  <c r="AB22" i="22" s="1"/>
  <c r="AA33" i="22"/>
  <c r="AA32" i="22" s="1"/>
  <c r="AA31" i="22" s="1"/>
  <c r="AA30" i="22" s="1"/>
  <c r="AA29" i="22" s="1"/>
  <c r="AA28" i="22" s="1"/>
  <c r="AA27" i="22" s="1"/>
  <c r="AA26" i="22" s="1"/>
  <c r="AA25" i="22" s="1"/>
  <c r="AA24" i="22" s="1"/>
  <c r="AA23" i="22" s="1"/>
  <c r="AA22" i="22" s="1"/>
  <c r="Y34" i="22"/>
  <c r="Y33" i="22" s="1"/>
  <c r="Y32" i="22" s="1"/>
  <c r="Y31" i="22" s="1"/>
  <c r="Y30" i="22" s="1"/>
  <c r="Y29" i="22" s="1"/>
  <c r="Y28" i="22" s="1"/>
  <c r="Y27" i="22" s="1"/>
  <c r="Y26" i="22" s="1"/>
  <c r="Y25" i="22" s="1"/>
  <c r="Y24" i="22" s="1"/>
  <c r="Y23" i="22" s="1"/>
  <c r="Y22" i="22" s="1"/>
  <c r="V33" i="22"/>
  <c r="V32" i="22" s="1"/>
  <c r="V31" i="22" s="1"/>
  <c r="X33" i="22"/>
  <c r="X32" i="22" s="1"/>
  <c r="X31" i="22" s="1"/>
  <c r="X30" i="22" s="1"/>
  <c r="X29" i="22" s="1"/>
  <c r="X28" i="22" s="1"/>
  <c r="X27" i="22" s="1"/>
  <c r="X26" i="22" s="1"/>
  <c r="X25" i="22" s="1"/>
  <c r="X24" i="22" s="1"/>
  <c r="X23" i="22" s="1"/>
  <c r="X22" i="22" s="1"/>
  <c r="W33" i="22"/>
  <c r="W32" i="22" s="1"/>
  <c r="W31" i="22" s="1"/>
  <c r="W30" i="22" s="1"/>
  <c r="W29" i="22" s="1"/>
  <c r="W28" i="22" s="1"/>
  <c r="W27" i="22" s="1"/>
  <c r="W26" i="22" s="1"/>
  <c r="W25" i="22" s="1"/>
  <c r="W24" i="22" s="1"/>
  <c r="W23" i="22" s="1"/>
  <c r="W22" i="22" s="1"/>
  <c r="U33" i="22"/>
  <c r="U32" i="22" s="1"/>
  <c r="U31" i="22" s="1"/>
  <c r="U30" i="22" s="1"/>
  <c r="U29" i="22" s="1"/>
  <c r="U28" i="22" s="1"/>
  <c r="U27" i="22" s="1"/>
  <c r="U26" i="22" s="1"/>
  <c r="U25" i="22" s="1"/>
  <c r="U24" i="22" s="1"/>
  <c r="U23" i="22" s="1"/>
  <c r="U22" i="22" s="1"/>
  <c r="S33" i="22"/>
  <c r="S32" i="22" s="1"/>
  <c r="S31" i="22" s="1"/>
  <c r="S30" i="22" s="1"/>
  <c r="S29" i="22" s="1"/>
  <c r="S28" i="22" s="1"/>
  <c r="S27" i="22" s="1"/>
  <c r="S26" i="22" s="1"/>
  <c r="S25" i="22" s="1"/>
  <c r="S24" i="22" s="1"/>
  <c r="S23" i="22" s="1"/>
  <c r="S22" i="22" s="1"/>
  <c r="R33" i="22"/>
  <c r="R32" i="22" s="1"/>
  <c r="R31" i="22" s="1"/>
  <c r="R30" i="22" s="1"/>
  <c r="R29" i="22" s="1"/>
  <c r="R28" i="22" s="1"/>
  <c r="R27" i="22" s="1"/>
  <c r="R26" i="22" s="1"/>
  <c r="R25" i="22" s="1"/>
  <c r="R24" i="22" s="1"/>
  <c r="R23" i="22" s="1"/>
  <c r="R22" i="22" s="1"/>
  <c r="Q33" i="22"/>
  <c r="Q32" i="22" s="1"/>
  <c r="Q31" i="22" s="1"/>
  <c r="Q30" i="22" s="1"/>
  <c r="Q29" i="22" s="1"/>
  <c r="Q28" i="22" s="1"/>
  <c r="Q27" i="22" s="1"/>
  <c r="Q26" i="22" s="1"/>
  <c r="Q25" i="22" s="1"/>
  <c r="Q24" i="22" s="1"/>
  <c r="Q23" i="22" s="1"/>
  <c r="Q22" i="22" s="1"/>
  <c r="P33" i="22"/>
  <c r="P32" i="22" s="1"/>
  <c r="P31" i="22" s="1"/>
  <c r="P30" i="22" s="1"/>
  <c r="P29" i="22" s="1"/>
  <c r="P28" i="22" s="1"/>
  <c r="P27" i="22" s="1"/>
  <c r="P26" i="22" s="1"/>
  <c r="P25" i="22" s="1"/>
  <c r="P24" i="22" s="1"/>
  <c r="P23" i="22" s="1"/>
  <c r="P22" i="22" s="1"/>
  <c r="O33" i="22"/>
  <c r="O32" i="22" s="1"/>
  <c r="O31" i="22" s="1"/>
  <c r="O30" i="22" s="1"/>
  <c r="O29" i="22" s="1"/>
  <c r="O28" i="22" s="1"/>
  <c r="O27" i="22" s="1"/>
  <c r="O26" i="22" s="1"/>
  <c r="O25" i="22" s="1"/>
  <c r="O24" i="22" s="1"/>
  <c r="O23" i="22" s="1"/>
  <c r="O22" i="22" s="1"/>
  <c r="H33" i="22"/>
  <c r="G33" i="22"/>
  <c r="F33" i="22"/>
  <c r="E33" i="22"/>
  <c r="P20" i="27" s="1"/>
  <c r="D33" i="22"/>
  <c r="T24" i="22"/>
  <c r="T23" i="22" s="1"/>
  <c r="T22" i="22" s="1"/>
  <c r="Z24" i="22"/>
  <c r="Z23" i="22" s="1"/>
  <c r="Z22" i="22" s="1"/>
  <c r="AE24" i="12"/>
  <c r="AE23" i="12" s="1"/>
  <c r="AE22" i="12" s="1"/>
  <c r="AD24" i="12"/>
  <c r="AC24" i="12"/>
  <c r="AC23" i="12" s="1"/>
  <c r="AC22" i="12" s="1"/>
  <c r="AB24" i="12"/>
  <c r="AB23" i="12" s="1"/>
  <c r="AB22" i="12" s="1"/>
  <c r="AA24" i="12"/>
  <c r="AA23" i="12" s="1"/>
  <c r="AA22" i="12" s="1"/>
  <c r="Z24" i="12"/>
  <c r="Z23" i="12" s="1"/>
  <c r="Z22" i="12" s="1"/>
  <c r="Y24" i="12"/>
  <c r="Y23" i="12" s="1"/>
  <c r="Y22" i="12" s="1"/>
  <c r="X24" i="12"/>
  <c r="X23" i="12" s="1"/>
  <c r="X22" i="12" s="1"/>
  <c r="W24" i="12"/>
  <c r="W23" i="12" s="1"/>
  <c r="W22" i="12" s="1"/>
  <c r="V24" i="12"/>
  <c r="V23" i="12" s="1"/>
  <c r="V22" i="12" s="1"/>
  <c r="U24" i="12"/>
  <c r="U23" i="12" s="1"/>
  <c r="U22" i="12" s="1"/>
  <c r="T24" i="12"/>
  <c r="T23" i="12" s="1"/>
  <c r="T22" i="12" s="1"/>
  <c r="S24" i="12"/>
  <c r="S23" i="12" s="1"/>
  <c r="S22" i="12" s="1"/>
  <c r="R24" i="12"/>
  <c r="R23" i="12" s="1"/>
  <c r="R22" i="12" s="1"/>
  <c r="Q24" i="12"/>
  <c r="Q23" i="12" s="1"/>
  <c r="Q22" i="12" s="1"/>
  <c r="AD23" i="12"/>
  <c r="AD22" i="12" s="1"/>
  <c r="H24" i="1"/>
  <c r="H23" i="1" s="1"/>
  <c r="H22" i="1" s="1"/>
  <c r="G24" i="1"/>
  <c r="G23" i="1" s="1"/>
  <c r="G22" i="1" s="1"/>
  <c r="F24" i="1"/>
  <c r="F23" i="1" s="1"/>
  <c r="F22" i="1" s="1"/>
  <c r="E24" i="1"/>
  <c r="E23" i="1" s="1"/>
  <c r="E22" i="1" s="1"/>
  <c r="D24" i="1"/>
  <c r="D23" i="1" s="1"/>
  <c r="D22" i="1" s="1"/>
  <c r="AE24" i="1"/>
  <c r="AE23" i="1" s="1"/>
  <c r="AE22" i="1" s="1"/>
  <c r="AD24" i="1"/>
  <c r="AD23" i="1" s="1"/>
  <c r="AD22" i="1" s="1"/>
  <c r="AC24" i="1"/>
  <c r="AC23" i="1" s="1"/>
  <c r="AC22" i="1" s="1"/>
  <c r="AB24" i="1"/>
  <c r="AB23" i="1" s="1"/>
  <c r="AB22" i="1" s="1"/>
  <c r="AA24" i="1"/>
  <c r="AA23" i="1" s="1"/>
  <c r="AA22" i="1" s="1"/>
  <c r="Z24" i="1"/>
  <c r="Z23" i="1" s="1"/>
  <c r="Z22" i="1" s="1"/>
  <c r="Y24" i="1"/>
  <c r="Y23" i="1" s="1"/>
  <c r="Y22" i="1" s="1"/>
  <c r="X24" i="1"/>
  <c r="X23" i="1" s="1"/>
  <c r="X22" i="1" s="1"/>
  <c r="W24" i="1"/>
  <c r="W23" i="1" s="1"/>
  <c r="W22" i="1" s="1"/>
  <c r="V24" i="1"/>
  <c r="V23" i="1" s="1"/>
  <c r="V22" i="1" s="1"/>
  <c r="U24" i="1"/>
  <c r="U23" i="1" s="1"/>
  <c r="U22" i="1" s="1"/>
  <c r="T24" i="1"/>
  <c r="T23" i="1" s="1"/>
  <c r="T22" i="1" s="1"/>
  <c r="S24" i="1"/>
  <c r="S23" i="1" s="1"/>
  <c r="S22" i="1" s="1"/>
  <c r="R24" i="1"/>
  <c r="R23" i="1" s="1"/>
  <c r="R22" i="1" s="1"/>
  <c r="Q24" i="1"/>
  <c r="Q23" i="1" s="1"/>
  <c r="Q22" i="1" s="1"/>
  <c r="P24" i="1"/>
  <c r="P23" i="1" s="1"/>
  <c r="P22" i="1" s="1"/>
  <c r="O24" i="1"/>
  <c r="O23" i="1" s="1"/>
  <c r="O22" i="1" s="1"/>
  <c r="Y49" i="23" l="1"/>
  <c r="V30" i="22"/>
  <c r="V29" i="22" s="1"/>
  <c r="V28" i="22" s="1"/>
  <c r="V27" i="22" s="1"/>
  <c r="V26" i="22" s="1"/>
  <c r="V25" i="22" s="1"/>
  <c r="V24" i="22" s="1"/>
  <c r="V23" i="22" s="1"/>
  <c r="V22" i="22" s="1"/>
  <c r="E32" i="22"/>
  <c r="E31" i="22" s="1"/>
  <c r="G32" i="12"/>
  <c r="L20" i="27"/>
  <c r="D32" i="22"/>
  <c r="O20" i="27"/>
  <c r="H32" i="12"/>
  <c r="M20" i="27"/>
  <c r="H11" i="27"/>
  <c r="G32" i="22"/>
  <c r="R20" i="27"/>
  <c r="F32" i="12"/>
  <c r="K20" i="27"/>
  <c r="B11" i="27"/>
  <c r="F32" i="22"/>
  <c r="Q20" i="27"/>
  <c r="N11" i="27"/>
  <c r="H32" i="22"/>
  <c r="S20" i="27"/>
  <c r="D32" i="12"/>
  <c r="I20" i="27"/>
  <c r="E32" i="12"/>
  <c r="J20" i="27"/>
  <c r="J15" i="11"/>
  <c r="J14" i="11"/>
  <c r="J13" i="11"/>
  <c r="J12" i="11"/>
  <c r="Y50" i="23" l="1"/>
  <c r="P19" i="27"/>
  <c r="D11" i="27"/>
  <c r="G11" i="27"/>
  <c r="C11" i="27"/>
  <c r="F11" i="27"/>
  <c r="E11" i="27"/>
  <c r="D31" i="12"/>
  <c r="I19" i="27"/>
  <c r="B9" i="27"/>
  <c r="B10" i="27"/>
  <c r="H31" i="12"/>
  <c r="M19" i="27"/>
  <c r="E30" i="22"/>
  <c r="P18" i="27"/>
  <c r="H9" i="27"/>
  <c r="H10" i="27"/>
  <c r="F31" i="22"/>
  <c r="Q19" i="27"/>
  <c r="H31" i="22"/>
  <c r="S19" i="27"/>
  <c r="F31" i="12"/>
  <c r="K19" i="27"/>
  <c r="D31" i="22"/>
  <c r="O19" i="27"/>
  <c r="E31" i="12"/>
  <c r="J19" i="27"/>
  <c r="N9" i="27"/>
  <c r="N10" i="27"/>
  <c r="G31" i="22"/>
  <c r="R19" i="27"/>
  <c r="G31" i="12"/>
  <c r="L19" i="27"/>
  <c r="Y51" i="23" l="1"/>
  <c r="G30" i="12"/>
  <c r="L18" i="27"/>
  <c r="D30" i="22"/>
  <c r="O18" i="27"/>
  <c r="D30" i="12"/>
  <c r="I18" i="27"/>
  <c r="G30" i="22"/>
  <c r="R18" i="27"/>
  <c r="F30" i="12"/>
  <c r="K18" i="27"/>
  <c r="E29" i="22"/>
  <c r="P17" i="27"/>
  <c r="H30" i="22"/>
  <c r="S18" i="27"/>
  <c r="H30" i="12"/>
  <c r="M18" i="27"/>
  <c r="C10" i="27"/>
  <c r="G10" i="27"/>
  <c r="F10" i="27"/>
  <c r="E10" i="27"/>
  <c r="D10" i="27"/>
  <c r="E30" i="12"/>
  <c r="J18" i="27"/>
  <c r="F30" i="22"/>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Y52" i="23" l="1"/>
  <c r="E29" i="12"/>
  <c r="J17" i="27"/>
  <c r="H29" i="12"/>
  <c r="M17" i="27"/>
  <c r="G29" i="22"/>
  <c r="R17" i="27"/>
  <c r="H29" i="22"/>
  <c r="S17" i="27"/>
  <c r="D29" i="12"/>
  <c r="I17" i="27"/>
  <c r="E28" i="22"/>
  <c r="P16" i="27"/>
  <c r="D29" i="22"/>
  <c r="O17" i="27"/>
  <c r="F29" i="22"/>
  <c r="Q17" i="27"/>
  <c r="F29" i="12"/>
  <c r="K17" i="27"/>
  <c r="G29" i="12"/>
  <c r="L17" i="27"/>
  <c r="K56" i="24"/>
  <c r="K55" i="24"/>
  <c r="Y53" i="23" l="1"/>
  <c r="D28" i="22"/>
  <c r="O16" i="27"/>
  <c r="G28" i="22"/>
  <c r="R16" i="27"/>
  <c r="F28" i="22"/>
  <c r="Q16" i="27"/>
  <c r="H28" i="22"/>
  <c r="S16" i="27"/>
  <c r="G28" i="12"/>
  <c r="L16" i="27"/>
  <c r="H28" i="12"/>
  <c r="M16" i="27"/>
  <c r="E27" i="22"/>
  <c r="P15" i="27"/>
  <c r="F28" i="12"/>
  <c r="K16" i="27"/>
  <c r="D28" i="12"/>
  <c r="I16" i="27"/>
  <c r="E28" i="12"/>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Y54" i="23" l="1"/>
  <c r="F27" i="12"/>
  <c r="K15" i="27"/>
  <c r="E26" i="22"/>
  <c r="P14" i="27"/>
  <c r="F27" i="22"/>
  <c r="Q15" i="27"/>
  <c r="H27" i="22"/>
  <c r="S15" i="27"/>
  <c r="E27" i="12"/>
  <c r="J15" i="27"/>
  <c r="H27" i="12"/>
  <c r="M15" i="27"/>
  <c r="G27" i="22"/>
  <c r="R15" i="27"/>
  <c r="D27" i="12"/>
  <c r="I15" i="27"/>
  <c r="G27" i="12"/>
  <c r="L15" i="27"/>
  <c r="D27" i="22"/>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Y55" i="23" l="1"/>
  <c r="G26" i="22"/>
  <c r="R14" i="27"/>
  <c r="F26" i="22"/>
  <c r="Q14" i="27"/>
  <c r="D26" i="22"/>
  <c r="O14" i="27"/>
  <c r="D26" i="12"/>
  <c r="I14" i="27"/>
  <c r="H26" i="22"/>
  <c r="S14" i="27"/>
  <c r="H26" i="12"/>
  <c r="M14" i="27"/>
  <c r="E25" i="22"/>
  <c r="P13" i="27"/>
  <c r="G26" i="12"/>
  <c r="L14" i="27"/>
  <c r="E26" i="12"/>
  <c r="J14" i="27"/>
  <c r="F26" i="12"/>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1" i="23" l="1"/>
  <c r="K7" i="23"/>
  <c r="K6" i="23"/>
  <c r="K10" i="23"/>
  <c r="K8" i="23"/>
  <c r="K9" i="23"/>
  <c r="K12" i="23"/>
  <c r="K13" i="23"/>
  <c r="K14" i="23"/>
  <c r="K15" i="23"/>
  <c r="K16" i="23"/>
  <c r="K17" i="23"/>
  <c r="K18" i="23"/>
  <c r="K19" i="23"/>
  <c r="K20" i="23"/>
  <c r="K21" i="23"/>
  <c r="K22" i="23"/>
  <c r="K23" i="23"/>
  <c r="K24" i="23"/>
  <c r="J7" i="23"/>
  <c r="J6" i="23"/>
  <c r="J8" i="23"/>
  <c r="J9" i="23"/>
  <c r="J10"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D56" i="23"/>
  <c r="AE48" i="23"/>
  <c r="AD48" i="23"/>
  <c r="AE40" i="23"/>
  <c r="AD40" i="23"/>
  <c r="AE32" i="23"/>
  <c r="AD32" i="23"/>
  <c r="AE55" i="23"/>
  <c r="AD55" i="23"/>
  <c r="AE47" i="23"/>
  <c r="AD47" i="23"/>
  <c r="AE39" i="23"/>
  <c r="AD39" i="23"/>
  <c r="AE31" i="23"/>
  <c r="AD31" i="23"/>
  <c r="G25" i="12"/>
  <c r="L13" i="27"/>
  <c r="D25" i="12"/>
  <c r="I13" i="27"/>
  <c r="E24" i="22"/>
  <c r="P12" i="27"/>
  <c r="D25" i="22"/>
  <c r="O13" i="27"/>
  <c r="F25" i="12"/>
  <c r="K13" i="27"/>
  <c r="H25" i="12"/>
  <c r="M13" i="27"/>
  <c r="F25" i="22"/>
  <c r="Q13" i="27"/>
  <c r="E25" i="12"/>
  <c r="J13" i="27"/>
  <c r="H25" i="22"/>
  <c r="S13" i="27"/>
  <c r="G25" i="22"/>
  <c r="R13" i="27"/>
  <c r="M60" i="23"/>
  <c r="M61" i="23" s="1"/>
  <c r="N11" i="23"/>
  <c r="K25" i="23" s="1"/>
  <c r="N13" i="23"/>
  <c r="K27" i="23" s="1"/>
  <c r="N12" i="23"/>
  <c r="J11" i="23" l="1"/>
  <c r="K26" i="23"/>
  <c r="Y57" i="23"/>
  <c r="D24" i="22"/>
  <c r="O12" i="27"/>
  <c r="F24" i="22"/>
  <c r="Q12" i="27"/>
  <c r="E23" i="22"/>
  <c r="P11" i="27"/>
  <c r="E24" i="12"/>
  <c r="J12" i="27"/>
  <c r="G24" i="22"/>
  <c r="R12" i="27"/>
  <c r="H24" i="12"/>
  <c r="M12" i="27"/>
  <c r="D24" i="12"/>
  <c r="I12" i="27"/>
  <c r="H24" i="22"/>
  <c r="S12" i="27"/>
  <c r="F24" i="12"/>
  <c r="K12" i="27"/>
  <c r="G24" i="12"/>
  <c r="L12" i="27"/>
  <c r="N60" i="23"/>
  <c r="M62" i="23"/>
  <c r="N61" i="23"/>
  <c r="N14" i="23"/>
  <c r="K28" i="23" s="1"/>
  <c r="Y58" i="23" l="1"/>
  <c r="AD57" i="23"/>
  <c r="AE57" i="23"/>
  <c r="H23" i="22"/>
  <c r="S11" i="27"/>
  <c r="E23" i="12"/>
  <c r="J11" i="27"/>
  <c r="D23" i="12"/>
  <c r="I11" i="27"/>
  <c r="E22" i="22"/>
  <c r="P9" i="27" s="1"/>
  <c r="P10" i="27"/>
  <c r="G23" i="12"/>
  <c r="L11" i="27"/>
  <c r="H23" i="12"/>
  <c r="M11" i="27"/>
  <c r="F23" i="22"/>
  <c r="Q11" i="27"/>
  <c r="F23" i="12"/>
  <c r="K11" i="27"/>
  <c r="G23" i="22"/>
  <c r="R11" i="27"/>
  <c r="D23" i="22"/>
  <c r="O11" i="27"/>
  <c r="M63" i="23"/>
  <c r="N62" i="23"/>
  <c r="N15" i="23"/>
  <c r="J12" i="23" s="1"/>
  <c r="Y59" i="23" l="1"/>
  <c r="AD58" i="23"/>
  <c r="AE58" i="23"/>
  <c r="F22" i="22"/>
  <c r="Q9" i="27" s="1"/>
  <c r="Q10" i="27"/>
  <c r="D22" i="12"/>
  <c r="I9" i="27" s="1"/>
  <c r="I10" i="27"/>
  <c r="F22" i="12"/>
  <c r="K9" i="27" s="1"/>
  <c r="K10" i="27"/>
  <c r="D22" i="22"/>
  <c r="O9" i="27" s="1"/>
  <c r="O10" i="27"/>
  <c r="H22" i="12"/>
  <c r="M9" i="27" s="1"/>
  <c r="M10" i="27"/>
  <c r="E22" i="12"/>
  <c r="J9" i="27" s="1"/>
  <c r="J10" i="27"/>
  <c r="G22" i="22"/>
  <c r="R9" i="27" s="1"/>
  <c r="R10" i="27"/>
  <c r="G22" i="12"/>
  <c r="L9" i="27" s="1"/>
  <c r="L10" i="27"/>
  <c r="H22" i="22"/>
  <c r="S9" i="27" s="1"/>
  <c r="S10" i="27"/>
  <c r="M64" i="23"/>
  <c r="N63" i="23"/>
  <c r="N16" i="23"/>
  <c r="K29" i="23" s="1"/>
  <c r="Y60" i="23" l="1"/>
  <c r="AE59" i="23"/>
  <c r="AD59" i="23"/>
  <c r="M65" i="23"/>
  <c r="N64" i="23"/>
  <c r="N17" i="23"/>
  <c r="C5" i="23" a="1"/>
  <c r="D5" i="23" s="1"/>
  <c r="K30" i="23" l="1"/>
  <c r="J13" i="23"/>
  <c r="Y61" i="23"/>
  <c r="AE60" i="23"/>
  <c r="AD60" i="23"/>
  <c r="M66" i="23"/>
  <c r="N65" i="23"/>
  <c r="N18" i="23"/>
  <c r="J14" i="23" s="1"/>
  <c r="C5" i="23"/>
  <c r="H5" i="23"/>
  <c r="F5" i="23"/>
  <c r="K5" i="23"/>
  <c r="J5" i="23"/>
  <c r="E5" i="23"/>
  <c r="I5" i="23"/>
  <c r="G5"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1" i="23" s="1"/>
  <c r="Y63" i="23" l="1"/>
  <c r="AE62" i="23"/>
  <c r="AD62" i="23"/>
  <c r="M68" i="23"/>
  <c r="N67" i="23"/>
  <c r="N20" i="23"/>
  <c r="K32"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5" i="23" l="1"/>
  <c r="K33" i="23"/>
  <c r="Y66" i="23"/>
  <c r="AD65" i="23"/>
  <c r="AE65" i="23"/>
  <c r="G58" i="4"/>
  <c r="S58" i="4" s="1"/>
  <c r="N58" i="4"/>
  <c r="Z58" i="4"/>
  <c r="P58" i="4"/>
  <c r="AB58" i="4"/>
  <c r="M71" i="23"/>
  <c r="N70" i="23"/>
  <c r="N23" i="23"/>
  <c r="K34"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B25" i="21"/>
  <c r="C25" i="21"/>
  <c r="D25" i="21"/>
  <c r="E25" i="21"/>
  <c r="F25" i="21"/>
  <c r="G25" i="21"/>
  <c r="B26" i="21"/>
  <c r="C26" i="21"/>
  <c r="D26" i="21"/>
  <c r="E26" i="21"/>
  <c r="F26" i="21"/>
  <c r="G26" i="21"/>
  <c r="B27" i="21"/>
  <c r="C27" i="21"/>
  <c r="D27" i="21"/>
  <c r="E27" i="21"/>
  <c r="F27" i="21"/>
  <c r="G27" i="21"/>
  <c r="B28" i="21"/>
  <c r="C28" i="21"/>
  <c r="D28" i="21"/>
  <c r="E28" i="21"/>
  <c r="F28" i="21"/>
  <c r="G28" i="21"/>
  <c r="B29" i="21"/>
  <c r="C29" i="21"/>
  <c r="D29" i="21"/>
  <c r="E29" i="21"/>
  <c r="F29" i="21"/>
  <c r="G29" i="21"/>
  <c r="B30" i="21"/>
  <c r="C30" i="21"/>
  <c r="D30" i="21"/>
  <c r="E30" i="21"/>
  <c r="F30" i="21"/>
  <c r="G30" i="21"/>
  <c r="B31" i="21"/>
  <c r="C31" i="21"/>
  <c r="D31" i="21"/>
  <c r="E31" i="21"/>
  <c r="F31" i="21"/>
  <c r="G31" i="21"/>
  <c r="B32" i="21"/>
  <c r="C32" i="21"/>
  <c r="D32" i="21"/>
  <c r="E32" i="21"/>
  <c r="F32" i="21"/>
  <c r="G32" i="21"/>
  <c r="B33" i="21"/>
  <c r="C33" i="21"/>
  <c r="D33" i="21"/>
  <c r="E33" i="21"/>
  <c r="F33" i="21"/>
  <c r="G33" i="21"/>
  <c r="B34" i="21"/>
  <c r="C34" i="21"/>
  <c r="D34" i="21"/>
  <c r="E34" i="21"/>
  <c r="F34" i="21"/>
  <c r="G34" i="21"/>
  <c r="B35" i="21"/>
  <c r="C35" i="21"/>
  <c r="D35" i="21"/>
  <c r="E35" i="21"/>
  <c r="F35" i="21"/>
  <c r="G35" i="21"/>
  <c r="B36" i="21"/>
  <c r="C36" i="21"/>
  <c r="D36" i="21"/>
  <c r="E36" i="21"/>
  <c r="F36" i="21"/>
  <c r="G36" i="21"/>
  <c r="B37" i="21"/>
  <c r="C37" i="21"/>
  <c r="D37" i="21"/>
  <c r="E37" i="21"/>
  <c r="F37" i="21"/>
  <c r="G37" i="21"/>
  <c r="B38" i="21"/>
  <c r="C38" i="21"/>
  <c r="D38" i="21"/>
  <c r="E38" i="21"/>
  <c r="F38" i="21"/>
  <c r="G38" i="21"/>
  <c r="B39" i="21"/>
  <c r="C39" i="21"/>
  <c r="D39" i="21"/>
  <c r="E39" i="21"/>
  <c r="F39" i="21"/>
  <c r="G39" i="21"/>
  <c r="B40" i="21"/>
  <c r="C40" i="21"/>
  <c r="D40" i="21"/>
  <c r="E40" i="21"/>
  <c r="F40" i="21"/>
  <c r="G40" i="21"/>
  <c r="B41" i="21"/>
  <c r="C41" i="21"/>
  <c r="D41" i="21"/>
  <c r="E41" i="21"/>
  <c r="F41" i="21"/>
  <c r="G41" i="21"/>
  <c r="B42" i="21"/>
  <c r="C42" i="21"/>
  <c r="D42" i="21"/>
  <c r="E42" i="21"/>
  <c r="F42" i="21"/>
  <c r="G42" i="21"/>
  <c r="B43" i="21"/>
  <c r="C43" i="21"/>
  <c r="D43" i="21"/>
  <c r="E43" i="21"/>
  <c r="F43" i="21"/>
  <c r="G43" i="21"/>
  <c r="B44" i="21"/>
  <c r="C44" i="21"/>
  <c r="D44" i="21"/>
  <c r="E44" i="21"/>
  <c r="F44" i="21"/>
  <c r="G44" i="21"/>
  <c r="B45" i="21"/>
  <c r="C45" i="21"/>
  <c r="D45" i="21"/>
  <c r="E45" i="21"/>
  <c r="F45" i="21"/>
  <c r="G45" i="21"/>
  <c r="B46" i="21"/>
  <c r="C46" i="21"/>
  <c r="D46" i="21"/>
  <c r="E46" i="21"/>
  <c r="F46" i="21"/>
  <c r="G46" i="21"/>
  <c r="B47" i="21"/>
  <c r="C47" i="21"/>
  <c r="D47" i="21"/>
  <c r="E47" i="21"/>
  <c r="F47" i="21"/>
  <c r="G47" i="21"/>
  <c r="B48" i="21"/>
  <c r="C48" i="21"/>
  <c r="D48" i="21"/>
  <c r="E48" i="21"/>
  <c r="F48" i="21"/>
  <c r="G48" i="21"/>
  <c r="B49" i="21"/>
  <c r="C49" i="21"/>
  <c r="D49" i="21"/>
  <c r="E49" i="21"/>
  <c r="F49" i="21"/>
  <c r="G49" i="21"/>
  <c r="B50" i="21"/>
  <c r="C50" i="21"/>
  <c r="D50" i="21"/>
  <c r="E50" i="21"/>
  <c r="F50" i="21"/>
  <c r="G50" i="21"/>
  <c r="B51" i="21"/>
  <c r="C51" i="21"/>
  <c r="D51" i="21"/>
  <c r="E51" i="21"/>
  <c r="F51" i="21"/>
  <c r="G51" i="21"/>
  <c r="B52" i="21"/>
  <c r="C52" i="21"/>
  <c r="D52" i="21"/>
  <c r="E52" i="21"/>
  <c r="F52" i="21"/>
  <c r="G52" i="21"/>
  <c r="B53" i="21"/>
  <c r="C53" i="21"/>
  <c r="D53" i="21"/>
  <c r="E53" i="21"/>
  <c r="F53" i="21"/>
  <c r="G53" i="21"/>
  <c r="B54" i="21"/>
  <c r="C54" i="21"/>
  <c r="D54" i="21"/>
  <c r="E54" i="21"/>
  <c r="F54" i="21"/>
  <c r="G54" i="21"/>
  <c r="B55" i="21"/>
  <c r="C55" i="21"/>
  <c r="D55" i="21"/>
  <c r="E55" i="21"/>
  <c r="F55" i="21"/>
  <c r="G55" i="21"/>
  <c r="B56" i="21"/>
  <c r="C56" i="21"/>
  <c r="D56" i="21"/>
  <c r="E56" i="21"/>
  <c r="F56" i="21"/>
  <c r="G56" i="21"/>
  <c r="B57" i="21"/>
  <c r="C57" i="21"/>
  <c r="D57" i="21"/>
  <c r="E57" i="21"/>
  <c r="F57" i="21"/>
  <c r="G57" i="21"/>
  <c r="B58" i="21"/>
  <c r="C58" i="21"/>
  <c r="D58" i="21"/>
  <c r="E58" i="21"/>
  <c r="F58" i="21"/>
  <c r="G58" i="21"/>
  <c r="B59" i="21"/>
  <c r="C59" i="21"/>
  <c r="D59" i="21"/>
  <c r="E59" i="21"/>
  <c r="F59" i="21"/>
  <c r="G59" i="21"/>
  <c r="B60" i="21"/>
  <c r="C60" i="21"/>
  <c r="D60" i="21"/>
  <c r="E60" i="21"/>
  <c r="F60" i="21"/>
  <c r="G60" i="21"/>
  <c r="B61" i="21"/>
  <c r="C61" i="21"/>
  <c r="D61" i="21"/>
  <c r="E61" i="21"/>
  <c r="F61" i="21"/>
  <c r="G61" i="21"/>
  <c r="B62" i="21"/>
  <c r="C62" i="21"/>
  <c r="D62" i="21"/>
  <c r="E62" i="21"/>
  <c r="F62" i="21"/>
  <c r="G62" i="21"/>
  <c r="B63" i="21"/>
  <c r="C63" i="21"/>
  <c r="D63" i="21"/>
  <c r="E63" i="21"/>
  <c r="F63" i="21"/>
  <c r="G63" i="21"/>
  <c r="B64" i="21"/>
  <c r="C64" i="21"/>
  <c r="D64" i="21"/>
  <c r="E64" i="21"/>
  <c r="F64" i="21"/>
  <c r="G64" i="21"/>
  <c r="B65" i="21"/>
  <c r="C65" i="21"/>
  <c r="D65" i="21"/>
  <c r="E65" i="21"/>
  <c r="F65" i="21"/>
  <c r="G65" i="21"/>
  <c r="B66" i="21"/>
  <c r="C66" i="21"/>
  <c r="D66" i="21"/>
  <c r="E66" i="21"/>
  <c r="F66" i="21"/>
  <c r="G66" i="21"/>
  <c r="B67" i="21"/>
  <c r="C67" i="21"/>
  <c r="D67" i="21"/>
  <c r="E67" i="21"/>
  <c r="F67" i="21"/>
  <c r="G67" i="21"/>
  <c r="G24" i="21"/>
  <c r="F24" i="21"/>
  <c r="E24" i="21"/>
  <c r="D24" i="21"/>
  <c r="C24" i="21"/>
  <c r="B24" i="21"/>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K35" i="23" l="1"/>
  <c r="J16" i="23"/>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J26" i="21"/>
  <c r="J30" i="21"/>
  <c r="J34" i="21"/>
  <c r="J38" i="21"/>
  <c r="J42" i="21"/>
  <c r="J46" i="21"/>
  <c r="J50" i="21"/>
  <c r="J54" i="21"/>
  <c r="J58" i="21"/>
  <c r="J62" i="21"/>
  <c r="J66" i="21"/>
  <c r="J25" i="21"/>
  <c r="J29" i="21"/>
  <c r="J33" i="21"/>
  <c r="J37" i="21"/>
  <c r="J41" i="21"/>
  <c r="J45" i="21"/>
  <c r="J49" i="21"/>
  <c r="J53" i="21"/>
  <c r="J57" i="21"/>
  <c r="J61" i="21"/>
  <c r="J65" i="21"/>
  <c r="J24" i="21"/>
  <c r="J28" i="21"/>
  <c r="J32" i="21"/>
  <c r="J36" i="21"/>
  <c r="J40" i="21"/>
  <c r="J44" i="21"/>
  <c r="J48" i="21"/>
  <c r="J52" i="21"/>
  <c r="J56" i="21"/>
  <c r="J60" i="21"/>
  <c r="J64" i="21"/>
  <c r="J31" i="21"/>
  <c r="J47" i="21"/>
  <c r="J63" i="21"/>
  <c r="J51" i="21"/>
  <c r="J27" i="21"/>
  <c r="J43" i="21"/>
  <c r="J59" i="21"/>
  <c r="J39" i="21"/>
  <c r="J55" i="21"/>
  <c r="J35" i="21"/>
  <c r="J6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K26" i="21"/>
  <c r="K30" i="21"/>
  <c r="K34" i="21"/>
  <c r="K38" i="21"/>
  <c r="K42" i="21"/>
  <c r="K46" i="21"/>
  <c r="K50" i="21"/>
  <c r="K54" i="21"/>
  <c r="K58" i="21"/>
  <c r="K62" i="21"/>
  <c r="K66" i="21"/>
  <c r="K25" i="21"/>
  <c r="K29" i="21"/>
  <c r="K33" i="21"/>
  <c r="K37" i="21"/>
  <c r="K41" i="21"/>
  <c r="K45" i="21"/>
  <c r="K49" i="21"/>
  <c r="K53" i="21"/>
  <c r="K57" i="21"/>
  <c r="K61" i="21"/>
  <c r="K65" i="21"/>
  <c r="K24" i="21"/>
  <c r="K28" i="21"/>
  <c r="K32" i="21"/>
  <c r="K36" i="21"/>
  <c r="K40" i="21"/>
  <c r="K44" i="21"/>
  <c r="K48" i="21"/>
  <c r="K52" i="21"/>
  <c r="K56" i="21"/>
  <c r="K60" i="21"/>
  <c r="K64" i="21"/>
  <c r="K31" i="21"/>
  <c r="K47" i="21"/>
  <c r="K63" i="21"/>
  <c r="K35" i="21"/>
  <c r="K27" i="21"/>
  <c r="K43" i="21"/>
  <c r="K59" i="21"/>
  <c r="K39" i="21"/>
  <c r="K55" i="21"/>
  <c r="K51" i="21"/>
  <c r="K67" i="21"/>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H25" i="21"/>
  <c r="H29" i="21"/>
  <c r="H33" i="21"/>
  <c r="H37" i="21"/>
  <c r="H41" i="21"/>
  <c r="H45" i="21"/>
  <c r="H49" i="21"/>
  <c r="H53" i="21"/>
  <c r="H57" i="21"/>
  <c r="H61" i="21"/>
  <c r="H65" i="21"/>
  <c r="H28" i="21"/>
  <c r="H32" i="21"/>
  <c r="H36" i="21"/>
  <c r="H40" i="21"/>
  <c r="H44" i="21"/>
  <c r="H48" i="21"/>
  <c r="H52" i="21"/>
  <c r="H56" i="21"/>
  <c r="H60" i="21"/>
  <c r="H64" i="21"/>
  <c r="H27" i="21"/>
  <c r="H31" i="21"/>
  <c r="H35" i="21"/>
  <c r="H39" i="21"/>
  <c r="H43" i="21"/>
  <c r="H47" i="21"/>
  <c r="H51" i="21"/>
  <c r="H55" i="21"/>
  <c r="H59" i="21"/>
  <c r="H63" i="21"/>
  <c r="H67" i="21"/>
  <c r="H26" i="21"/>
  <c r="H42" i="21"/>
  <c r="H58" i="21"/>
  <c r="H24" i="21"/>
  <c r="H38" i="21"/>
  <c r="H54" i="21"/>
  <c r="H46" i="21"/>
  <c r="H34" i="21"/>
  <c r="H50" i="21"/>
  <c r="H66" i="21"/>
  <c r="H62" i="21"/>
  <c r="H30" i="21"/>
  <c r="L27" i="21"/>
  <c r="L31" i="21"/>
  <c r="L35" i="21"/>
  <c r="L39" i="21"/>
  <c r="L43" i="21"/>
  <c r="L47" i="21"/>
  <c r="L51" i="21"/>
  <c r="L55" i="21"/>
  <c r="L59" i="21"/>
  <c r="L63" i="21"/>
  <c r="L67" i="21"/>
  <c r="L26" i="21"/>
  <c r="L30" i="21"/>
  <c r="L34" i="21"/>
  <c r="L38" i="21"/>
  <c r="L42" i="21"/>
  <c r="L46" i="21"/>
  <c r="L50" i="21"/>
  <c r="L54" i="21"/>
  <c r="L58" i="21"/>
  <c r="L62" i="21"/>
  <c r="L66" i="21"/>
  <c r="L25" i="21"/>
  <c r="L29" i="21"/>
  <c r="L33" i="21"/>
  <c r="L37" i="21"/>
  <c r="L41" i="21"/>
  <c r="L45" i="21"/>
  <c r="L49" i="21"/>
  <c r="L53" i="21"/>
  <c r="L57" i="21"/>
  <c r="L61" i="21"/>
  <c r="L65" i="21"/>
  <c r="L24" i="21"/>
  <c r="L36" i="21"/>
  <c r="L52" i="21"/>
  <c r="L56" i="21"/>
  <c r="L32" i="21"/>
  <c r="L48" i="21"/>
  <c r="L64" i="21"/>
  <c r="L28" i="21"/>
  <c r="L44" i="21"/>
  <c r="L60" i="21"/>
  <c r="L40" i="2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I25" i="21"/>
  <c r="I29" i="21"/>
  <c r="I33" i="21"/>
  <c r="I37" i="21"/>
  <c r="I41" i="21"/>
  <c r="I45" i="21"/>
  <c r="I49" i="21"/>
  <c r="I53" i="21"/>
  <c r="I57" i="21"/>
  <c r="I61" i="21"/>
  <c r="I65" i="21"/>
  <c r="I24" i="21"/>
  <c r="I28" i="21"/>
  <c r="I32" i="21"/>
  <c r="I36" i="21"/>
  <c r="I40" i="21"/>
  <c r="I44" i="21"/>
  <c r="I48" i="21"/>
  <c r="I52" i="21"/>
  <c r="I56" i="21"/>
  <c r="I60" i="21"/>
  <c r="I64" i="21"/>
  <c r="I27" i="21"/>
  <c r="I31" i="21"/>
  <c r="I35" i="21"/>
  <c r="I39" i="21"/>
  <c r="I43" i="21"/>
  <c r="I47" i="21"/>
  <c r="I51" i="21"/>
  <c r="I55" i="21"/>
  <c r="I59" i="21"/>
  <c r="I63" i="21"/>
  <c r="I67" i="21"/>
  <c r="I46" i="21"/>
  <c r="I26" i="21"/>
  <c r="I42" i="21"/>
  <c r="I58" i="21"/>
  <c r="I38" i="21"/>
  <c r="I54" i="21"/>
  <c r="I34" i="21"/>
  <c r="I50" i="21"/>
  <c r="I66" i="21"/>
  <c r="I30" i="21"/>
  <c r="I62" i="21"/>
  <c r="M27" i="21"/>
  <c r="M31" i="21"/>
  <c r="M35" i="21"/>
  <c r="M39" i="21"/>
  <c r="M43" i="21"/>
  <c r="M47" i="21"/>
  <c r="M51" i="21"/>
  <c r="M55" i="21"/>
  <c r="M59" i="21"/>
  <c r="M63" i="21"/>
  <c r="M67" i="21"/>
  <c r="M26" i="21"/>
  <c r="M30" i="21"/>
  <c r="M34" i="21"/>
  <c r="M38" i="21"/>
  <c r="M42" i="21"/>
  <c r="M46" i="21"/>
  <c r="M50" i="21"/>
  <c r="M54" i="21"/>
  <c r="M58" i="21"/>
  <c r="M62" i="21"/>
  <c r="M66" i="21"/>
  <c r="M25" i="21"/>
  <c r="M29" i="21"/>
  <c r="M33" i="21"/>
  <c r="M37" i="21"/>
  <c r="M41" i="21"/>
  <c r="M45" i="21"/>
  <c r="M49" i="21"/>
  <c r="M53" i="21"/>
  <c r="M57" i="21"/>
  <c r="M61" i="21"/>
  <c r="M65" i="21"/>
  <c r="M24" i="21"/>
  <c r="M36" i="21"/>
  <c r="M52" i="21"/>
  <c r="M40" i="21"/>
  <c r="M32" i="21"/>
  <c r="M48" i="21"/>
  <c r="M64" i="21"/>
  <c r="M28" i="21"/>
  <c r="M44" i="21"/>
  <c r="M60" i="21"/>
  <c r="M56" i="2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AJ26" i="21"/>
  <c r="AJ29" i="21"/>
  <c r="AJ32" i="21"/>
  <c r="AJ24" i="21"/>
  <c r="AJ27" i="21"/>
  <c r="AJ30" i="21"/>
  <c r="AJ33" i="21"/>
  <c r="AJ25" i="21"/>
  <c r="AJ28" i="21"/>
  <c r="AJ31" i="21"/>
  <c r="AK29" i="21"/>
  <c r="AK32" i="21"/>
  <c r="AK24" i="21"/>
  <c r="AK27" i="21"/>
  <c r="AK30" i="21"/>
  <c r="AK33" i="21"/>
  <c r="AK25" i="21"/>
  <c r="AK28" i="21"/>
  <c r="AK26" i="21"/>
  <c r="AK31" i="2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30" i="21" s="1"/>
  <c r="Y21" i="21"/>
  <c r="Z21" i="21"/>
  <c r="N21" i="21"/>
  <c r="AA21" i="21"/>
  <c r="S21" i="21"/>
  <c r="AB21" i="21"/>
  <c r="R21" i="2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F45" i="11" l="1"/>
  <c r="AI29" i="21"/>
  <c r="AL29" i="21"/>
  <c r="AL28" i="21"/>
  <c r="AL27" i="21"/>
  <c r="AI33" i="21"/>
  <c r="AI24" i="21"/>
  <c r="AL31" i="21"/>
  <c r="AL30" i="21"/>
  <c r="AI32" i="21"/>
  <c r="AI31" i="21"/>
  <c r="AI28" i="21"/>
  <c r="AI27" i="21"/>
  <c r="AL25" i="21"/>
  <c r="AI26" i="21"/>
  <c r="AL26" i="21"/>
  <c r="AL24" i="21"/>
  <c r="AI25" i="21"/>
  <c r="M75" i="23"/>
  <c r="N74" i="23"/>
  <c r="N27" i="23"/>
  <c r="K36" i="23" s="1"/>
  <c r="Q15" i="21"/>
  <c r="W22" i="21" s="1"/>
  <c r="Q12" i="21"/>
  <c r="T22" i="21" s="1"/>
  <c r="Q16" i="21"/>
  <c r="X22" i="21" s="1"/>
  <c r="Q14" i="21"/>
  <c r="V22" i="21" s="1"/>
  <c r="Q13" i="21"/>
  <c r="U22" i="21" s="1"/>
  <c r="F46" i="11" l="1"/>
  <c r="M76" i="23"/>
  <c r="N75" i="23"/>
  <c r="N28" i="23"/>
  <c r="J17" i="23" l="1"/>
  <c r="K37" i="23"/>
  <c r="F47" i="11"/>
  <c r="M77" i="23"/>
  <c r="N76" i="23"/>
  <c r="N29" i="23"/>
  <c r="J18" i="23" s="1"/>
  <c r="F48" i="11" l="1"/>
  <c r="AL32" i="21"/>
  <c r="M78" i="23"/>
  <c r="N77" i="23"/>
  <c r="N30" i="23"/>
  <c r="K38" i="23" s="1"/>
  <c r="F49" i="11" l="1"/>
  <c r="M79" i="23"/>
  <c r="N78" i="23"/>
  <c r="N31" i="23"/>
  <c r="D4" i="11"/>
  <c r="D3" i="11"/>
  <c r="F50" i="11" l="1"/>
  <c r="M80" i="23"/>
  <c r="N79" i="23"/>
  <c r="N32" i="23"/>
  <c r="X7" i="15"/>
  <c r="Y7" i="15"/>
  <c r="Z7" i="15"/>
  <c r="AA7" i="15"/>
  <c r="AB7" i="15"/>
  <c r="AC7" i="15"/>
  <c r="AU18" i="13"/>
  <c r="AV18" i="13" s="1"/>
  <c r="AQ17" i="13"/>
  <c r="AO18" i="13"/>
  <c r="AO17" i="13"/>
  <c r="J19" i="23" l="1"/>
  <c r="K39" i="23"/>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0" i="23" l="1"/>
  <c r="K40" i="23"/>
  <c r="F53" i="11"/>
  <c r="M83" i="23"/>
  <c r="N82" i="23"/>
  <c r="N35" i="23"/>
  <c r="F54" i="11" l="1"/>
  <c r="M84" i="23"/>
  <c r="N83" i="23"/>
  <c r="N36" i="23"/>
  <c r="K41" i="23" s="1"/>
  <c r="J38" i="23" l="1"/>
  <c r="J31" i="23"/>
  <c r="J35" i="23"/>
  <c r="J32" i="23"/>
  <c r="J36" i="23"/>
  <c r="J37" i="23"/>
  <c r="J33" i="23"/>
  <c r="J34" i="23"/>
  <c r="J39" i="23"/>
  <c r="J40" i="23"/>
  <c r="F55" i="11"/>
  <c r="M85" i="23"/>
  <c r="N84" i="23"/>
  <c r="N37" i="23"/>
  <c r="J21" i="23" s="1"/>
  <c r="L55" i="1" l="1"/>
  <c r="F56" i="11"/>
  <c r="AL33" i="21"/>
  <c r="M86" i="23"/>
  <c r="N85" i="23"/>
  <c r="N38" i="23"/>
  <c r="K42" i="23"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2" i="23" l="1"/>
  <c r="K43" i="23"/>
  <c r="F58" i="11"/>
  <c r="L56" i="1"/>
  <c r="M88" i="23"/>
  <c r="N87" i="23"/>
  <c r="N40" i="23"/>
  <c r="B27" i="11"/>
  <c r="F59" i="11" l="1"/>
  <c r="L57" i="1"/>
  <c r="M89" i="23"/>
  <c r="N88" i="23"/>
  <c r="N41" i="23"/>
  <c r="B28" i="11"/>
  <c r="AV21" i="11"/>
  <c r="J23" i="23" l="1"/>
  <c r="K44" i="23"/>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5" i="23"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4" i="23" s="1"/>
  <c r="B31" i="11"/>
  <c r="AL37" i="13" l="1"/>
  <c r="F63" i="11"/>
  <c r="L61" i="1"/>
  <c r="M93" i="23"/>
  <c r="N92" i="23"/>
  <c r="N45" i="23"/>
  <c r="K46" i="23"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5" i="23" l="1"/>
  <c r="K47" i="23"/>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48" i="23" s="1"/>
  <c r="B35" i="11"/>
  <c r="AG12" i="4"/>
  <c r="AG13" i="4"/>
  <c r="AG14" i="4"/>
  <c r="AG15" i="4"/>
  <c r="B34" i="13" l="1"/>
  <c r="F67" i="11"/>
  <c r="L65" i="1"/>
  <c r="M97" i="23"/>
  <c r="N96" i="23"/>
  <c r="N49" i="23"/>
  <c r="B36" i="11"/>
  <c r="AC55" i="4"/>
  <c r="AA55" i="4"/>
  <c r="AA56" i="4" s="1"/>
  <c r="AA57" i="4" s="1"/>
  <c r="AA58" i="4" s="1"/>
  <c r="AK58" i="4" s="1"/>
  <c r="AI55" i="4"/>
  <c r="AG11" i="4"/>
  <c r="AG10" i="4"/>
  <c r="R17" i="13" s="1"/>
  <c r="J26" i="23" l="1"/>
  <c r="K49" i="23"/>
  <c r="J41" i="23"/>
  <c r="J42" i="23"/>
  <c r="J43" i="23"/>
  <c r="J44" i="23"/>
  <c r="J45" i="23"/>
  <c r="AN34" i="13"/>
  <c r="AR34" i="13"/>
  <c r="AQ34" i="13"/>
  <c r="AP34" i="13"/>
  <c r="AO34" i="13"/>
  <c r="B35" i="13"/>
  <c r="S25" i="21"/>
  <c r="Q38" i="21"/>
  <c r="S63" i="21"/>
  <c r="O24" i="21"/>
  <c r="P32" i="21"/>
  <c r="N50" i="21"/>
  <c r="R43" i="21"/>
  <c r="S57" i="21"/>
  <c r="P60" i="21"/>
  <c r="S34" i="21"/>
  <c r="S48" i="21"/>
  <c r="O57" i="21"/>
  <c r="N39" i="21"/>
  <c r="S30" i="21"/>
  <c r="R24" i="21"/>
  <c r="P50" i="21"/>
  <c r="Q42" i="21"/>
  <c r="S65" i="21"/>
  <c r="R35" i="21"/>
  <c r="P30" i="21"/>
  <c r="Q64" i="21"/>
  <c r="S45" i="21"/>
  <c r="O46" i="21"/>
  <c r="P65" i="21"/>
  <c r="N42" i="21"/>
  <c r="O59" i="21"/>
  <c r="R65" i="21"/>
  <c r="O49" i="21"/>
  <c r="Q44" i="21"/>
  <c r="N52" i="21"/>
  <c r="R32" i="21"/>
  <c r="O48" i="21"/>
  <c r="Q39" i="21"/>
  <c r="N27" i="21"/>
  <c r="O61" i="21"/>
  <c r="P28" i="21"/>
  <c r="P24" i="21"/>
  <c r="S67" i="21"/>
  <c r="R40" i="21"/>
  <c r="N56" i="21"/>
  <c r="P27" i="21"/>
  <c r="Q50" i="21"/>
  <c r="P55" i="21"/>
  <c r="S52" i="21"/>
  <c r="P38" i="21"/>
  <c r="P47" i="21"/>
  <c r="R42" i="21"/>
  <c r="N61" i="21"/>
  <c r="P45" i="21"/>
  <c r="N65" i="21"/>
  <c r="N57" i="21"/>
  <c r="P52" i="21"/>
  <c r="R39" i="21"/>
  <c r="P46" i="21"/>
  <c r="S47" i="21"/>
  <c r="P64" i="21"/>
  <c r="P67" i="21"/>
  <c r="N46" i="21"/>
  <c r="R46" i="21"/>
  <c r="S56" i="21"/>
  <c r="N36" i="21"/>
  <c r="R51" i="21"/>
  <c r="Q43" i="21"/>
  <c r="O60" i="21"/>
  <c r="S39" i="21"/>
  <c r="N58" i="21"/>
  <c r="S31" i="21"/>
  <c r="O67" i="21"/>
  <c r="P41" i="21"/>
  <c r="N45" i="21"/>
  <c r="O30" i="21"/>
  <c r="S53" i="21"/>
  <c r="P37" i="21"/>
  <c r="R67" i="21"/>
  <c r="S62" i="21"/>
  <c r="O25" i="21"/>
  <c r="N28" i="21"/>
  <c r="S42" i="21"/>
  <c r="O34" i="21"/>
  <c r="P44" i="21"/>
  <c r="N62" i="21"/>
  <c r="S49" i="21"/>
  <c r="R38" i="21"/>
  <c r="P43" i="21"/>
  <c r="Q66" i="21"/>
  <c r="S66" i="21"/>
  <c r="O51" i="21"/>
  <c r="P33" i="21"/>
  <c r="N67" i="21"/>
  <c r="S40" i="21"/>
  <c r="R33" i="21"/>
  <c r="P62" i="21"/>
  <c r="Q57" i="21"/>
  <c r="N49" i="21"/>
  <c r="R61" i="21"/>
  <c r="O45" i="21"/>
  <c r="Q40" i="21"/>
  <c r="N48" i="21"/>
  <c r="O58" i="21"/>
  <c r="O64" i="21"/>
  <c r="S37" i="21"/>
  <c r="P59" i="21"/>
  <c r="S36" i="21"/>
  <c r="Q49" i="21"/>
  <c r="O31" i="21"/>
  <c r="Q56" i="21"/>
  <c r="O37" i="21"/>
  <c r="O32" i="21"/>
  <c r="O52" i="21"/>
  <c r="O26" i="21"/>
  <c r="O53" i="21"/>
  <c r="R63" i="21"/>
  <c r="R50" i="21"/>
  <c r="Q37" i="21"/>
  <c r="R45" i="21"/>
  <c r="Q24" i="21"/>
  <c r="N32" i="21"/>
  <c r="U32" i="21" s="1"/>
  <c r="Q26" i="21"/>
  <c r="Q51" i="21"/>
  <c r="O40" i="21"/>
  <c r="O27" i="21"/>
  <c r="P66" i="21"/>
  <c r="S58" i="21"/>
  <c r="N33" i="21"/>
  <c r="N63" i="21"/>
  <c r="N34" i="21"/>
  <c r="Q32" i="21"/>
  <c r="Q30" i="21"/>
  <c r="N40" i="21"/>
  <c r="N53" i="21"/>
  <c r="S29" i="21"/>
  <c r="Q29" i="21"/>
  <c r="O33" i="21"/>
  <c r="P56" i="21"/>
  <c r="R36" i="21"/>
  <c r="R64" i="21"/>
  <c r="N59" i="21"/>
  <c r="R53" i="21"/>
  <c r="N26" i="21"/>
  <c r="R48" i="21"/>
  <c r="O28" i="21"/>
  <c r="Q55" i="21"/>
  <c r="N43" i="21"/>
  <c r="O44" i="21"/>
  <c r="R44" i="21"/>
  <c r="Q52" i="21"/>
  <c r="O62" i="21"/>
  <c r="S59" i="21"/>
  <c r="P35" i="21"/>
  <c r="S43" i="21"/>
  <c r="O35" i="21"/>
  <c r="P53" i="21"/>
  <c r="N30" i="21"/>
  <c r="S24" i="21"/>
  <c r="P34" i="21"/>
  <c r="Q34" i="21"/>
  <c r="S55" i="21"/>
  <c r="Q47" i="21"/>
  <c r="N35" i="21"/>
  <c r="R54" i="21"/>
  <c r="Q45" i="21"/>
  <c r="R29" i="21"/>
  <c r="P58" i="21"/>
  <c r="N29" i="21"/>
  <c r="N51" i="21"/>
  <c r="R55" i="21"/>
  <c r="N64" i="21"/>
  <c r="R41" i="21"/>
  <c r="Q61" i="21"/>
  <c r="S27" i="21"/>
  <c r="R60" i="21"/>
  <c r="N55" i="21"/>
  <c r="P36" i="21"/>
  <c r="N54" i="21"/>
  <c r="Q48" i="21"/>
  <c r="S46" i="21"/>
  <c r="S33" i="21"/>
  <c r="P42" i="21"/>
  <c r="O29" i="21"/>
  <c r="R30" i="21"/>
  <c r="R31" i="21"/>
  <c r="R28" i="21"/>
  <c r="Q35" i="21"/>
  <c r="S35" i="21"/>
  <c r="R27" i="21"/>
  <c r="Q65" i="21"/>
  <c r="O42" i="21"/>
  <c r="S38" i="21"/>
  <c r="Q46" i="21"/>
  <c r="O39" i="21"/>
  <c r="S64" i="21"/>
  <c r="R56" i="21"/>
  <c r="S28" i="21"/>
  <c r="O63" i="21"/>
  <c r="P51" i="21"/>
  <c r="R49" i="21"/>
  <c r="R26" i="21"/>
  <c r="N37" i="21"/>
  <c r="O56" i="21"/>
  <c r="P25" i="21"/>
  <c r="P40" i="21"/>
  <c r="S61" i="21"/>
  <c r="R66" i="21"/>
  <c r="P26" i="21"/>
  <c r="Q60" i="21"/>
  <c r="S60" i="21"/>
  <c r="Q31" i="21"/>
  <c r="O66" i="21"/>
  <c r="N41" i="21"/>
  <c r="Q63" i="21"/>
  <c r="R62" i="21"/>
  <c r="Q67" i="21"/>
  <c r="N24" i="21"/>
  <c r="R57" i="21"/>
  <c r="O41" i="21"/>
  <c r="Q36" i="21"/>
  <c r="N44" i="21"/>
  <c r="R52" i="21"/>
  <c r="O36" i="21"/>
  <c r="Q59" i="21"/>
  <c r="N47" i="21"/>
  <c r="R37" i="21"/>
  <c r="P63" i="21"/>
  <c r="Q53" i="21"/>
  <c r="S44" i="21"/>
  <c r="S51" i="21"/>
  <c r="O47" i="21"/>
  <c r="P61" i="21"/>
  <c r="N38" i="21"/>
  <c r="S50" i="21"/>
  <c r="O38" i="21"/>
  <c r="P48" i="21"/>
  <c r="N66" i="21"/>
  <c r="P49" i="21"/>
  <c r="S41" i="21"/>
  <c r="R34" i="21"/>
  <c r="P39" i="21"/>
  <c r="Q62" i="21"/>
  <c r="S26" i="21"/>
  <c r="Q25" i="21"/>
  <c r="O43" i="21"/>
  <c r="N60" i="21"/>
  <c r="Q33" i="21"/>
  <c r="O50" i="21"/>
  <c r="Q58" i="21"/>
  <c r="S32" i="21"/>
  <c r="R25" i="21"/>
  <c r="P54" i="21"/>
  <c r="Q41" i="21"/>
  <c r="R59" i="21"/>
  <c r="O65" i="21"/>
  <c r="Q27" i="21"/>
  <c r="N25" i="21"/>
  <c r="R58" i="21"/>
  <c r="P31" i="21"/>
  <c r="Q54" i="21"/>
  <c r="S54" i="21"/>
  <c r="R47" i="21"/>
  <c r="O55" i="21"/>
  <c r="P29" i="21"/>
  <c r="P57" i="21"/>
  <c r="O54" i="21"/>
  <c r="Q28" i="21"/>
  <c r="N31"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c r="AF40" i="11" l="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AT32" i="21" s="1"/>
  <c r="AY32" i="21" s="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27" i="23"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C34" i="21"/>
  <c r="AC30" i="21"/>
  <c r="AC36" i="21"/>
  <c r="AC31" i="21"/>
  <c r="AC28" i="21"/>
  <c r="AC32" i="21"/>
  <c r="AC25" i="21"/>
  <c r="AC35" i="21"/>
  <c r="AC29" i="21"/>
  <c r="AC27" i="21"/>
  <c r="AC26" i="21"/>
  <c r="AC24" i="21"/>
  <c r="AC33" i="21"/>
  <c r="AC37" i="21"/>
  <c r="AC53" i="21"/>
  <c r="AC57" i="21"/>
  <c r="AC55" i="21"/>
  <c r="AC46" i="21"/>
  <c r="AC56" i="21"/>
  <c r="AC39" i="21"/>
  <c r="AC40" i="21"/>
  <c r="AC54" i="21"/>
  <c r="AC44" i="21"/>
  <c r="AC48" i="21"/>
  <c r="AC51" i="21"/>
  <c r="AC42" i="21"/>
  <c r="AC41" i="21"/>
  <c r="AC38" i="21"/>
  <c r="AC47" i="21"/>
  <c r="AC50" i="21"/>
  <c r="AC49" i="21"/>
  <c r="AC52" i="21"/>
  <c r="AC45" i="21"/>
  <c r="AC43" i="21"/>
  <c r="AA38" i="11"/>
  <c r="AA24" i="11"/>
  <c r="AA34" i="11"/>
  <c r="AA42" i="11"/>
  <c r="AA39" i="11"/>
  <c r="AA40" i="11"/>
  <c r="AA44" i="11"/>
  <c r="AA33" i="11"/>
  <c r="AA28" i="11"/>
  <c r="AA36" i="11"/>
  <c r="AA41" i="11"/>
  <c r="AA32" i="11"/>
  <c r="AA49" i="11"/>
  <c r="AA26" i="11"/>
  <c r="AA29" i="11"/>
  <c r="AA25" i="11"/>
  <c r="AA31" i="11"/>
  <c r="AA30" i="11"/>
  <c r="AA45" i="11"/>
  <c r="AA46" i="11"/>
  <c r="AA35" i="11"/>
  <c r="AA47" i="11"/>
  <c r="AA37" i="11"/>
  <c r="AA27" i="11"/>
  <c r="AA48" i="11"/>
  <c r="AA50" i="11"/>
  <c r="AA43" i="11"/>
  <c r="AA51" i="21"/>
  <c r="AB46" i="21"/>
  <c r="AB30" i="11"/>
  <c r="AA52" i="21"/>
  <c r="Y28" i="21"/>
  <c r="AB26" i="21"/>
  <c r="AC35" i="11"/>
  <c r="Z35" i="21"/>
  <c r="AA45" i="21"/>
  <c r="AB27" i="21"/>
  <c r="AB47" i="21"/>
  <c r="AB31" i="11"/>
  <c r="Y53" i="21"/>
  <c r="AB27" i="11"/>
  <c r="Z40" i="21"/>
  <c r="AC46" i="11"/>
  <c r="AC47" i="11"/>
  <c r="Y55" i="21"/>
  <c r="AC40" i="11"/>
  <c r="AC49" i="11"/>
  <c r="AC51" i="11"/>
  <c r="AA40" i="21"/>
  <c r="Y24" i="21"/>
  <c r="Z52" i="21"/>
  <c r="Z42" i="21"/>
  <c r="AA41" i="21"/>
  <c r="AC37" i="11"/>
  <c r="AA35" i="21"/>
  <c r="AA56" i="21"/>
  <c r="Y27" i="21"/>
  <c r="AC48" i="11"/>
  <c r="Y39" i="21"/>
  <c r="AB28" i="11"/>
  <c r="AB25" i="21"/>
  <c r="AB38" i="21"/>
  <c r="AB36" i="11"/>
  <c r="AC54" i="11"/>
  <c r="AB24" i="11"/>
  <c r="AA36" i="21"/>
  <c r="Z34" i="21"/>
  <c r="Z47" i="21"/>
  <c r="AB33" i="21"/>
  <c r="AA57" i="21"/>
  <c r="AA30" i="21"/>
  <c r="AB29" i="21"/>
  <c r="AC42" i="11"/>
  <c r="Y25" i="21"/>
  <c r="Y46" i="21"/>
  <c r="Y32" i="21"/>
  <c r="AC28" i="11"/>
  <c r="AB32" i="11"/>
  <c r="AA29" i="21"/>
  <c r="Y51" i="21"/>
  <c r="Z29" i="21"/>
  <c r="AB24" i="21"/>
  <c r="AB25" i="11"/>
  <c r="AB49" i="21"/>
  <c r="AC44" i="11"/>
  <c r="Z41" i="21"/>
  <c r="AB48" i="21"/>
  <c r="AC53" i="11"/>
  <c r="AB31" i="21"/>
  <c r="AB39" i="21"/>
  <c r="Y40" i="21"/>
  <c r="AC50" i="11"/>
  <c r="AB37" i="21"/>
  <c r="Z50" i="21"/>
  <c r="Z55" i="21"/>
  <c r="Y54" i="21"/>
  <c r="Y33" i="21"/>
  <c r="AC31" i="11"/>
  <c r="AA25" i="21"/>
  <c r="AB51" i="21"/>
  <c r="AB42" i="21"/>
  <c r="AC41" i="11"/>
  <c r="Z38" i="21"/>
  <c r="AB36" i="21"/>
  <c r="Z30" i="21"/>
  <c r="Z53" i="21"/>
  <c r="AC36" i="11"/>
  <c r="AC26" i="11"/>
  <c r="AA44" i="21"/>
  <c r="Z49" i="21"/>
  <c r="AB35" i="21"/>
  <c r="AC30" i="11"/>
  <c r="Z45" i="21"/>
  <c r="AA27" i="21"/>
  <c r="AC38" i="11"/>
  <c r="Y38" i="21"/>
  <c r="AC27" i="11"/>
  <c r="AC45" i="11"/>
  <c r="AA37" i="21"/>
  <c r="AA32" i="21"/>
  <c r="AB45" i="21"/>
  <c r="AC25" i="11"/>
  <c r="AB30" i="21"/>
  <c r="AC29" i="11"/>
  <c r="Y29" i="21"/>
  <c r="AA38" i="21"/>
  <c r="Y48" i="21"/>
  <c r="Z33" i="21"/>
  <c r="AC34" i="11"/>
  <c r="AA49" i="21"/>
  <c r="Z27" i="21"/>
  <c r="AB33" i="11"/>
  <c r="Z28" i="21"/>
  <c r="Z51" i="21"/>
  <c r="Y56" i="21"/>
  <c r="AA48" i="21"/>
  <c r="AB41" i="21"/>
  <c r="Y42" i="21"/>
  <c r="AA33" i="21"/>
  <c r="Y31" i="21"/>
  <c r="AA34" i="21"/>
  <c r="AC57" i="11"/>
  <c r="Z31" i="21"/>
  <c r="Z56" i="21"/>
  <c r="AB38" i="11"/>
  <c r="AA26" i="21"/>
  <c r="AC52" i="11"/>
  <c r="Z26" i="21"/>
  <c r="AA47" i="21"/>
  <c r="Z39" i="21"/>
  <c r="Y50" i="21"/>
  <c r="AC24" i="11"/>
  <c r="AB26" i="11"/>
  <c r="Z48" i="21"/>
  <c r="Y37" i="21"/>
  <c r="AA24" i="21"/>
  <c r="AA53" i="21"/>
  <c r="AB28" i="21"/>
  <c r="AB39" i="11"/>
  <c r="AB29" i="11"/>
  <c r="AC55" i="11"/>
  <c r="Y35" i="21"/>
  <c r="Y30" i="21"/>
  <c r="Z46" i="21"/>
  <c r="Z36" i="21"/>
  <c r="AA54" i="21"/>
  <c r="Y52" i="21"/>
  <c r="Y43" i="21"/>
  <c r="AB44" i="21"/>
  <c r="AC43" i="11"/>
  <c r="Z57" i="21"/>
  <c r="Z54" i="21"/>
  <c r="AC32" i="11"/>
  <c r="Y57" i="21"/>
  <c r="Y41" i="21"/>
  <c r="Y47" i="21"/>
  <c r="AB34" i="21"/>
  <c r="AA39" i="21"/>
  <c r="AC56" i="11"/>
  <c r="Y26" i="21"/>
  <c r="AC33" i="11"/>
  <c r="AB40" i="21"/>
  <c r="AB32" i="21"/>
  <c r="AC39" i="11"/>
  <c r="AA28" i="21"/>
  <c r="AB43" i="21"/>
  <c r="AB34" i="11"/>
  <c r="Z25" i="21"/>
  <c r="Z37" i="21"/>
  <c r="Y49" i="21"/>
  <c r="AA42" i="21"/>
  <c r="AA50" i="21"/>
  <c r="Z44" i="21"/>
  <c r="AB50" i="21"/>
  <c r="AB35" i="11"/>
  <c r="AA46" i="21"/>
  <c r="Y45" i="21"/>
  <c r="AA55" i="21"/>
  <c r="AB37" i="11"/>
  <c r="AA43" i="21"/>
  <c r="AA31" i="21"/>
  <c r="Y34" i="21"/>
  <c r="Z43" i="21"/>
  <c r="Z24" i="21"/>
  <c r="Y36" i="21"/>
  <c r="Y44" i="21"/>
  <c r="AU45" i="11" l="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W29" i="21"/>
  <c r="BB29" i="21" s="1"/>
  <c r="AU29" i="21"/>
  <c r="AZ29" i="21" s="1"/>
  <c r="AT29" i="21"/>
  <c r="AY29" i="21" s="1"/>
  <c r="AS29" i="21"/>
  <c r="AX29" i="21" s="1"/>
  <c r="AV27" i="21"/>
  <c r="BA27" i="21" s="1"/>
  <c r="AS27" i="21"/>
  <c r="AX27" i="21" s="1"/>
  <c r="AS30" i="21"/>
  <c r="AX30" i="21" s="1"/>
  <c r="AT30" i="21"/>
  <c r="AY30" i="21" s="1"/>
  <c r="AU30" i="21"/>
  <c r="AZ30" i="21" s="1"/>
  <c r="AU32" i="21"/>
  <c r="AZ32" i="21" s="1"/>
  <c r="AW30" i="21"/>
  <c r="BB30" i="21" s="1"/>
  <c r="AS32" i="21"/>
  <c r="AX32" i="21" s="1"/>
  <c r="AW27" i="21"/>
  <c r="BB27" i="21" s="1"/>
  <c r="AT27" i="21"/>
  <c r="AY27" i="21" s="1"/>
  <c r="AW32" i="21"/>
  <c r="BB32" i="21" s="1"/>
  <c r="AU25" i="21"/>
  <c r="AZ25" i="21" s="1"/>
  <c r="AV32" i="21"/>
  <c r="BA32" i="21" s="1"/>
  <c r="AV28" i="21"/>
  <c r="BA28" i="21" s="1"/>
  <c r="AV30" i="21"/>
  <c r="BA30" i="21" s="1"/>
  <c r="AV26" i="21"/>
  <c r="BA26" i="21" s="1"/>
  <c r="AW25" i="21"/>
  <c r="BB25" i="21" s="1"/>
  <c r="AS25" i="21"/>
  <c r="AX25" i="21" s="1"/>
  <c r="AT25" i="21"/>
  <c r="AY25" i="21" s="1"/>
  <c r="AW28" i="21"/>
  <c r="BB28" i="21" s="1"/>
  <c r="AT28" i="21"/>
  <c r="AY28" i="21" s="1"/>
  <c r="AS28" i="21"/>
  <c r="AX28" i="21" s="1"/>
  <c r="AU26" i="21"/>
  <c r="AZ26" i="21" s="1"/>
  <c r="AS26" i="21"/>
  <c r="AX26" i="21" s="1"/>
  <c r="AW26" i="21"/>
  <c r="BB26" i="21" s="1"/>
  <c r="AV25" i="21"/>
  <c r="BA25" i="21" s="1"/>
  <c r="AV31" i="21"/>
  <c r="BA31" i="21" s="1"/>
  <c r="AU28" i="21"/>
  <c r="AZ28" i="21" s="1"/>
  <c r="AT31" i="21"/>
  <c r="AY31" i="21" s="1"/>
  <c r="AW31" i="21"/>
  <c r="BB31" i="21" s="1"/>
  <c r="AU31" i="21"/>
  <c r="AZ31" i="21" s="1"/>
  <c r="AU27" i="21"/>
  <c r="AZ27" i="21" s="1"/>
  <c r="AT26" i="21"/>
  <c r="AY26" i="21" s="1"/>
  <c r="AS31" i="21"/>
  <c r="AX31" i="21" s="1"/>
  <c r="AV29" i="21"/>
  <c r="BA29" i="21" s="1"/>
  <c r="M100" i="23"/>
  <c r="N99" i="23"/>
  <c r="N52" i="23"/>
  <c r="AV37" i="21"/>
  <c r="BA37" i="21" s="1"/>
  <c r="AV24" i="21"/>
  <c r="BA24" i="21" s="1"/>
  <c r="AV35" i="21"/>
  <c r="BA35" i="21" s="1"/>
  <c r="AV33" i="21"/>
  <c r="BA33" i="21" s="1"/>
  <c r="AV34" i="21"/>
  <c r="BA34" i="21" s="1"/>
  <c r="AV36" i="21"/>
  <c r="BA36" i="21" s="1"/>
  <c r="Q51" i="11"/>
  <c r="R40" i="11"/>
  <c r="AG40" i="11" s="1"/>
  <c r="AS35" i="21"/>
  <c r="AX35" i="21" s="1"/>
  <c r="AT33" i="21"/>
  <c r="AY33" i="21" s="1"/>
  <c r="AU36" i="21"/>
  <c r="AZ36" i="21" s="1"/>
  <c r="AU34" i="21"/>
  <c r="AZ34" i="21" s="1"/>
  <c r="AS33" i="21"/>
  <c r="AX33" i="21" s="1"/>
  <c r="AT34" i="21"/>
  <c r="AY34" i="21" s="1"/>
  <c r="AU35" i="21"/>
  <c r="AZ35" i="21" s="1"/>
  <c r="AW33" i="21"/>
  <c r="BB33" i="21" s="1"/>
  <c r="AW36" i="21"/>
  <c r="BB36" i="21" s="1"/>
  <c r="AW35" i="21"/>
  <c r="BB35" i="21" s="1"/>
  <c r="AU33" i="21"/>
  <c r="AZ33" i="21" s="1"/>
  <c r="AT36" i="21"/>
  <c r="AY36" i="21" s="1"/>
  <c r="AS34" i="21"/>
  <c r="AX34" i="21" s="1"/>
  <c r="AS36" i="21"/>
  <c r="AX36" i="21" s="1"/>
  <c r="AT35" i="21"/>
  <c r="AY35" i="21" s="1"/>
  <c r="AW34" i="21"/>
  <c r="BB34" i="21" s="1"/>
  <c r="T59" i="21"/>
  <c r="AH59" i="21"/>
  <c r="X59" i="21"/>
  <c r="AF59" i="21"/>
  <c r="V59" i="21"/>
  <c r="U59" i="21"/>
  <c r="AF58" i="21"/>
  <c r="X58" i="21"/>
  <c r="T58" i="21"/>
  <c r="V58" i="21"/>
  <c r="AH58" i="21"/>
  <c r="U58" i="21"/>
  <c r="AW24" i="21"/>
  <c r="BB24" i="21" s="1"/>
  <c r="AT24" i="21"/>
  <c r="AY24" i="21" s="1"/>
  <c r="AU24" i="21"/>
  <c r="AZ24" i="21" s="1"/>
  <c r="AS24" i="21"/>
  <c r="AX24" i="21" s="1"/>
  <c r="R41" i="11"/>
  <c r="AG41" i="11" s="1"/>
  <c r="Q52" i="11"/>
  <c r="AF52" i="11" s="1"/>
  <c r="AG52" i="21"/>
  <c r="W52" i="21"/>
  <c r="AF59" i="13"/>
  <c r="X59" i="11"/>
  <c r="X58" i="11"/>
  <c r="AF58" i="13"/>
  <c r="AH58" i="13"/>
  <c r="AE58" i="13"/>
  <c r="AD58" i="13"/>
  <c r="AG40" i="13"/>
  <c r="B39" i="11"/>
  <c r="AI57" i="4"/>
  <c r="AI58" i="4"/>
  <c r="AC58" i="4"/>
  <c r="AC59" i="21"/>
  <c r="AC58" i="21"/>
  <c r="AC58" i="11"/>
  <c r="Y58" i="21"/>
  <c r="Z58" i="21"/>
  <c r="AB52" i="21"/>
  <c r="Z59" i="21"/>
  <c r="AC59" i="11"/>
  <c r="AA58" i="21"/>
  <c r="Y59" i="21"/>
  <c r="AA59" i="21"/>
  <c r="V51" i="11" l="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28" i="23"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51" i="11"/>
  <c r="AC60" i="21"/>
  <c r="AA52" i="11"/>
  <c r="Y60" i="21"/>
  <c r="Z60" i="21"/>
  <c r="AA60" i="21"/>
  <c r="AB41" i="11"/>
  <c r="AB53" i="21"/>
  <c r="AB40" i="11"/>
  <c r="AC60" i="11"/>
  <c r="AU51" i="11" l="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C61" i="21"/>
  <c r="AA53" i="11"/>
  <c r="AA61" i="21"/>
  <c r="Y61" i="21"/>
  <c r="AC61" i="11"/>
  <c r="AB42" i="11"/>
  <c r="Z61" i="21"/>
  <c r="AB54" i="21"/>
  <c r="AU53" i="11" l="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C62" i="21"/>
  <c r="AA54" i="11"/>
  <c r="AA62" i="21"/>
  <c r="Z62" i="21"/>
  <c r="AC62" i="11"/>
  <c r="Y62" i="21"/>
  <c r="AB43" i="11"/>
  <c r="AB55" i="21"/>
  <c r="AU54" i="11" l="1"/>
  <c r="AV43" i="11"/>
  <c r="AW62" i="11"/>
  <c r="AN40" i="13"/>
  <c r="AO40" i="13"/>
  <c r="AQ40" i="13"/>
  <c r="AR40" i="13"/>
  <c r="AP40" i="13"/>
  <c r="B41" i="13"/>
  <c r="N103" i="23"/>
  <c r="M104" i="23"/>
  <c r="N56" i="23"/>
  <c r="J29" i="23" s="1"/>
  <c r="V63" i="21"/>
  <c r="T63" i="21"/>
  <c r="AF63" i="21"/>
  <c r="X63" i="21"/>
  <c r="AH63" i="21"/>
  <c r="U63" i="21"/>
  <c r="V55" i="11"/>
  <c r="Q56" i="11"/>
  <c r="AF56" i="11" s="1"/>
  <c r="R45" i="11"/>
  <c r="AG45" i="11" s="1"/>
  <c r="W56" i="21"/>
  <c r="AG56" i="21"/>
  <c r="W44" i="11"/>
  <c r="X63" i="11"/>
  <c r="AE63" i="13"/>
  <c r="AD63" i="13"/>
  <c r="AH63" i="13"/>
  <c r="AF63" i="13"/>
  <c r="B43" i="11"/>
  <c r="AC63" i="21"/>
  <c r="AA55" i="11"/>
  <c r="AB44" i="11"/>
  <c r="AC63" i="11"/>
  <c r="Y63" i="21"/>
  <c r="AB56" i="21"/>
  <c r="AA63" i="21"/>
  <c r="Z63" i="21"/>
  <c r="AU55" i="11" l="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C64" i="21"/>
  <c r="AA56" i="11"/>
  <c r="AC64" i="11"/>
  <c r="AB57" i="21"/>
  <c r="Z64" i="21"/>
  <c r="Y64" i="21"/>
  <c r="AA64" i="21"/>
  <c r="AB45" i="11"/>
  <c r="AU56" i="11" l="1"/>
  <c r="AW64" i="11"/>
  <c r="AV45" i="11"/>
  <c r="AQ42" i="13"/>
  <c r="AR42" i="13"/>
  <c r="AP42" i="13"/>
  <c r="AN42" i="13"/>
  <c r="AO42" i="13"/>
  <c r="AG42" i="13"/>
  <c r="F43" i="13"/>
  <c r="B43" i="13"/>
  <c r="M106" i="23"/>
  <c r="N105" i="23"/>
  <c r="N58" i="23"/>
  <c r="J30" i="23" s="1"/>
  <c r="V65" i="21"/>
  <c r="AF65" i="21"/>
  <c r="T65" i="21"/>
  <c r="X65" i="21"/>
  <c r="U65" i="21"/>
  <c r="AH65" i="21"/>
  <c r="R47" i="11"/>
  <c r="AG47" i="11" s="1"/>
  <c r="Q58" i="11"/>
  <c r="AF58" i="11" s="1"/>
  <c r="V57" i="11"/>
  <c r="AG58" i="21"/>
  <c r="W58" i="21"/>
  <c r="W46" i="11"/>
  <c r="X65" i="11"/>
  <c r="AE65" i="13"/>
  <c r="AH65" i="13"/>
  <c r="AF65" i="13"/>
  <c r="AD65" i="13"/>
  <c r="B45" i="11"/>
  <c r="AC65" i="21"/>
  <c r="AA57" i="11"/>
  <c r="AB46" i="11"/>
  <c r="AA65" i="21"/>
  <c r="AB58" i="21"/>
  <c r="Z65" i="21"/>
  <c r="AC65" i="11"/>
  <c r="Y65" i="21"/>
  <c r="AU57" i="11" l="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C66" i="21"/>
  <c r="AC67" i="21"/>
  <c r="AA58" i="11"/>
  <c r="AC66" i="11"/>
  <c r="Z67" i="21"/>
  <c r="Z66" i="21"/>
  <c r="AA66" i="21"/>
  <c r="AA67" i="21"/>
  <c r="AB47" i="11"/>
  <c r="AC67" i="11"/>
  <c r="Y67" i="21"/>
  <c r="Y66" i="21"/>
  <c r="AB59" i="21"/>
  <c r="AU58" i="11" l="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J42" i="21"/>
  <c r="AE42" i="21" s="1"/>
  <c r="AT42" i="21" s="1"/>
  <c r="AY42" i="21" s="1"/>
  <c r="AM46" i="13"/>
  <c r="AJ42" i="13"/>
  <c r="AE42" i="13" s="1"/>
  <c r="AK42" i="13"/>
  <c r="AL42" i="11"/>
  <c r="AM44" i="11"/>
  <c r="AJ40" i="21"/>
  <c r="AE40" i="21" s="1"/>
  <c r="AT40" i="21" s="1"/>
  <c r="AY40" i="21" s="1"/>
  <c r="AK40" i="13"/>
  <c r="AJ40" i="13"/>
  <c r="AE40" i="13" s="1"/>
  <c r="AM44" i="13"/>
  <c r="AL40" i="11"/>
  <c r="AM42" i="11"/>
  <c r="AJ38" i="21"/>
  <c r="AE38" i="21" s="1"/>
  <c r="AT38" i="21" s="1"/>
  <c r="AY38" i="21" s="1"/>
  <c r="AI38" i="21"/>
  <c r="AI38" i="13"/>
  <c r="AD38" i="13" s="1"/>
  <c r="AK38" i="13"/>
  <c r="AJ38" i="13"/>
  <c r="AE38" i="13" s="1"/>
  <c r="AM42" i="13"/>
  <c r="AL38" i="11"/>
  <c r="AM40" i="11"/>
  <c r="AL42" i="13"/>
  <c r="AJ36" i="21"/>
  <c r="AK36" i="21"/>
  <c r="AI36" i="21"/>
  <c r="AL36" i="21"/>
  <c r="AJ36" i="13"/>
  <c r="AI36" i="13"/>
  <c r="AM40" i="13"/>
  <c r="AK36" i="13"/>
  <c r="AM38" i="11"/>
  <c r="AK36" i="11"/>
  <c r="AL36" i="11"/>
  <c r="AL40" i="13"/>
  <c r="AK35" i="21"/>
  <c r="AJ35" i="21"/>
  <c r="AI35" i="21"/>
  <c r="AL35" i="21"/>
  <c r="AJ35" i="13"/>
  <c r="AK35" i="13"/>
  <c r="AI35" i="13"/>
  <c r="AM39" i="13"/>
  <c r="AL39" i="13"/>
  <c r="AM37" i="11"/>
  <c r="AK35" i="11"/>
  <c r="AL35" i="11"/>
  <c r="AK34" i="21"/>
  <c r="AJ34" i="21"/>
  <c r="AI34" i="21"/>
  <c r="AL34" i="21"/>
  <c r="AK34" i="13"/>
  <c r="AJ34" i="13"/>
  <c r="AM38" i="13"/>
  <c r="AI34" i="13"/>
  <c r="AL38" i="13"/>
  <c r="AL34" i="11"/>
  <c r="AK34" i="11"/>
  <c r="AM36" i="11"/>
  <c r="AM47" i="13"/>
  <c r="AM45" i="11"/>
  <c r="AJ41" i="21"/>
  <c r="AE41" i="21" s="1"/>
  <c r="AT41" i="21" s="1"/>
  <c r="AY41" i="21" s="1"/>
  <c r="AJ41" i="13"/>
  <c r="AE41" i="13" s="1"/>
  <c r="AM45" i="13"/>
  <c r="AK41" i="13"/>
  <c r="AL41" i="11"/>
  <c r="AM43" i="11"/>
  <c r="AJ39" i="21"/>
  <c r="AE39" i="21" s="1"/>
  <c r="AT39" i="21" s="1"/>
  <c r="AY39" i="21" s="1"/>
  <c r="AJ39" i="13"/>
  <c r="AE39" i="13" s="1"/>
  <c r="AK39" i="13"/>
  <c r="AM43" i="13"/>
  <c r="AL39" i="11"/>
  <c r="AM41" i="11"/>
  <c r="AK37" i="21"/>
  <c r="AU37" i="21" s="1"/>
  <c r="AZ37" i="21" s="1"/>
  <c r="AJ37" i="21"/>
  <c r="AE37" i="21" s="1"/>
  <c r="AT37" i="21" s="1"/>
  <c r="AY37" i="21" s="1"/>
  <c r="AI37" i="21"/>
  <c r="AI37" i="13"/>
  <c r="AD37" i="13" s="1"/>
  <c r="AM41" i="13"/>
  <c r="AK37" i="13"/>
  <c r="AJ37" i="13"/>
  <c r="AE37" i="13" s="1"/>
  <c r="AL37" i="2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I60" i="21"/>
  <c r="AL59" i="21"/>
  <c r="AV59" i="21" s="1"/>
  <c r="BA59" i="21" s="1"/>
  <c r="AK59" i="21"/>
  <c r="AU59" i="21" s="1"/>
  <c r="AZ59" i="21" s="1"/>
  <c r="AJ64" i="21"/>
  <c r="AI60" i="13"/>
  <c r="AJ64" i="13"/>
  <c r="AK64" i="13"/>
  <c r="AK59" i="11"/>
  <c r="AJ56" i="21"/>
  <c r="AL51" i="21"/>
  <c r="AV51" i="21" s="1"/>
  <c r="BA51" i="21" s="1"/>
  <c r="AK51" i="21"/>
  <c r="AU51" i="21" s="1"/>
  <c r="AZ51" i="21" s="1"/>
  <c r="AI52" i="21"/>
  <c r="AI52" i="13"/>
  <c r="AJ56" i="13"/>
  <c r="AK56" i="13"/>
  <c r="AM61" i="13"/>
  <c r="AK51" i="11"/>
  <c r="AL45" i="21"/>
  <c r="AV45" i="21" s="1"/>
  <c r="BA45" i="21" s="1"/>
  <c r="AK45" i="21"/>
  <c r="AU45" i="21" s="1"/>
  <c r="AZ45" i="21" s="1"/>
  <c r="AI46" i="21"/>
  <c r="AJ50" i="21"/>
  <c r="AL50" i="11"/>
  <c r="AK50" i="13"/>
  <c r="AL50" i="13"/>
  <c r="AM55" i="13"/>
  <c r="AI46" i="13"/>
  <c r="AJ50" i="13"/>
  <c r="AK45" i="11"/>
  <c r="AI63" i="21"/>
  <c r="AI64" i="21"/>
  <c r="AM46" i="21"/>
  <c r="AW46" i="21" s="1"/>
  <c r="BB46" i="21" s="1"/>
  <c r="AM25" i="21"/>
  <c r="AM47" i="21"/>
  <c r="AW47" i="21" s="1"/>
  <c r="BB47" i="21" s="1"/>
  <c r="AM26" i="21"/>
  <c r="AM24" i="21"/>
  <c r="AM38" i="21"/>
  <c r="AW38" i="21" s="1"/>
  <c r="BB38" i="21" s="1"/>
  <c r="AM39" i="21"/>
  <c r="AW39" i="21" s="1"/>
  <c r="BB39" i="21" s="1"/>
  <c r="AM53" i="21"/>
  <c r="AW53" i="21" s="1"/>
  <c r="BB53" i="21" s="1"/>
  <c r="AK62" i="21"/>
  <c r="AU62" i="21" s="1"/>
  <c r="AZ62" i="21" s="1"/>
  <c r="AM51" i="21"/>
  <c r="AW51" i="21" s="1"/>
  <c r="BB51" i="21" s="1"/>
  <c r="AM30" i="21"/>
  <c r="AM52" i="21"/>
  <c r="AW52" i="21" s="1"/>
  <c r="BB52" i="21" s="1"/>
  <c r="AM31" i="21"/>
  <c r="AM40" i="21"/>
  <c r="AW40" i="21" s="1"/>
  <c r="BB40" i="21" s="1"/>
  <c r="AM29" i="21"/>
  <c r="AK66" i="21"/>
  <c r="AU66" i="21" s="1"/>
  <c r="AZ66" i="21" s="1"/>
  <c r="AM43" i="21"/>
  <c r="AW43" i="21" s="1"/>
  <c r="BB43" i="21" s="1"/>
  <c r="AM44" i="21"/>
  <c r="AW44" i="21" s="1"/>
  <c r="BB44" i="21" s="1"/>
  <c r="AM45" i="21"/>
  <c r="AW45" i="21" s="1"/>
  <c r="BB45" i="21" s="1"/>
  <c r="AM48" i="21"/>
  <c r="AW48" i="21" s="1"/>
  <c r="BB48" i="21" s="1"/>
  <c r="AK67" i="21"/>
  <c r="AU67" i="21" s="1"/>
  <c r="AZ67" i="21" s="1"/>
  <c r="AI65" i="21"/>
  <c r="AM35" i="21"/>
  <c r="AM36" i="21"/>
  <c r="AI66" i="21"/>
  <c r="AM27" i="21"/>
  <c r="AM49" i="21"/>
  <c r="AW49" i="21" s="1"/>
  <c r="BB49" i="21" s="1"/>
  <c r="AM28" i="21"/>
  <c r="AM50" i="21"/>
  <c r="AW50" i="21" s="1"/>
  <c r="BB50" i="21" s="1"/>
  <c r="AM32" i="21"/>
  <c r="AJ67" i="21"/>
  <c r="AK64" i="21"/>
  <c r="AU64" i="21" s="1"/>
  <c r="AZ64" i="21" s="1"/>
  <c r="AK63" i="21"/>
  <c r="AU63" i="21" s="1"/>
  <c r="AZ63" i="21" s="1"/>
  <c r="AI67" i="21"/>
  <c r="AM41" i="21"/>
  <c r="AW41" i="21" s="1"/>
  <c r="BB41" i="21" s="1"/>
  <c r="AM42" i="21"/>
  <c r="AW42" i="21" s="1"/>
  <c r="BB42" i="21" s="1"/>
  <c r="AM37" i="21"/>
  <c r="AW37" i="21" s="1"/>
  <c r="BB37" i="21" s="1"/>
  <c r="AK65" i="21"/>
  <c r="AU65" i="21" s="1"/>
  <c r="AZ65" i="21" s="1"/>
  <c r="AM33" i="21"/>
  <c r="AM34" i="21"/>
  <c r="AI67" i="13"/>
  <c r="AI63" i="13"/>
  <c r="AJ67" i="13"/>
  <c r="AI65" i="13"/>
  <c r="AI66" i="13"/>
  <c r="AI64" i="13"/>
  <c r="AK67" i="13"/>
  <c r="AK63" i="11"/>
  <c r="AK62" i="11"/>
  <c r="AL58" i="21"/>
  <c r="AV58" i="21" s="1"/>
  <c r="BA58" i="21" s="1"/>
  <c r="AJ63" i="21"/>
  <c r="AK58" i="21"/>
  <c r="AI59" i="21"/>
  <c r="AI59" i="13"/>
  <c r="AK63" i="13"/>
  <c r="AJ63" i="13"/>
  <c r="AK58" i="11"/>
  <c r="AJ61" i="21"/>
  <c r="AL56" i="21"/>
  <c r="AV56" i="21" s="1"/>
  <c r="BA56" i="21" s="1"/>
  <c r="AK56" i="21"/>
  <c r="AU56" i="21" s="1"/>
  <c r="AZ56" i="21" s="1"/>
  <c r="AI57" i="21"/>
  <c r="AK61" i="13"/>
  <c r="AM66" i="13"/>
  <c r="AI57" i="13"/>
  <c r="AJ61" i="13"/>
  <c r="AK56" i="11"/>
  <c r="AJ57" i="21"/>
  <c r="AI53" i="21"/>
  <c r="AL52" i="21"/>
  <c r="AV52" i="21" s="1"/>
  <c r="BA52" i="21" s="1"/>
  <c r="AK52" i="21"/>
  <c r="AU52" i="21" s="1"/>
  <c r="AZ52" i="21" s="1"/>
  <c r="AI53" i="13"/>
  <c r="AK57" i="13"/>
  <c r="AJ57" i="13"/>
  <c r="AM62" i="13"/>
  <c r="AK52" i="11"/>
  <c r="AI49" i="21"/>
  <c r="AK48" i="21"/>
  <c r="AU48" i="21" s="1"/>
  <c r="AZ48" i="21" s="1"/>
  <c r="AJ53" i="21"/>
  <c r="AL48" i="21"/>
  <c r="AV48" i="21" s="1"/>
  <c r="BA48" i="21" s="1"/>
  <c r="AL53" i="11"/>
  <c r="AJ53" i="13"/>
  <c r="AM58" i="13"/>
  <c r="AK53" i="13"/>
  <c r="AI49" i="13"/>
  <c r="AL53" i="13"/>
  <c r="AK48" i="11"/>
  <c r="AI47" i="21"/>
  <c r="AL46" i="21"/>
  <c r="AV46" i="21" s="1"/>
  <c r="BA46" i="21" s="1"/>
  <c r="AK46" i="21"/>
  <c r="AU46" i="21" s="1"/>
  <c r="AZ46" i="21" s="1"/>
  <c r="AJ51" i="21"/>
  <c r="AL51" i="11"/>
  <c r="AI47" i="13"/>
  <c r="AL51" i="13"/>
  <c r="AM56" i="13"/>
  <c r="AJ51" i="13"/>
  <c r="AK51" i="13"/>
  <c r="AK46" i="11"/>
  <c r="AJ47" i="21"/>
  <c r="AI43" i="21"/>
  <c r="AK42" i="21"/>
  <c r="AL42" i="21"/>
  <c r="AV42" i="21" s="1"/>
  <c r="BA42" i="21" s="1"/>
  <c r="AL47" i="11"/>
  <c r="AM52" i="13"/>
  <c r="AK47" i="13"/>
  <c r="AJ47" i="13"/>
  <c r="AI43" i="13"/>
  <c r="AL47" i="13"/>
  <c r="AK42" i="11"/>
  <c r="AM52" i="11"/>
  <c r="AK40" i="21"/>
  <c r="AI41" i="21"/>
  <c r="AJ45" i="21"/>
  <c r="AL40" i="21"/>
  <c r="AV40" i="21" s="1"/>
  <c r="BA40" i="21" s="1"/>
  <c r="AL45" i="11"/>
  <c r="AK45" i="13"/>
  <c r="AJ45" i="13"/>
  <c r="AL45" i="13"/>
  <c r="AI41" i="13"/>
  <c r="AD41" i="13" s="1"/>
  <c r="AM50" i="13"/>
  <c r="AK40" i="11"/>
  <c r="AM50" i="11"/>
  <c r="L101" i="5"/>
  <c r="C51" i="5"/>
  <c r="H47" i="5" s="1"/>
  <c r="AJ43" i="21"/>
  <c r="AI39" i="21"/>
  <c r="AL38" i="21"/>
  <c r="AV38" i="21" s="1"/>
  <c r="BA38" i="21" s="1"/>
  <c r="AK38" i="21"/>
  <c r="AU38" i="21" s="1"/>
  <c r="AZ38" i="21" s="1"/>
  <c r="AL43" i="11"/>
  <c r="AI39" i="13"/>
  <c r="AD39" i="13" s="1"/>
  <c r="AL43" i="13"/>
  <c r="AM48" i="13"/>
  <c r="AJ43" i="13"/>
  <c r="AE43" i="13" s="1"/>
  <c r="AK43" i="13"/>
  <c r="AK38" i="11"/>
  <c r="AM48" i="11"/>
  <c r="B107" i="5"/>
  <c r="AJ62" i="21"/>
  <c r="AI58" i="21"/>
  <c r="AL57" i="21"/>
  <c r="AV57" i="21" s="1"/>
  <c r="BA57" i="21" s="1"/>
  <c r="AK57" i="21"/>
  <c r="AU57" i="21" s="1"/>
  <c r="AZ57" i="21" s="1"/>
  <c r="AK62" i="13"/>
  <c r="AJ62" i="13"/>
  <c r="AI58" i="13"/>
  <c r="AK57" i="11"/>
  <c r="AJ52" i="21"/>
  <c r="AK47" i="21"/>
  <c r="AU47" i="21" s="1"/>
  <c r="AZ47" i="21" s="1"/>
  <c r="AI48" i="21"/>
  <c r="AL47" i="21"/>
  <c r="AV47" i="21" s="1"/>
  <c r="BA47" i="21" s="1"/>
  <c r="AL52" i="11"/>
  <c r="AJ52" i="13"/>
  <c r="AI48" i="13"/>
  <c r="AK52" i="13"/>
  <c r="AM57" i="13"/>
  <c r="AL52" i="13"/>
  <c r="AK47" i="11"/>
  <c r="D71" i="5"/>
  <c r="AI40" i="21"/>
  <c r="AL39" i="21"/>
  <c r="AV39" i="21" s="1"/>
  <c r="BA39" i="21" s="1"/>
  <c r="AJ44" i="21"/>
  <c r="AK39" i="21"/>
  <c r="AU39" i="21" s="1"/>
  <c r="AZ39" i="21" s="1"/>
  <c r="AL44" i="11"/>
  <c r="AJ44" i="13"/>
  <c r="AE44" i="13" s="1"/>
  <c r="AL44" i="13"/>
  <c r="AM49" i="13"/>
  <c r="AK44" i="13"/>
  <c r="AI40" i="13"/>
  <c r="AD40" i="13" s="1"/>
  <c r="AM49" i="11"/>
  <c r="AK39" i="11"/>
  <c r="AK53" i="21"/>
  <c r="AU53" i="21" s="1"/>
  <c r="AZ53" i="21" s="1"/>
  <c r="AI54" i="21"/>
  <c r="AJ58" i="21"/>
  <c r="AL53" i="21"/>
  <c r="AV53" i="21" s="1"/>
  <c r="BA53" i="21" s="1"/>
  <c r="AM63" i="13"/>
  <c r="AK58" i="13"/>
  <c r="AI54" i="13"/>
  <c r="AJ58" i="13"/>
  <c r="AK53" i="11"/>
  <c r="AI42" i="21"/>
  <c r="AL41" i="21"/>
  <c r="AV41" i="21" s="1"/>
  <c r="BA41" i="21" s="1"/>
  <c r="AK41" i="21"/>
  <c r="AJ46" i="21"/>
  <c r="AL46" i="11"/>
  <c r="AL46" i="13"/>
  <c r="AI42" i="13"/>
  <c r="AM51" i="13"/>
  <c r="AJ46" i="13"/>
  <c r="AK46" i="13"/>
  <c r="AM51" i="11"/>
  <c r="AK41" i="11"/>
  <c r="D70" i="5"/>
  <c r="D69" i="5"/>
  <c r="C126" i="5"/>
  <c r="B75" i="11" a="1"/>
  <c r="N74" i="5"/>
  <c r="AK61" i="21"/>
  <c r="AU61" i="21" s="1"/>
  <c r="AZ61" i="21" s="1"/>
  <c r="AI62" i="21"/>
  <c r="AJ66" i="21"/>
  <c r="AK66" i="13"/>
  <c r="AI62" i="13"/>
  <c r="AJ66" i="13"/>
  <c r="AK61" i="11"/>
  <c r="AI56" i="21"/>
  <c r="AL55" i="21"/>
  <c r="AV55" i="21" s="1"/>
  <c r="BA55" i="21" s="1"/>
  <c r="AK55" i="21"/>
  <c r="AU55" i="21" s="1"/>
  <c r="AZ55" i="21" s="1"/>
  <c r="AJ60" i="21"/>
  <c r="AI56" i="13"/>
  <c r="AK60" i="13"/>
  <c r="AM65" i="13"/>
  <c r="AJ60" i="13"/>
  <c r="AK55" i="11"/>
  <c r="AK49" i="21"/>
  <c r="AU49" i="21" s="1"/>
  <c r="AZ49" i="21" s="1"/>
  <c r="AJ54" i="21"/>
  <c r="AI50" i="21"/>
  <c r="AL49" i="21"/>
  <c r="AV49" i="21" s="1"/>
  <c r="BA49" i="21" s="1"/>
  <c r="AK54" i="13"/>
  <c r="AM59" i="13"/>
  <c r="AJ54" i="13"/>
  <c r="AI50" i="13"/>
  <c r="AK49" i="11"/>
  <c r="AI44" i="21"/>
  <c r="AJ48" i="21"/>
  <c r="AL43" i="21"/>
  <c r="AV43" i="21" s="1"/>
  <c r="BA43" i="21" s="1"/>
  <c r="AK43" i="21"/>
  <c r="AL48" i="11"/>
  <c r="AI44" i="13"/>
  <c r="AL48" i="13"/>
  <c r="AJ48" i="13"/>
  <c r="AK48" i="13"/>
  <c r="AM53" i="13"/>
  <c r="AK43" i="11"/>
  <c r="AM53" i="11"/>
  <c r="AJ65" i="21"/>
  <c r="AI61" i="21"/>
  <c r="AK60" i="21"/>
  <c r="AU60" i="21" s="1"/>
  <c r="AZ60" i="21" s="1"/>
  <c r="AK65" i="13"/>
  <c r="AI61" i="13"/>
  <c r="AJ65" i="13"/>
  <c r="AK60" i="11"/>
  <c r="AI55" i="21"/>
  <c r="AL54" i="21"/>
  <c r="AV54" i="21" s="1"/>
  <c r="BA54" i="21" s="1"/>
  <c r="AK54" i="21"/>
  <c r="AU54" i="21" s="1"/>
  <c r="AZ54" i="21" s="1"/>
  <c r="AJ59" i="21"/>
  <c r="AI55" i="13"/>
  <c r="AK59" i="13"/>
  <c r="AM64" i="13"/>
  <c r="AJ59" i="13"/>
  <c r="AK54" i="11"/>
  <c r="AI51" i="21"/>
  <c r="AK50" i="21"/>
  <c r="AU50" i="21" s="1"/>
  <c r="AZ50" i="21" s="1"/>
  <c r="AJ55" i="21"/>
  <c r="AL50" i="21"/>
  <c r="AV50" i="21" s="1"/>
  <c r="BA50" i="21" s="1"/>
  <c r="AM60" i="13"/>
  <c r="AI51" i="13"/>
  <c r="AK55" i="13"/>
  <c r="AJ55" i="13"/>
  <c r="AK50" i="11"/>
  <c r="AJ49" i="21"/>
  <c r="AI45" i="21"/>
  <c r="AL44" i="21"/>
  <c r="AV44" i="21" s="1"/>
  <c r="BA44" i="21" s="1"/>
  <c r="AK44" i="2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c r="AB48" i="11"/>
  <c r="AU59" i="11" l="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D12" i="5" s="1"/>
  <c r="AB31" i="13"/>
  <c r="AB30" i="13"/>
  <c r="AB24" i="13"/>
  <c r="AB35" i="13"/>
  <c r="AB26" i="13"/>
  <c r="AB29" i="13"/>
  <c r="AB27" i="13"/>
  <c r="AB36" i="13"/>
  <c r="AB33" i="13"/>
  <c r="AB34" i="13"/>
  <c r="AB32" i="13"/>
  <c r="AB28" i="13"/>
  <c r="AB25" i="13"/>
  <c r="AB37" i="13"/>
  <c r="AB42" i="13"/>
  <c r="AB43" i="13"/>
  <c r="AB41" i="13"/>
  <c r="AB38" i="13"/>
  <c r="AB40" i="13"/>
  <c r="AB44" i="13"/>
  <c r="AB39" i="13"/>
  <c r="AB45" i="13"/>
  <c r="AB46" i="13"/>
  <c r="AA60" i="11"/>
  <c r="Z50" i="13"/>
  <c r="Y47" i="13"/>
  <c r="AC63" i="13"/>
  <c r="AC32" i="13"/>
  <c r="Z67" i="13"/>
  <c r="AA40" i="13"/>
  <c r="AC35" i="13"/>
  <c r="AC25" i="13"/>
  <c r="Y57" i="13"/>
  <c r="AA48" i="13"/>
  <c r="Z44" i="13"/>
  <c r="AC41" i="13"/>
  <c r="AC34" i="13"/>
  <c r="Y28" i="13"/>
  <c r="AC60" i="13"/>
  <c r="AC38" i="13"/>
  <c r="AA41" i="13"/>
  <c r="Y44" i="13"/>
  <c r="Z48" i="13"/>
  <c r="Z26" i="13"/>
  <c r="Y63" i="13"/>
  <c r="Y38" i="13"/>
  <c r="AC59" i="13"/>
  <c r="Z55" i="13"/>
  <c r="Y34" i="13"/>
  <c r="Y50" i="13"/>
  <c r="AA25" i="13"/>
  <c r="AC46" i="13"/>
  <c r="AC47" i="13"/>
  <c r="AA63" i="13"/>
  <c r="AA59" i="13"/>
  <c r="Z32" i="13"/>
  <c r="Y31" i="13"/>
  <c r="AA46" i="13"/>
  <c r="AA49" i="13"/>
  <c r="Z41" i="13"/>
  <c r="AA66" i="13"/>
  <c r="Z47" i="13"/>
  <c r="Z53" i="13"/>
  <c r="Y46" i="13"/>
  <c r="AA27" i="13"/>
  <c r="AC55" i="13"/>
  <c r="AC61" i="13"/>
  <c r="AA28" i="13"/>
  <c r="AC49" i="13"/>
  <c r="AB49" i="11"/>
  <c r="AB61" i="21"/>
  <c r="AC28" i="13"/>
  <c r="AA33" i="13"/>
  <c r="Y56" i="13"/>
  <c r="Z24" i="13"/>
  <c r="Y49" i="13"/>
  <c r="AC27" i="13"/>
  <c r="Z66" i="13"/>
  <c r="Z33" i="13"/>
  <c r="Z61" i="13"/>
  <c r="AA43" i="13"/>
  <c r="AA53" i="13"/>
  <c r="Z29" i="13"/>
  <c r="AC62" i="13"/>
  <c r="AC44" i="13"/>
  <c r="Y54" i="13"/>
  <c r="Z42" i="13"/>
  <c r="Y53" i="13"/>
  <c r="AA37" i="13"/>
  <c r="Z39" i="13"/>
  <c r="AC53" i="13"/>
  <c r="AC29" i="13"/>
  <c r="AA65" i="13"/>
  <c r="Y40" i="13"/>
  <c r="AC65" i="13"/>
  <c r="AA57" i="13"/>
  <c r="Y26" i="13"/>
  <c r="Z58" i="13"/>
  <c r="AA60" i="13"/>
  <c r="Z65" i="13"/>
  <c r="Z37" i="13"/>
  <c r="AC39" i="13"/>
  <c r="AC42" i="13"/>
  <c r="AA36" i="13"/>
  <c r="Y41" i="13"/>
  <c r="Z62" i="13"/>
  <c r="Y36" i="13"/>
  <c r="AA51" i="13"/>
  <c r="AC40" i="13"/>
  <c r="Z52" i="13"/>
  <c r="AA32" i="13"/>
  <c r="Z34" i="13"/>
  <c r="AC24" i="13"/>
  <c r="AA38" i="13"/>
  <c r="AA44" i="13"/>
  <c r="AC50" i="13"/>
  <c r="Z46" i="13"/>
  <c r="AA47" i="13"/>
  <c r="Y37" i="13"/>
  <c r="Y27" i="13"/>
  <c r="Y42" i="13"/>
  <c r="AA67" i="13"/>
  <c r="Z35" i="13"/>
  <c r="Y66" i="13"/>
  <c r="Y65" i="13"/>
  <c r="AC48" i="13"/>
  <c r="AC66" i="13"/>
  <c r="Z25" i="13"/>
  <c r="AA42" i="13"/>
  <c r="AA56" i="13"/>
  <c r="AA34" i="13"/>
  <c r="Y25" i="13"/>
  <c r="Y39" i="13"/>
  <c r="Z45" i="13"/>
  <c r="AC26" i="13"/>
  <c r="AA39" i="13"/>
  <c r="Y48" i="13"/>
  <c r="Z59" i="13"/>
  <c r="Z56" i="13"/>
  <c r="AC36" i="13"/>
  <c r="AA64" i="13"/>
  <c r="Y43" i="13"/>
  <c r="AA29" i="13"/>
  <c r="AC33" i="13"/>
  <c r="Z51" i="13"/>
  <c r="AA45" i="13"/>
  <c r="AC45" i="13"/>
  <c r="Y61" i="13"/>
  <c r="AC51" i="13"/>
  <c r="Z31" i="13"/>
  <c r="AA52" i="13"/>
  <c r="AC56" i="13"/>
  <c r="AC37" i="13"/>
  <c r="AA50" i="13"/>
  <c r="AA58" i="13"/>
  <c r="AC43" i="13"/>
  <c r="AA54" i="13"/>
  <c r="Y51" i="13"/>
  <c r="AA55" i="13"/>
  <c r="AC57" i="13"/>
  <c r="Y64" i="13"/>
  <c r="AC54" i="13"/>
  <c r="Y58" i="13"/>
  <c r="Y35" i="13"/>
  <c r="Z43" i="13"/>
  <c r="Z30" i="13"/>
  <c r="Z64" i="13"/>
  <c r="AC64" i="13"/>
  <c r="Z38" i="13"/>
  <c r="AC30" i="13"/>
  <c r="Y62" i="13"/>
  <c r="AA30" i="13"/>
  <c r="AA26" i="13"/>
  <c r="Z63" i="13"/>
  <c r="AC31" i="13"/>
  <c r="AA35" i="13"/>
  <c r="Z27" i="13"/>
  <c r="AA31" i="13"/>
  <c r="Y55" i="13"/>
  <c r="Z60" i="13"/>
  <c r="Y30" i="13"/>
  <c r="AC58" i="13"/>
  <c r="Y59" i="13"/>
  <c r="Y45" i="13"/>
  <c r="Y32" i="13"/>
  <c r="AA61" i="13"/>
  <c r="AA62" i="13"/>
  <c r="AA24" i="13"/>
  <c r="Z40" i="13"/>
  <c r="AC67" i="13"/>
  <c r="Y52" i="13"/>
  <c r="Y29" i="13"/>
  <c r="Z28" i="13"/>
  <c r="Y24" i="13"/>
  <c r="Z49" i="13"/>
  <c r="Z36" i="13"/>
  <c r="Z57" i="13"/>
  <c r="AC52" i="13"/>
  <c r="Z54" i="13"/>
  <c r="Y33" i="13"/>
  <c r="Y67" i="13"/>
  <c r="Y60" i="13"/>
  <c r="AD38" i="11" l="1"/>
  <c r="AD48" i="11"/>
  <c r="AD46" i="11"/>
  <c r="AS46" i="11" s="1"/>
  <c r="AD40" i="11"/>
  <c r="AD39" i="11"/>
  <c r="AD44" i="11"/>
  <c r="AS44" i="11" s="1"/>
  <c r="AD45" i="11"/>
  <c r="AS45" i="11" s="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4"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65"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67"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66"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B47" i="13"/>
  <c r="AA61" i="11"/>
  <c r="Y41" i="11"/>
  <c r="Y53" i="11"/>
  <c r="Y29" i="11"/>
  <c r="Y51" i="11"/>
  <c r="Z54" i="11"/>
  <c r="Y67" i="11"/>
  <c r="Z38" i="11"/>
  <c r="Z52" i="11"/>
  <c r="Z45" i="11"/>
  <c r="Y37" i="11"/>
  <c r="AB50" i="11"/>
  <c r="Z31" i="11"/>
  <c r="Y63" i="11"/>
  <c r="Z48" i="11"/>
  <c r="Z33" i="11"/>
  <c r="Y50" i="11"/>
  <c r="Z29" i="11"/>
  <c r="Y52" i="11"/>
  <c r="Z60" i="11"/>
  <c r="Y49" i="11"/>
  <c r="Y44" i="11"/>
  <c r="Z40" i="11"/>
  <c r="Y39" i="11"/>
  <c r="Y62" i="11"/>
  <c r="Y32" i="11"/>
  <c r="Z26" i="11"/>
  <c r="Y38" i="11"/>
  <c r="Z34" i="11"/>
  <c r="Z27" i="11"/>
  <c r="Y42" i="11"/>
  <c r="Z32" i="11"/>
  <c r="Y48" i="11"/>
  <c r="Y24" i="11"/>
  <c r="Y54" i="11"/>
  <c r="Z47" i="11"/>
  <c r="Y64" i="11"/>
  <c r="Z51" i="11"/>
  <c r="Y47" i="11"/>
  <c r="Y43" i="11"/>
  <c r="Z39" i="11"/>
  <c r="Z43" i="11"/>
  <c r="Y66" i="11"/>
  <c r="Z59" i="11"/>
  <c r="Y58" i="11"/>
  <c r="Z36" i="11"/>
  <c r="Y25" i="11"/>
  <c r="Y61" i="11"/>
  <c r="Y46" i="11"/>
  <c r="Y57" i="11"/>
  <c r="Z49" i="11"/>
  <c r="Z63" i="11"/>
  <c r="Y26" i="11"/>
  <c r="Z50" i="11"/>
  <c r="Y65" i="11"/>
  <c r="Z58" i="11"/>
  <c r="Y30" i="11"/>
  <c r="Z37" i="11"/>
  <c r="Y27" i="11"/>
  <c r="Y33" i="11"/>
  <c r="AB62" i="21"/>
  <c r="Y28" i="11"/>
  <c r="Z25" i="11"/>
  <c r="Z64" i="11"/>
  <c r="Z24" i="11"/>
  <c r="Z42" i="11"/>
  <c r="Z30" i="11"/>
  <c r="Z65" i="11"/>
  <c r="Y40" i="11"/>
  <c r="Z35" i="11"/>
  <c r="Y60" i="11"/>
  <c r="Z41" i="11"/>
  <c r="Z46" i="11"/>
  <c r="Z44" i="11"/>
  <c r="Z67" i="11"/>
  <c r="Z62" i="11"/>
  <c r="Z55" i="11"/>
  <c r="Y34" i="11"/>
  <c r="Z28" i="11"/>
  <c r="Y56" i="11"/>
  <c r="Y59" i="11"/>
  <c r="Y31" i="11"/>
  <c r="Z57" i="11"/>
  <c r="Y55" i="11"/>
  <c r="Y45" i="11"/>
  <c r="Z66" i="11"/>
  <c r="Z53" i="11"/>
  <c r="Z56" i="11"/>
  <c r="Z61" i="11"/>
  <c r="Y36" i="11"/>
  <c r="Y35" i="11"/>
  <c r="J47" i="23" l="1"/>
  <c r="AK65" i="11" s="1"/>
  <c r="J48" i="23"/>
  <c r="AK66" i="11" s="1"/>
  <c r="J49" i="23"/>
  <c r="AK67" i="11" s="1"/>
  <c r="J46" i="23"/>
  <c r="AK64" i="11" s="1"/>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M59" i="21"/>
  <c r="AW59" i="21" s="1"/>
  <c r="BB59" i="21" s="1"/>
  <c r="AM59" i="11"/>
  <c r="AM54" i="21"/>
  <c r="AW54" i="21" s="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B48" i="13"/>
  <c r="AA62" i="11"/>
  <c r="AB63" i="21"/>
  <c r="AB51" i="11"/>
  <c r="AU62" i="11" l="1"/>
  <c r="AV51" i="11"/>
  <c r="AL57" i="11"/>
  <c r="AJ57" i="11"/>
  <c r="AT57" i="11" s="1"/>
  <c r="AL56" i="11"/>
  <c r="AJ56" i="11"/>
  <c r="AT56" i="11" s="1"/>
  <c r="AL55" i="11"/>
  <c r="AJ55" i="11"/>
  <c r="AT55" i="11" s="1"/>
  <c r="AM66" i="21"/>
  <c r="AW66" i="21" s="1"/>
  <c r="BB66" i="21" s="1"/>
  <c r="AJ66" i="11"/>
  <c r="AT66" i="11" s="1"/>
  <c r="AM65" i="21"/>
  <c r="AW65" i="21" s="1"/>
  <c r="BB65" i="21" s="1"/>
  <c r="AJ65" i="11"/>
  <c r="AT65" i="11" s="1"/>
  <c r="AM61" i="21"/>
  <c r="AW61" i="21" s="1"/>
  <c r="BB61" i="21" s="1"/>
  <c r="AJ61" i="11"/>
  <c r="AT61" i="11" s="1"/>
  <c r="AM67" i="21"/>
  <c r="AW67" i="21" s="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M56" i="21"/>
  <c r="AW56" i="21" s="1"/>
  <c r="BB56" i="21" s="1"/>
  <c r="AM55" i="21"/>
  <c r="AW55" i="21" s="1"/>
  <c r="BB55" i="21" s="1"/>
  <c r="AM55" i="11"/>
  <c r="AL55" i="13"/>
  <c r="AM58" i="21"/>
  <c r="AW58" i="21" s="1"/>
  <c r="BB58" i="21" s="1"/>
  <c r="AM58" i="11"/>
  <c r="AL58" i="13"/>
  <c r="AM57" i="11"/>
  <c r="AL57" i="13"/>
  <c r="AM57" i="21"/>
  <c r="AW57" i="21" s="1"/>
  <c r="BB57" i="21" s="1"/>
  <c r="AM67" i="11"/>
  <c r="AM67" i="13"/>
  <c r="AM63" i="11"/>
  <c r="AM63" i="21"/>
  <c r="AW63" i="21" s="1"/>
  <c r="BB63" i="21" s="1"/>
  <c r="AM60" i="11"/>
  <c r="AM60" i="21"/>
  <c r="AW60" i="21" s="1"/>
  <c r="BB60" i="21" s="1"/>
  <c r="AM62" i="11"/>
  <c r="AM62" i="21"/>
  <c r="AW62" i="21" s="1"/>
  <c r="BB62" i="21" s="1"/>
  <c r="AM64" i="11"/>
  <c r="AM64" i="21"/>
  <c r="AW64" i="21" s="1"/>
  <c r="BB64" i="21" s="1"/>
  <c r="AL66" i="2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21"/>
  <c r="AV63" i="21" s="1"/>
  <c r="BA63" i="21" s="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2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L60" i="21"/>
  <c r="AV60" i="21" s="1"/>
  <c r="BA60" i="21" s="1"/>
  <c r="AL62" i="21"/>
  <c r="AV62" i="21" s="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21"/>
  <c r="AL65" i="11"/>
  <c r="AL61" i="21"/>
  <c r="AV61" i="21" s="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B49" i="13"/>
  <c r="AA63" i="11"/>
  <c r="AB52" i="11"/>
  <c r="AB64" i="21"/>
  <c r="AU63" i="11" l="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J17" i="14" s="1"/>
  <c r="AF17" i="15" s="1"/>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J10" i="14" s="1"/>
  <c r="AF10" i="15" s="1"/>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B50" i="13"/>
  <c r="AA64" i="11"/>
  <c r="AB53" i="11"/>
  <c r="AB65" i="21"/>
  <c r="AU64" i="11" l="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AH40" i="15" s="1"/>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V65" i="21"/>
  <c r="BA65" i="21"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B51" i="13"/>
  <c r="AA65" i="11"/>
  <c r="AB67" i="21"/>
  <c r="AB66" i="21"/>
  <c r="AB54" i="11"/>
  <c r="AU65" i="11" l="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AV67" i="21"/>
  <c r="BA67" i="21" s="1"/>
  <c r="AV66" i="21"/>
  <c r="BA66" i="21" s="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B52" i="13"/>
  <c r="AA66" i="11"/>
  <c r="AB55" i="11"/>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B53" i="13"/>
  <c r="AA67" i="11"/>
  <c r="AB56" i="11"/>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4" i="13"/>
  <c r="AB57" i="11"/>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5" i="13"/>
  <c r="AB58" i="11"/>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6" i="13"/>
  <c r="AB59" i="11"/>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57" i="13"/>
  <c r="AB60" i="11"/>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58" i="13"/>
  <c r="AB61" i="11"/>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59" i="13"/>
  <c r="AB62" i="11"/>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0" i="13"/>
  <c r="AB63" i="11"/>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1" i="13"/>
  <c r="AB64" i="11"/>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3" i="13"/>
  <c r="AB66" i="11"/>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G89" i="21" s="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259" i="21" l="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89" i="21"/>
  <c r="AH89" i="2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59"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95" i="21" l="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3" i="24"/>
  <c r="AD89" i="21"/>
  <c r="O23" i="25" s="1"/>
  <c r="O22" i="26" s="1"/>
  <c r="AI22"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AD259" i="21"/>
  <c r="R36" i="25" s="1"/>
  <c r="R35" i="26" s="1"/>
  <c r="AL35" i="26" s="1"/>
  <c r="Q37" i="24"/>
  <c r="Q11" i="24"/>
  <c r="S33" i="24"/>
  <c r="S42" i="24"/>
  <c r="Q44" i="24"/>
  <c r="P46" i="24"/>
  <c r="S44" i="24"/>
  <c r="O14" i="24"/>
  <c r="P22" i="24"/>
  <c r="AD140" i="21"/>
  <c r="P22" i="25" s="1"/>
  <c r="O31" i="24"/>
  <c r="AD97" i="21"/>
  <c r="O31" i="25" s="1"/>
  <c r="O30" i="26" s="1"/>
  <c r="AI30" i="26" s="1"/>
  <c r="S21" i="24"/>
  <c r="R19" i="24"/>
  <c r="AD242" i="21"/>
  <c r="R19" i="25" s="1"/>
  <c r="S13" i="24"/>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Q42" i="24" l="1"/>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rgb="FF000000"/>
            <rFont val="Tahoma"/>
            <family val="2"/>
          </rPr>
          <t>Dwyer, Michael T.:</t>
        </r>
        <r>
          <rPr>
            <sz val="9"/>
            <color rgb="FF000000"/>
            <rFont val="Tahoma"/>
            <family val="2"/>
          </rPr>
          <t xml:space="preserve">
</t>
        </r>
        <r>
          <rPr>
            <sz val="9"/>
            <color rgb="FF000000"/>
            <rFont val="Tahoma"/>
            <family val="2"/>
          </rPr>
          <t>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J10" authorId="3" shapeId="0" xr:uid="{00000000-0006-0000-0500-000003000000}">
      <text>
        <r>
          <rPr>
            <b/>
            <sz val="9"/>
            <color rgb="FF000000"/>
            <rFont val="Tahoma"/>
            <family val="2"/>
          </rPr>
          <t>mtd240:</t>
        </r>
        <r>
          <rPr>
            <sz val="9"/>
            <color rgb="FF000000"/>
            <rFont val="Tahoma"/>
            <family val="2"/>
          </rPr>
          <t xml:space="preserve">
</t>
        </r>
        <r>
          <rPr>
            <sz val="9"/>
            <color rgb="FF000000"/>
            <rFont val="Tahoma"/>
            <family val="2"/>
          </rPr>
          <t xml:space="preserve">
</t>
        </r>
        <r>
          <rPr>
            <sz val="9"/>
            <color rgb="FF000000"/>
            <rFont val="Tahoma"/>
            <family val="2"/>
          </rPr>
          <t xml:space="preserve">Dollars per kg
</t>
        </r>
        <r>
          <rPr>
            <sz val="9"/>
            <color rgb="FF000000"/>
            <rFont val="Tahoma"/>
            <family val="2"/>
          </rPr>
          <t xml:space="preserve">
</t>
        </r>
        <r>
          <rPr>
            <sz val="9"/>
            <color rgb="FF000000"/>
            <rFont val="Tahoma"/>
            <family val="2"/>
          </rPr>
          <t>From Tom Stephens' email, in 2015$ per kg!</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sharedStrings.xml><?xml version="1.0" encoding="utf-8"?>
<sst xmlns="http://schemas.openxmlformats.org/spreadsheetml/2006/main" count="2121" uniqueCount="453">
  <si>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</si>
  <si>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</si>
  <si>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</si>
  <si>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</si>
  <si>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</si>
  <si>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</si>
  <si>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</si>
  <si>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</si>
  <si>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</si>
  <si>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</si>
  <si>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</si>
  <si>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</si>
  <si>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</si>
  <si>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</si>
  <si>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</si>
  <si>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</si>
  <si>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</si>
  <si>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</si>
  <si>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</si>
  <si>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</si>
  <si>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</si>
  <si>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</si>
  <si>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</si>
  <si>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</si>
  <si>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</si>
  <si>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</si>
  <si>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</si>
  <si>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</si>
  <si>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</si>
  <si>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</si>
  <si>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</si>
  <si>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</si>
  <si>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</si>
  <si>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</si>
  <si>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</si>
  <si>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</si>
  <si>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</si>
  <si>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</si>
  <si>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</si>
  <si>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</si>
  <si>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</si>
  <si>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</si>
  <si>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</si>
  <si>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</si>
  <si>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</si>
  <si>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</si>
  <si>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</si>
  <si>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</si>
  <si>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</si>
  <si>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</si>
  <si>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</si>
  <si>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</si>
  <si>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</si>
  <si>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</si>
  <si>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</si>
  <si>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</si>
  <si>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</si>
  <si>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</si>
  <si>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</si>
  <si>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</si>
  <si>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</si>
  <si>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</si>
  <si>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</si>
  <si>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</si>
  <si>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</si>
  <si>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</si>
  <si>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</si>
  <si>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</si>
  <si>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</si>
  <si>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</si>
  <si>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</si>
  <si>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</si>
  <si>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</si>
  <si>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</si>
  <si>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</si>
  <si>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</si>
  <si>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</si>
  <si>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</si>
  <si>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</si>
  <si>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</si>
  <si>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</si>
  <si>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</si>
  <si>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</si>
  <si>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</si>
  <si>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</si>
  <si>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</si>
  <si>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</si>
  <si>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</si>
  <si>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</si>
  <si>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</si>
  <si>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</si>
  <si>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</si>
  <si>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</si>
  <si>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</si>
  <si>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</si>
  <si>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</si>
  <si>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</si>
  <si>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</si>
  <si>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</si>
  <si>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</si>
  <si>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</si>
  <si>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</si>
  <si>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</si>
  <si>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</si>
  <si>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</si>
  <si>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</si>
  <si>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</si>
  <si>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</si>
  <si>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</si>
  <si>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</si>
  <si>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</si>
  <si>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</si>
  <si>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</si>
  <si>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</si>
  <si>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</si>
  <si>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</si>
  <si>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</si>
  <si>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</si>
  <si>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</si>
  <si>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</si>
  <si>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</si>
  <si>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</si>
  <si>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</si>
  <si>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</si>
  <si>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</si>
  <si>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</si>
  <si>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</si>
  <si>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</si>
  <si>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</si>
  <si>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</si>
  <si>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</si>
  <si>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</si>
  <si>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</si>
  <si>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</si>
  <si>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</si>
  <si>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</si>
  <si>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</si>
  <si>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</si>
  <si>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</si>
  <si>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</si>
  <si>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</si>
  <si>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</si>
  <si>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</si>
  <si>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</si>
  <si>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</si>
  <si>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</si>
  <si>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</si>
  <si>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</si>
  <si>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</si>
  <si>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</si>
  <si>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</si>
  <si>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</si>
  <si>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</si>
  <si>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</si>
  <si>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</si>
  <si>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</si>
  <si>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</si>
  <si>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</si>
  <si>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</si>
  <si>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</si>
  <si>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</si>
  <si>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</si>
  <si>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</si>
  <si>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</si>
  <si>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</si>
  <si>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</si>
  <si>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</si>
  <si>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</si>
  <si>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</si>
  <si>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</si>
  <si>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</si>
  <si>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</si>
  <si>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</si>
  <si>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</si>
  <si>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</si>
  <si>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</si>
  <si>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</si>
  <si>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</si>
  <si>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</si>
  <si>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</si>
  <si>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</si>
  <si>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</si>
  <si>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</si>
  <si>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</si>
  <si>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</si>
  <si>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</si>
  <si>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</si>
  <si>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</si>
  <si>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</si>
  <si>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</si>
  <si>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</si>
  <si>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</si>
  <si>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</si>
  <si>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</si>
  <si>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</si>
  <si>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</si>
  <si>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</si>
  <si>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</si>
  <si>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</si>
  <si>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</si>
  <si>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</si>
  <si>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</si>
  <si>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</si>
  <si>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</si>
  <si>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</si>
  <si>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</si>
  <si>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</si>
  <si>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</si>
  <si>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</si>
  <si>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</si>
  <si>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</si>
  <si>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</si>
  <si>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</si>
  <si>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</si>
  <si>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</si>
  <si>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</si>
  <si>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</si>
  <si>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</si>
  <si>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</si>
  <si>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</si>
  <si>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</si>
  <si>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</si>
  <si>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</si>
  <si>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</si>
  <si>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</si>
  <si>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</si>
  <si>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</si>
  <si>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</si>
  <si>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</si>
  <si>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</si>
  <si>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</si>
  <si>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</si>
  <si>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</si>
  <si>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</si>
  <si>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</si>
  <si>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</si>
  <si>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</si>
  <si>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</si>
  <si>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</si>
  <si>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</si>
  <si>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</si>
  <si>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</si>
  <si>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</si>
  <si>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</si>
  <si>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</si>
  <si>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</si>
  <si>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</si>
  <si>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</si>
  <si>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</si>
  <si>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</si>
  <si>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</si>
  <si>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</si>
  <si>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</si>
  <si>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</si>
  <si>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</si>
  <si>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</si>
  <si>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</si>
  <si>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</si>
  <si>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</si>
  <si>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</si>
  <si>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</si>
  <si>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</si>
  <si>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</si>
  <si>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</si>
  <si>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</si>
  <si>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</si>
  <si>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</si>
  <si>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</si>
  <si>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</si>
  <si>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</si>
  <si>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</si>
  <si>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</si>
  <si>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</si>
  <si>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</si>
  <si>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</si>
  <si>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</si>
  <si>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</si>
  <si>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</si>
  <si>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</si>
  <si>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</si>
  <si>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</si>
  <si>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</si>
  <si>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</si>
  <si>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</si>
  <si>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</si>
  <si>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</si>
  <si>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</si>
  <si>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</si>
  <si>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</si>
  <si>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</si>
  <si>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</si>
  <si>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</si>
  <si>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</si>
  <si>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</si>
  <si>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</si>
  <si>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</si>
  <si>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</si>
  <si>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</si>
  <si>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</si>
  <si>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</si>
  <si>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</si>
  <si>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</si>
  <si>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</si>
  <si>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</si>
  <si>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</si>
  <si>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</si>
  <si>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</si>
  <si>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</si>
  <si>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</si>
  <si>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</si>
  <si>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</si>
  <si>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</si>
  <si>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</si>
  <si>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</si>
  <si>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</si>
  <si>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</si>
  <si>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</si>
  <si>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</si>
  <si>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</si>
  <si>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</si>
  <si>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</si>
  <si>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</si>
  <si>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</si>
  <si>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</si>
  <si>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</si>
  <si>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</si>
  <si>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FCHEV</t>
  </si>
  <si>
    <t xml:space="preserve">Multipliers for Centrally-Refueled Prices (Source: Clean Cities Alternative Fuel Price Report, April 2018) </t>
  </si>
  <si>
    <t>Vehicle Purchase Price, 2017$</t>
  </si>
  <si>
    <t>Adv Conv</t>
  </si>
  <si>
    <t>FY19 BaSce LDV inputs GPRA2019</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</si>
  <si>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</si>
  <si>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</si>
  <si>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</si>
  <si>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</si>
  <si>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</si>
  <si>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</si>
  <si>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</si>
  <si>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</si>
  <si>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</si>
  <si>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</si>
  <si>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</si>
  <si>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</si>
  <si>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</si>
  <si>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</si>
  <si>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</si>
  <si>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</si>
  <si>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</si>
  <si>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</si>
  <si>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</si>
  <si>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</si>
  <si>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</si>
  <si>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</si>
  <si>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</si>
  <si>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</si>
  <si>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</si>
  <si>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</si>
  <si>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Source: GPRA2019 Estimated H2 Prices (Tom Stephens)</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</si>
  <si>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</si>
  <si>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</si>
  <si>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</si>
  <si>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</si>
  <si>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</si>
  <si>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</si>
  <si>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</si>
  <si>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</si>
  <si>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</si>
  <si>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</si>
  <si>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From Tom Stephens (1/22/2019 GPRA):</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</si>
  <si>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</si>
  <si>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</si>
  <si>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</si>
  <si>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</si>
  <si>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</si>
  <si>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BaSce FY2020 Final Run</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</si>
  <si>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</si>
  <si>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</si>
  <si>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</si>
  <si>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</si>
  <si>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</si>
  <si>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</si>
  <si>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</si>
  <si>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</si>
  <si>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</si>
  <si>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</si>
  <si>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</si>
  <si>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</si>
  <si>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</si>
  <si>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</si>
  <si>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</si>
  <si>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</si>
  <si>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</si>
  <si>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</si>
  <si>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</si>
  <si>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</si>
  <si>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</si>
  <si>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</si>
  <si>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</si>
  <si>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</si>
  <si>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</si>
  <si>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</si>
  <si>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</si>
  <si>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</si>
  <si>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</si>
  <si>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</si>
  <si>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</si>
  <si>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</si>
  <si>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</si>
  <si>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</si>
  <si>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</si>
  <si>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</si>
  <si>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</si>
  <si>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</si>
  <si>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</si>
  <si>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</si>
  <si>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</si>
  <si>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</si>
  <si>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</si>
  <si>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</si>
  <si>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</si>
  <si>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</si>
  <si>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</si>
  <si>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</si>
  <si>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</si>
  <si>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</si>
  <si>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</si>
  <si>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</si>
  <si>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</si>
  <si>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</si>
  <si>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</si>
  <si>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</si>
  <si>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</si>
  <si>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</si>
  <si>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</si>
  <si>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</si>
  <si>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</si>
  <si>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</si>
  <si>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</si>
  <si>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</si>
  <si>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</si>
  <si>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</si>
  <si>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</si>
  <si>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</si>
  <si>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</si>
  <si>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</si>
  <si>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</si>
  <si>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</si>
  <si>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</si>
  <si>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</si>
  <si>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</si>
  <si>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</si>
  <si>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</si>
  <si>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Testing Aug 24 FY2020 Final 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</si>
</sst>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100"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sz val="10"/>
      <color rgb="FFFF0000"/>
      <name val="Arial"/>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b/>
      <sz val="9"/>
      <color rgb="FF000000"/>
      <name val="Tahoma"/>
      <family val="2"/>
    </font>
    <font>
      <sz val="9"/>
      <color rgb="FF000000"/>
      <name val="Tahoma"/>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5" fillId="0" borderId="0"/>
  </cellStyleXfs>
  <cellXfs count="1658">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0" fontId="93" fillId="0" borderId="0" xfId="0" applyFon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4"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6" fillId="0" borderId="74" xfId="0" applyFont="1" applyBorder="1"/>
    <xf numFmtId="0" fontId="25" fillId="0" borderId="0" xfId="0" applyFont="1" applyBorder="1" applyAlignment="1">
      <alignment horizontal="right"/>
    </xf>
    <xf numFmtId="0" fontId="97"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114" xfId="41" applyFont="1" applyFill="1" applyBorder="1" applyAlignment="1"/>
    <xf numFmtId="0" fontId="33" fillId="35" borderId="112" xfId="41" applyFont="1" applyFill="1" applyBorder="1" applyAlignment="1"/>
    <xf numFmtId="0" fontId="33" fillId="35" borderId="113" xfId="41" applyFont="1" applyFill="1" applyBorder="1" applyAlignment="1"/>
    <xf numFmtId="0" fontId="33" fillId="35" borderId="101" xfId="41" applyFont="1" applyFill="1" applyBorder="1"/>
    <xf numFmtId="0" fontId="74" fillId="35" borderId="77" xfId="41" applyFont="1" applyFill="1" applyBorder="1" applyAlignment="1"/>
    <xf numFmtId="0" fontId="74" fillId="35" borderId="78" xfId="41" applyFont="1" applyFill="1" applyBorder="1" applyAlignment="1"/>
    <xf numFmtId="0" fontId="74" fillId="35" borderId="79" xfId="41" applyFont="1" applyFill="1" applyBorder="1" applyAlignment="1"/>
    <xf numFmtId="0" fontId="33" fillId="35" borderId="77" xfId="41" applyFont="1" applyFill="1" applyBorder="1"/>
    <xf numFmtId="0" fontId="74" fillId="35" borderId="173" xfId="41" applyFont="1" applyFill="1" applyBorder="1" applyAlignment="1"/>
    <xf numFmtId="0" fontId="74" fillId="35" borderId="57" xfId="41" applyFont="1" applyFill="1" applyBorder="1" applyAlignment="1"/>
    <xf numFmtId="0" fontId="74" fillId="35" borderId="174" xfId="41" applyFont="1" applyFill="1" applyBorder="1" applyAlignment="1"/>
    <xf numFmtId="0" fontId="33" fillId="35" borderId="173" xfId="41" applyFont="1" applyFill="1" applyBorder="1"/>
    <xf numFmtId="0" fontId="33" fillId="35" borderId="105" xfId="41" applyFont="1" applyFill="1" applyBorder="1" applyAlignment="1"/>
    <xf numFmtId="0" fontId="33" fillId="35" borderId="116" xfId="41" applyFont="1" applyFill="1" applyBorder="1" applyAlignment="1"/>
    <xf numFmtId="0" fontId="33" fillId="35" borderId="107" xfId="41" applyFont="1" applyFill="1" applyBorder="1" applyAlignment="1"/>
    <xf numFmtId="0" fontId="33" fillId="35" borderId="105" xfId="41" applyFont="1" applyFill="1" applyBorder="1"/>
    <xf numFmtId="0" fontId="33" fillId="35" borderId="99" xfId="41" applyFont="1" applyFill="1" applyBorder="1"/>
    <xf numFmtId="0" fontId="33" fillId="35" borderId="48" xfId="41" applyFont="1" applyFill="1" applyBorder="1"/>
    <xf numFmtId="168" fontId="33" fillId="35" borderId="79" xfId="41" applyNumberFormat="1" applyFont="1" applyFill="1" applyBorder="1"/>
    <xf numFmtId="168" fontId="33" fillId="35" borderId="77" xfId="41" applyNumberFormat="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74" xfId="41" applyNumberFormat="1" applyFont="1" applyFill="1" applyBorder="1"/>
    <xf numFmtId="168" fontId="33" fillId="35" borderId="173" xfId="41" applyNumberFormat="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7" xfId="41" applyNumberFormat="1" applyFont="1" applyFill="1" applyBorder="1"/>
    <xf numFmtId="168" fontId="33" fillId="35" borderId="105" xfId="41" applyNumberFormat="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168" fontId="91" fillId="35" borderId="21"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34" fillId="0" borderId="27" xfId="41" applyFont="1" applyBorder="1" applyAlignment="1">
      <alignment horizontal="center"/>
    </xf>
    <xf numFmtId="0" fontId="34" fillId="0" borderId="58"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6" xfId="0" applyFont="1" applyFill="1" applyBorder="1" applyAlignment="1">
      <alignment horizontal="center"/>
    </xf>
    <xf numFmtId="0" fontId="37" fillId="0" borderId="180" xfId="0" applyFont="1" applyFill="1" applyBorder="1" applyAlignment="1">
      <alignment horizontal="center"/>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87" xfId="0" applyFont="1" applyFill="1" applyBorder="1" applyAlignment="1">
      <alignment horizontal="right"/>
    </xf>
    <xf numFmtId="0" fontId="29" fillId="0" borderId="175" xfId="0" applyFont="1" applyFill="1" applyBorder="1" applyAlignment="1">
      <alignment horizontal="right"/>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37" fillId="0" borderId="177"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840.46527088408766</c:v>
                </c:pt>
                <c:pt idx="1">
                  <c:v>1680.9305417681753</c:v>
                </c:pt>
                <c:pt idx="2">
                  <c:v>2521.395812652263</c:v>
                </c:pt>
                <c:pt idx="3">
                  <c:v>3361.8610835363506</c:v>
                </c:pt>
                <c:pt idx="4">
                  <c:v>4202.3263544204674</c:v>
                </c:pt>
                <c:pt idx="5">
                  <c:v>4373.8152336049534</c:v>
                </c:pt>
                <c:pt idx="6">
                  <c:v>4545.3041127894394</c:v>
                </c:pt>
                <c:pt idx="7">
                  <c:v>4716.7929919739254</c:v>
                </c:pt>
                <c:pt idx="8">
                  <c:v>4888.2818711584114</c:v>
                </c:pt>
                <c:pt idx="9">
                  <c:v>5059.7707503429119</c:v>
                </c:pt>
                <c:pt idx="10">
                  <c:v>5059.7707503429119</c:v>
                </c:pt>
                <c:pt idx="11">
                  <c:v>5059.7707503429119</c:v>
                </c:pt>
                <c:pt idx="12">
                  <c:v>5059.7707503429119</c:v>
                </c:pt>
                <c:pt idx="13">
                  <c:v>5059.7707503429119</c:v>
                </c:pt>
                <c:pt idx="14">
                  <c:v>5059.7707503429119</c:v>
                </c:pt>
                <c:pt idx="15">
                  <c:v>5059.7707503429119</c:v>
                </c:pt>
                <c:pt idx="16">
                  <c:v>5059.7707503429119</c:v>
                </c:pt>
                <c:pt idx="17">
                  <c:v>5059.7707503429119</c:v>
                </c:pt>
                <c:pt idx="18">
                  <c:v>5059.7707503429119</c:v>
                </c:pt>
                <c:pt idx="19">
                  <c:v>5059.7707503429119</c:v>
                </c:pt>
                <c:pt idx="20">
                  <c:v>5059.7707503429119</c:v>
                </c:pt>
                <c:pt idx="21">
                  <c:v>5059.7707503429119</c:v>
                </c:pt>
                <c:pt idx="22">
                  <c:v>5059.7707503429119</c:v>
                </c:pt>
                <c:pt idx="23">
                  <c:v>5059.7707503429119</c:v>
                </c:pt>
                <c:pt idx="24">
                  <c:v>5059.7707503429119</c:v>
                </c:pt>
                <c:pt idx="25">
                  <c:v>5059.7707503429119</c:v>
                </c:pt>
                <c:pt idx="26">
                  <c:v>5059.7707503429119</c:v>
                </c:pt>
                <c:pt idx="27">
                  <c:v>5059.7707503429119</c:v>
                </c:pt>
                <c:pt idx="28">
                  <c:v>5059.7707503429119</c:v>
                </c:pt>
                <c:pt idx="29">
                  <c:v>5059.7707503429119</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ISG</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1666.4794172293186</c:v>
                </c:pt>
                <c:pt idx="1">
                  <c:v>2360.5513691763335</c:v>
                </c:pt>
                <c:pt idx="2">
                  <c:v>3054.6233211233484</c:v>
                </c:pt>
                <c:pt idx="3">
                  <c:v>3748.6952730703633</c:v>
                </c:pt>
                <c:pt idx="4">
                  <c:v>4442.7672250173928</c:v>
                </c:pt>
                <c:pt idx="5">
                  <c:v>4579.0086429013609</c:v>
                </c:pt>
                <c:pt idx="6">
                  <c:v>4715.250060785329</c:v>
                </c:pt>
                <c:pt idx="7">
                  <c:v>4851.4914786692971</c:v>
                </c:pt>
                <c:pt idx="8">
                  <c:v>4987.7328965532652</c:v>
                </c:pt>
                <c:pt idx="9">
                  <c:v>5123.9743144372333</c:v>
                </c:pt>
                <c:pt idx="10">
                  <c:v>5123.9743144372333</c:v>
                </c:pt>
                <c:pt idx="11">
                  <c:v>5123.9743144372333</c:v>
                </c:pt>
                <c:pt idx="12">
                  <c:v>5123.9743144372333</c:v>
                </c:pt>
                <c:pt idx="13">
                  <c:v>5123.9743144372333</c:v>
                </c:pt>
                <c:pt idx="14">
                  <c:v>5123.9743144372333</c:v>
                </c:pt>
                <c:pt idx="15">
                  <c:v>5123.9743144372333</c:v>
                </c:pt>
                <c:pt idx="16">
                  <c:v>5123.9743144372333</c:v>
                </c:pt>
                <c:pt idx="17">
                  <c:v>5123.9743144372333</c:v>
                </c:pt>
                <c:pt idx="18">
                  <c:v>5123.9743144372333</c:v>
                </c:pt>
                <c:pt idx="19">
                  <c:v>5123.9743144372333</c:v>
                </c:pt>
                <c:pt idx="20">
                  <c:v>5123.9743144372333</c:v>
                </c:pt>
                <c:pt idx="21">
                  <c:v>5123.9743144372333</c:v>
                </c:pt>
                <c:pt idx="22">
                  <c:v>5123.9743144372333</c:v>
                </c:pt>
                <c:pt idx="23">
                  <c:v>5123.9743144372333</c:v>
                </c:pt>
                <c:pt idx="24">
                  <c:v>5123.9743144372333</c:v>
                </c:pt>
                <c:pt idx="25">
                  <c:v>5123.9743144372333</c:v>
                </c:pt>
                <c:pt idx="26">
                  <c:v>5123.9743144372333</c:v>
                </c:pt>
                <c:pt idx="27">
                  <c:v>5123.9743144372333</c:v>
                </c:pt>
                <c:pt idx="28">
                  <c:v>5123.9743144372333</c:v>
                </c:pt>
                <c:pt idx="29">
                  <c:v>5123.9743144372333</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13109.729877727412</c:v>
                </c:pt>
                <c:pt idx="1">
                  <c:v>12471.3290793755</c:v>
                </c:pt>
                <c:pt idx="2">
                  <c:v>11832.928281023589</c:v>
                </c:pt>
                <c:pt idx="3">
                  <c:v>11194.527482671678</c:v>
                </c:pt>
                <c:pt idx="4">
                  <c:v>10556.126684319781</c:v>
                </c:pt>
                <c:pt idx="5">
                  <c:v>10405.351335317668</c:v>
                </c:pt>
                <c:pt idx="6">
                  <c:v>10254.575986315554</c:v>
                </c:pt>
                <c:pt idx="7">
                  <c:v>10103.800637313441</c:v>
                </c:pt>
                <c:pt idx="8">
                  <c:v>9953.025288311328</c:v>
                </c:pt>
                <c:pt idx="9">
                  <c:v>9802.2499393092439</c:v>
                </c:pt>
                <c:pt idx="10">
                  <c:v>10076.401732986604</c:v>
                </c:pt>
                <c:pt idx="11">
                  <c:v>10350.553526663964</c:v>
                </c:pt>
                <c:pt idx="12">
                  <c:v>10624.705320341323</c:v>
                </c:pt>
                <c:pt idx="13">
                  <c:v>10898.857114018683</c:v>
                </c:pt>
                <c:pt idx="14">
                  <c:v>11173.008907696058</c:v>
                </c:pt>
                <c:pt idx="15">
                  <c:v>11472.423184880303</c:v>
                </c:pt>
                <c:pt idx="16">
                  <c:v>11472.423184880303</c:v>
                </c:pt>
                <c:pt idx="17">
                  <c:v>11472.423184880303</c:v>
                </c:pt>
                <c:pt idx="18">
                  <c:v>11472.423184880303</c:v>
                </c:pt>
                <c:pt idx="19">
                  <c:v>11472.423184880303</c:v>
                </c:pt>
                <c:pt idx="20">
                  <c:v>11472.423184880303</c:v>
                </c:pt>
                <c:pt idx="21">
                  <c:v>11472.423184880303</c:v>
                </c:pt>
                <c:pt idx="22">
                  <c:v>11472.423184880303</c:v>
                </c:pt>
                <c:pt idx="23">
                  <c:v>11472.423184880303</c:v>
                </c:pt>
                <c:pt idx="24">
                  <c:v>11472.423184880303</c:v>
                </c:pt>
                <c:pt idx="25">
                  <c:v>11472.423184880303</c:v>
                </c:pt>
                <c:pt idx="26">
                  <c:v>11472.423184880303</c:v>
                </c:pt>
                <c:pt idx="27">
                  <c:v>11472.423184880303</c:v>
                </c:pt>
                <c:pt idx="28">
                  <c:v>11472.423184880303</c:v>
                </c:pt>
                <c:pt idx="29">
                  <c:v>11472.423184880303</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PHEV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144164.79851970976</c:v>
                </c:pt>
                <c:pt idx="1">
                  <c:v>122356.24341838573</c:v>
                </c:pt>
                <c:pt idx="2">
                  <c:v>100547.68831706169</c:v>
                </c:pt>
                <c:pt idx="3">
                  <c:v>78739.13321573766</c:v>
                </c:pt>
                <c:pt idx="4">
                  <c:v>56930.578114413584</c:v>
                </c:pt>
                <c:pt idx="5">
                  <c:v>52011.723754359904</c:v>
                </c:pt>
                <c:pt idx="6">
                  <c:v>47092.869394306224</c:v>
                </c:pt>
                <c:pt idx="7">
                  <c:v>42174.015034252545</c:v>
                </c:pt>
                <c:pt idx="8">
                  <c:v>37255.160674198865</c:v>
                </c:pt>
                <c:pt idx="9">
                  <c:v>32336.306314145273</c:v>
                </c:pt>
                <c:pt idx="10">
                  <c:v>30465.139959469729</c:v>
                </c:pt>
                <c:pt idx="11">
                  <c:v>28593.973604794184</c:v>
                </c:pt>
                <c:pt idx="12">
                  <c:v>26722.80725011864</c:v>
                </c:pt>
                <c:pt idx="13">
                  <c:v>24851.640895443095</c:v>
                </c:pt>
                <c:pt idx="14">
                  <c:v>22980.474540767522</c:v>
                </c:pt>
                <c:pt idx="15">
                  <c:v>22995.141953531071</c:v>
                </c:pt>
                <c:pt idx="16">
                  <c:v>23009.809366294619</c:v>
                </c:pt>
                <c:pt idx="17">
                  <c:v>23024.476779058168</c:v>
                </c:pt>
                <c:pt idx="18">
                  <c:v>23039.144191821717</c:v>
                </c:pt>
                <c:pt idx="19">
                  <c:v>23053.811604585266</c:v>
                </c:pt>
                <c:pt idx="20">
                  <c:v>23068.479017348815</c:v>
                </c:pt>
                <c:pt idx="21">
                  <c:v>23083.146430112363</c:v>
                </c:pt>
                <c:pt idx="22">
                  <c:v>23097.813842875912</c:v>
                </c:pt>
                <c:pt idx="23">
                  <c:v>23112.481255639461</c:v>
                </c:pt>
                <c:pt idx="24">
                  <c:v>23127.14866840301</c:v>
                </c:pt>
                <c:pt idx="25">
                  <c:v>23141.816081166558</c:v>
                </c:pt>
                <c:pt idx="26">
                  <c:v>23156.483493930107</c:v>
                </c:pt>
                <c:pt idx="27">
                  <c:v>23171.150906693656</c:v>
                </c:pt>
                <c:pt idx="28">
                  <c:v>23185.818319457205</c:v>
                </c:pt>
                <c:pt idx="29">
                  <c:v>23200.485732220724</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BEV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254951.09746535946</c:v>
                </c:pt>
                <c:pt idx="1">
                  <c:v>215138.05970907584</c:v>
                </c:pt>
                <c:pt idx="2">
                  <c:v>175325.02195279219</c:v>
                </c:pt>
                <c:pt idx="3">
                  <c:v>135511.98419650859</c:v>
                </c:pt>
                <c:pt idx="4">
                  <c:v>95698.946440225016</c:v>
                </c:pt>
                <c:pt idx="5">
                  <c:v>86083.468857967993</c:v>
                </c:pt>
                <c:pt idx="6">
                  <c:v>76467.991275710971</c:v>
                </c:pt>
                <c:pt idx="7">
                  <c:v>66852.513693453948</c:v>
                </c:pt>
                <c:pt idx="8">
                  <c:v>57237.036111196925</c:v>
                </c:pt>
                <c:pt idx="9">
                  <c:v>47621.558528939873</c:v>
                </c:pt>
                <c:pt idx="10">
                  <c:v>43697.808657362766</c:v>
                </c:pt>
                <c:pt idx="11">
                  <c:v>39774.058785785659</c:v>
                </c:pt>
                <c:pt idx="12">
                  <c:v>35850.308914208552</c:v>
                </c:pt>
                <c:pt idx="13">
                  <c:v>31926.559042631445</c:v>
                </c:pt>
                <c:pt idx="14">
                  <c:v>28002.809171054396</c:v>
                </c:pt>
                <c:pt idx="15">
                  <c:v>27642.703353960344</c:v>
                </c:pt>
                <c:pt idx="16">
                  <c:v>27282.597536866291</c:v>
                </c:pt>
                <c:pt idx="17">
                  <c:v>26922.491719772239</c:v>
                </c:pt>
                <c:pt idx="18">
                  <c:v>26562.385902678187</c:v>
                </c:pt>
                <c:pt idx="19">
                  <c:v>26202.280085584134</c:v>
                </c:pt>
                <c:pt idx="20">
                  <c:v>25842.174268490082</c:v>
                </c:pt>
                <c:pt idx="21">
                  <c:v>25482.06845139603</c:v>
                </c:pt>
                <c:pt idx="22">
                  <c:v>25121.962634301977</c:v>
                </c:pt>
                <c:pt idx="23">
                  <c:v>24761.856817207925</c:v>
                </c:pt>
                <c:pt idx="24">
                  <c:v>24401.751000113873</c:v>
                </c:pt>
                <c:pt idx="25">
                  <c:v>24041.64518301982</c:v>
                </c:pt>
                <c:pt idx="26">
                  <c:v>23681.539365925768</c:v>
                </c:pt>
                <c:pt idx="27">
                  <c:v>23321.433548831716</c:v>
                </c:pt>
                <c:pt idx="28">
                  <c:v>22961.327731737663</c:v>
                </c:pt>
                <c:pt idx="29">
                  <c:v>22601.221914643567</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7.1066946066856191</c:v>
                </c:pt>
                <c:pt idx="1">
                  <c:v>7.2549468572317179</c:v>
                </c:pt>
                <c:pt idx="2">
                  <c:v>7.3952245468405886</c:v>
                </c:pt>
                <c:pt idx="3">
                  <c:v>7.5444330920738185</c:v>
                </c:pt>
                <c:pt idx="4">
                  <c:v>7.6904954072333691</c:v>
                </c:pt>
                <c:pt idx="5">
                  <c:v>7.8796174660298455</c:v>
                </c:pt>
                <c:pt idx="6">
                  <c:v>8.0838815874836101</c:v>
                </c:pt>
                <c:pt idx="7">
                  <c:v>8.1579983898762283</c:v>
                </c:pt>
                <c:pt idx="8">
                  <c:v>8.3204018705413638</c:v>
                </c:pt>
                <c:pt idx="9">
                  <c:v>8.4596513418802797</c:v>
                </c:pt>
                <c:pt idx="10">
                  <c:v>8.4765855799556995</c:v>
                </c:pt>
                <c:pt idx="11">
                  <c:v>8.4935198180311193</c:v>
                </c:pt>
                <c:pt idx="12">
                  <c:v>8.5104540561065392</c:v>
                </c:pt>
                <c:pt idx="13">
                  <c:v>8.5273882941819608</c:v>
                </c:pt>
                <c:pt idx="14">
                  <c:v>8.5443225322573806</c:v>
                </c:pt>
                <c:pt idx="15">
                  <c:v>8.5444945413697049</c:v>
                </c:pt>
                <c:pt idx="16">
                  <c:v>8.5450857966197695</c:v>
                </c:pt>
                <c:pt idx="17">
                  <c:v>8.5458752554962878</c:v>
                </c:pt>
                <c:pt idx="18">
                  <c:v>8.5469273081410861</c:v>
                </c:pt>
                <c:pt idx="19">
                  <c:v>8.5484593706521306</c:v>
                </c:pt>
                <c:pt idx="20">
                  <c:v>8.5501630690723598</c:v>
                </c:pt>
                <c:pt idx="21">
                  <c:v>8.552006775413572</c:v>
                </c:pt>
                <c:pt idx="22">
                  <c:v>8.5541625159132924</c:v>
                </c:pt>
                <c:pt idx="23">
                  <c:v>8.5564345191960758</c:v>
                </c:pt>
                <c:pt idx="24">
                  <c:v>8.5588402101966423</c:v>
                </c:pt>
                <c:pt idx="25">
                  <c:v>8.5606020112770658</c:v>
                </c:pt>
                <c:pt idx="26">
                  <c:v>8.5625313997551658</c:v>
                </c:pt>
                <c:pt idx="27">
                  <c:v>8.562689035627594</c:v>
                </c:pt>
                <c:pt idx="28">
                  <c:v>8.5628466715000222</c:v>
                </c:pt>
                <c:pt idx="29">
                  <c:v>8.5630043073724504</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7.2514618381519949</c:v>
                </c:pt>
                <c:pt idx="1">
                  <c:v>7.5470263474657688</c:v>
                </c:pt>
                <c:pt idx="2">
                  <c:v>7.8365961510935715</c:v>
                </c:pt>
                <c:pt idx="3">
                  <c:v>8.1378673626194438</c:v>
                </c:pt>
                <c:pt idx="4">
                  <c:v>8.438014936260716</c:v>
                </c:pt>
                <c:pt idx="5">
                  <c:v>8.7883235625922929</c:v>
                </c:pt>
                <c:pt idx="6">
                  <c:v>9.1593786749555619</c:v>
                </c:pt>
                <c:pt idx="7">
                  <c:v>9.3847120142735569</c:v>
                </c:pt>
                <c:pt idx="8">
                  <c:v>9.7125571365681882</c:v>
                </c:pt>
                <c:pt idx="9">
                  <c:v>10.015389114320127</c:v>
                </c:pt>
                <c:pt idx="10">
                  <c:v>10.035437574572883</c:v>
                </c:pt>
                <c:pt idx="11">
                  <c:v>10.055486034825639</c:v>
                </c:pt>
                <c:pt idx="12">
                  <c:v>10.075534495078395</c:v>
                </c:pt>
                <c:pt idx="13">
                  <c:v>10.095582955331153</c:v>
                </c:pt>
                <c:pt idx="14">
                  <c:v>10.115631415583909</c:v>
                </c:pt>
                <c:pt idx="15">
                  <c:v>10.115835057332429</c:v>
                </c:pt>
                <c:pt idx="16">
                  <c:v>10.116535044974469</c:v>
                </c:pt>
                <c:pt idx="17">
                  <c:v>10.11746968607474</c:v>
                </c:pt>
                <c:pt idx="18">
                  <c:v>10.118715212182209</c:v>
                </c:pt>
                <c:pt idx="19">
                  <c:v>10.120529022418053</c:v>
                </c:pt>
                <c:pt idx="20">
                  <c:v>10.122546032566872</c:v>
                </c:pt>
                <c:pt idx="21">
                  <c:v>10.124728798223934</c:v>
                </c:pt>
                <c:pt idx="22">
                  <c:v>10.127280981412301</c:v>
                </c:pt>
                <c:pt idx="23">
                  <c:v>10.12997080821798</c:v>
                </c:pt>
                <c:pt idx="24">
                  <c:v>10.132818908037438</c:v>
                </c:pt>
                <c:pt idx="25">
                  <c:v>10.134904705979856</c:v>
                </c:pt>
                <c:pt idx="26">
                  <c:v>10.137188910798701</c:v>
                </c:pt>
                <c:pt idx="27">
                  <c:v>10.137375536055101</c:v>
                </c:pt>
                <c:pt idx="28">
                  <c:v>10.137562161311502</c:v>
                </c:pt>
                <c:pt idx="29">
                  <c:v>10.137748786567903</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ISG</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7.642758539201461</c:v>
                </c:pt>
                <c:pt idx="1">
                  <c:v>7.9604767491506108</c:v>
                </c:pt>
                <c:pt idx="2">
                  <c:v>8.2719688938604357</c:v>
                </c:pt>
                <c:pt idx="3">
                  <c:v>8.5959051807146825</c:v>
                </c:pt>
                <c:pt idx="4">
                  <c:v>8.9187469265359489</c:v>
                </c:pt>
                <c:pt idx="5">
                  <c:v>9.2947241149660904</c:v>
                </c:pt>
                <c:pt idx="6">
                  <c:v>9.6927950245681878</c:v>
                </c:pt>
                <c:pt idx="7">
                  <c:v>9.9367251422608067</c:v>
                </c:pt>
                <c:pt idx="8">
                  <c:v>10.289233048717541</c:v>
                </c:pt>
                <c:pt idx="9">
                  <c:v>10.615318411461462</c:v>
                </c:pt>
                <c:pt idx="10">
                  <c:v>10.636567789474968</c:v>
                </c:pt>
                <c:pt idx="11">
                  <c:v>10.657817167488474</c:v>
                </c:pt>
                <c:pt idx="12">
                  <c:v>10.67906654550198</c:v>
                </c:pt>
                <c:pt idx="13">
                  <c:v>10.700315923515488</c:v>
                </c:pt>
                <c:pt idx="14">
                  <c:v>10.721565301528994</c:v>
                </c:pt>
                <c:pt idx="15">
                  <c:v>10.721781141570528</c:v>
                </c:pt>
                <c:pt idx="16">
                  <c:v>10.722523058995755</c:v>
                </c:pt>
                <c:pt idx="17">
                  <c:v>10.723513685796828</c:v>
                </c:pt>
                <c:pt idx="18">
                  <c:v>10.724833819849501</c:v>
                </c:pt>
                <c:pt idx="19">
                  <c:v>10.726756278674783</c:v>
                </c:pt>
                <c:pt idx="20">
                  <c:v>10.728894109239773</c:v>
                </c:pt>
                <c:pt idx="21">
                  <c:v>10.731207624191898</c:v>
                </c:pt>
                <c:pt idx="22">
                  <c:v>10.733912685061691</c:v>
                </c:pt>
                <c:pt idx="23">
                  <c:v>10.736763634504399</c:v>
                </c:pt>
                <c:pt idx="24">
                  <c:v>10.739782337632763</c:v>
                </c:pt>
                <c:pt idx="25">
                  <c:v>10.741993076431626</c:v>
                </c:pt>
                <c:pt idx="26">
                  <c:v>10.744414106827175</c:v>
                </c:pt>
                <c:pt idx="27">
                  <c:v>10.744611911075987</c:v>
                </c:pt>
                <c:pt idx="28">
                  <c:v>10.7448097153248</c:v>
                </c:pt>
                <c:pt idx="29">
                  <c:v>10.745007519573612</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8.252103623726434</c:v>
                </c:pt>
                <c:pt idx="1">
                  <c:v>8.5867009582406837</c:v>
                </c:pt>
                <c:pt idx="2">
                  <c:v>8.9144503459649904</c:v>
                </c:pt>
                <c:pt idx="3">
                  <c:v>9.2554843966218385</c:v>
                </c:pt>
                <c:pt idx="4">
                  <c:v>9.5952144109461681</c:v>
                </c:pt>
                <c:pt idx="5">
                  <c:v>9.9919516873462335</c:v>
                </c:pt>
                <c:pt idx="6">
                  <c:v>10.412233966282747</c:v>
                </c:pt>
                <c:pt idx="7">
                  <c:v>10.666843043707351</c:v>
                </c:pt>
                <c:pt idx="8">
                  <c:v>11.037958743380047</c:v>
                </c:pt>
                <c:pt idx="9">
                  <c:v>11.380626544197902</c:v>
                </c:pt>
                <c:pt idx="10">
                  <c:v>11.517968900373031</c:v>
                </c:pt>
                <c:pt idx="11">
                  <c:v>11.655768988830102</c:v>
                </c:pt>
                <c:pt idx="12">
                  <c:v>11.794026809569115</c:v>
                </c:pt>
                <c:pt idx="13">
                  <c:v>11.932742362590075</c:v>
                </c:pt>
                <c:pt idx="14">
                  <c:v>12.071915647892972</c:v>
                </c:pt>
                <c:pt idx="15">
                  <c:v>12.072158672367623</c:v>
                </c:pt>
                <c:pt idx="16">
                  <c:v>12.072994032161008</c:v>
                </c:pt>
                <c:pt idx="17">
                  <c:v>12.074109425561577</c:v>
                </c:pt>
                <c:pt idx="18">
                  <c:v>12.075595826705401</c:v>
                </c:pt>
                <c:pt idx="19">
                  <c:v>12.077760413696447</c:v>
                </c:pt>
                <c:pt idx="20" formatCode="0.000">
                  <c:v>12.080167497879049</c:v>
                </c:pt>
                <c:pt idx="21" formatCode="0.000">
                  <c:v>12.082772393392599</c:v>
                </c:pt>
                <c:pt idx="22" formatCode="0.000">
                  <c:v>12.085818148907226</c:v>
                </c:pt>
                <c:pt idx="23" formatCode="0.000">
                  <c:v>12.089028167241382</c:v>
                </c:pt>
                <c:pt idx="24" formatCode="0.000">
                  <c:v>12.092427067355944</c:v>
                </c:pt>
                <c:pt idx="25" formatCode="0.000">
                  <c:v>12.094916242355009</c:v>
                </c:pt>
                <c:pt idx="26" formatCode="0.000">
                  <c:v>12.097642194573186</c:v>
                </c:pt>
                <c:pt idx="27" formatCode="0.000">
                  <c:v>12.097864911698839</c:v>
                </c:pt>
                <c:pt idx="28" formatCode="0.000">
                  <c:v>12.098087628824493</c:v>
                </c:pt>
                <c:pt idx="29">
                  <c:v>12.098310345950145</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PHEV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7.3375200040858592</c:v>
                </c:pt>
                <c:pt idx="1">
                  <c:v>7.7492075439830908</c:v>
                </c:pt>
                <c:pt idx="2">
                  <c:v>8.1565012303305213</c:v>
                </c:pt>
                <c:pt idx="3">
                  <c:v>8.577655530394896</c:v>
                </c:pt>
                <c:pt idx="4">
                  <c:v>8.9993014444510671</c:v>
                </c:pt>
                <c:pt idx="5">
                  <c:v>9.4765614577954143</c:v>
                </c:pt>
                <c:pt idx="6">
                  <c:v>9.9789475009735593</c:v>
                </c:pt>
                <c:pt idx="7">
                  <c:v>10.3237961938114</c:v>
                </c:pt>
                <c:pt idx="8">
                  <c:v>10.782071844137519</c:v>
                </c:pt>
                <c:pt idx="9">
                  <c:v>11.213954622667076</c:v>
                </c:pt>
                <c:pt idx="10">
                  <c:v>11.42376443404703</c:v>
                </c:pt>
                <c:pt idx="11">
                  <c:v>11.634322856868829</c:v>
                </c:pt>
                <c:pt idx="12">
                  <c:v>11.845629891132475</c:v>
                </c:pt>
                <c:pt idx="13">
                  <c:v>12.057685536837971</c:v>
                </c:pt>
                <c:pt idx="14">
                  <c:v>12.270489793985307</c:v>
                </c:pt>
                <c:pt idx="15">
                  <c:v>12.341382408440833</c:v>
                </c:pt>
                <c:pt idx="16">
                  <c:v>12.412886878652932</c:v>
                </c:pt>
                <c:pt idx="17">
                  <c:v>12.484690681998952</c:v>
                </c:pt>
                <c:pt idx="18">
                  <c:v>12.556893334797435</c:v>
                </c:pt>
                <c:pt idx="19">
                  <c:v>12.629822569300575</c:v>
                </c:pt>
                <c:pt idx="20" formatCode="0.000">
                  <c:v>12.703032138457624</c:v>
                </c:pt>
                <c:pt idx="21" formatCode="0.000">
                  <c:v>12.77647904810412</c:v>
                </c:pt>
                <c:pt idx="22" formatCode="0.000">
                  <c:v>12.850425196081595</c:v>
                </c:pt>
                <c:pt idx="23" formatCode="0.000">
                  <c:v>12.924582607371574</c:v>
                </c:pt>
                <c:pt idx="24" formatCode="0.000">
                  <c:v>12.998980630356771</c:v>
                </c:pt>
                <c:pt idx="25" formatCode="0.000">
                  <c:v>13.072435183999087</c:v>
                </c:pt>
                <c:pt idx="26" formatCode="0.000">
                  <c:v>13.146176169978935</c:v>
                </c:pt>
                <c:pt idx="27" formatCode="0.000">
                  <c:v>13.217214214445622</c:v>
                </c:pt>
                <c:pt idx="28" formatCode="0.000">
                  <c:v>13.288254865568454</c:v>
                </c:pt>
                <c:pt idx="29">
                  <c:v>13.359298123347438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BEV</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19.338612344170912</c:v>
                </c:pt>
                <c:pt idx="1">
                  <c:v>20.10703473654937</c:v>
                </c:pt>
                <c:pt idx="2">
                  <c:v>20.85917604808748</c:v>
                </c:pt>
                <c:pt idx="3">
                  <c:v>21.642168020992671</c:v>
                </c:pt>
                <c:pt idx="4">
                  <c:v>22.421876989082108</c:v>
                </c:pt>
                <c:pt idx="5">
                  <c:v>23.334503972412637</c:v>
                </c:pt>
                <c:pt idx="6">
                  <c:v>24.301731930902008</c:v>
                </c:pt>
                <c:pt idx="7">
                  <c:v>24.882114628625285</c:v>
                </c:pt>
                <c:pt idx="8">
                  <c:v>25.734175887171379</c:v>
                </c:pt>
                <c:pt idx="9">
                  <c:v>26.51972111238014</c:v>
                </c:pt>
                <c:pt idx="10">
                  <c:v>26.785155926023332</c:v>
                </c:pt>
                <c:pt idx="11">
                  <c:v>27.051439185278891</c:v>
                </c:pt>
                <c:pt idx="12">
                  <c:v>27.318570890146823</c:v>
                </c:pt>
                <c:pt idx="13">
                  <c:v>27.586551040627128</c:v>
                </c:pt>
                <c:pt idx="14">
                  <c:v>27.855379636719789</c:v>
                </c:pt>
                <c:pt idx="15">
                  <c:v>27.952689269003422</c:v>
                </c:pt>
                <c:pt idx="16">
                  <c:v>28.05137907678122</c:v>
                </c:pt>
                <c:pt idx="17">
                  <c:v>28.150735171236917</c:v>
                </c:pt>
                <c:pt idx="18">
                  <c:v>28.250977120018931</c:v>
                </c:pt>
                <c:pt idx="19">
                  <c:v>28.352834951169029</c:v>
                </c:pt>
                <c:pt idx="20" formatCode="0.000">
                  <c:v>28.455298688698463</c:v>
                </c:pt>
                <c:pt idx="21" formatCode="0.000">
                  <c:v>28.558268545496833</c:v>
                </c:pt>
                <c:pt idx="22" formatCode="0.000">
                  <c:v>28.662325683640393</c:v>
                </c:pt>
                <c:pt idx="23" formatCode="0.000">
                  <c:v>28.766822517152743</c:v>
                </c:pt>
                <c:pt idx="24" formatCode="0.000">
                  <c:v>28.871821775460866</c:v>
                </c:pt>
                <c:pt idx="25" formatCode="0.000">
                  <c:v>28.974696166673027</c:v>
                </c:pt>
                <c:pt idx="26" formatCode="0.000">
                  <c:v>29.078179578785281</c:v>
                </c:pt>
                <c:pt idx="27" formatCode="0.000">
                  <c:v>29.175669786952263</c:v>
                </c:pt>
                <c:pt idx="28" formatCode="0.000">
                  <c:v>29.273163564924715</c:v>
                </c:pt>
                <c:pt idx="29">
                  <c:v>29.37066091270264</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14.907992063443624</c:v>
                </c:pt>
                <c:pt idx="1">
                  <c:v>14.907992063443624</c:v>
                </c:pt>
                <c:pt idx="2">
                  <c:v>14.907992063443624</c:v>
                </c:pt>
                <c:pt idx="3">
                  <c:v>14.907992063443624</c:v>
                </c:pt>
                <c:pt idx="4">
                  <c:v>14.907992063443624</c:v>
                </c:pt>
                <c:pt idx="5">
                  <c:v>14.907992063443624</c:v>
                </c:pt>
                <c:pt idx="6">
                  <c:v>14.907992063443624</c:v>
                </c:pt>
                <c:pt idx="7">
                  <c:v>13.310707199503236</c:v>
                </c:pt>
                <c:pt idx="8">
                  <c:v>9.5837091836423323</c:v>
                </c:pt>
                <c:pt idx="9">
                  <c:v>7.4539960317218119</c:v>
                </c:pt>
                <c:pt idx="10">
                  <c:v>7.1345390589337354</c:v>
                </c:pt>
                <c:pt idx="11">
                  <c:v>6.9215677437416838</c:v>
                </c:pt>
                <c:pt idx="12">
                  <c:v>6.655353599751618</c:v>
                </c:pt>
                <c:pt idx="13">
                  <c:v>6.4423822845595655</c:v>
                </c:pt>
                <c:pt idx="14">
                  <c:v>6.3039509296847331</c:v>
                </c:pt>
                <c:pt idx="15">
                  <c:v>6.1229253117714899</c:v>
                </c:pt>
                <c:pt idx="16">
                  <c:v>5.9099539965794374</c:v>
                </c:pt>
                <c:pt idx="17">
                  <c:v>5.7076312471469883</c:v>
                </c:pt>
                <c:pt idx="18">
                  <c:v>5.5053084977145392</c:v>
                </c:pt>
                <c:pt idx="19">
                  <c:v>5.324282879801296</c:v>
                </c:pt>
                <c:pt idx="20">
                  <c:v>5.1645543934072551</c:v>
                </c:pt>
                <c:pt idx="21">
                  <c:v>5.0367716042920252</c:v>
                </c:pt>
                <c:pt idx="22">
                  <c:v>4.919637380936396</c:v>
                </c:pt>
                <c:pt idx="23">
                  <c:v>4.7918545918211661</c:v>
                </c:pt>
                <c:pt idx="24">
                  <c:v>4.6853689342251403</c:v>
                </c:pt>
                <c:pt idx="25">
                  <c:v>4.5788832766291137</c:v>
                </c:pt>
                <c:pt idx="26">
                  <c:v>4.4936947505522928</c:v>
                </c:pt>
                <c:pt idx="27">
                  <c:v>4.4191547902350754</c:v>
                </c:pt>
                <c:pt idx="28">
                  <c:v>4.3339662641582546</c:v>
                </c:pt>
                <c:pt idx="29">
                  <c:v>4.2594263038410354</c:v>
                </c:pt>
                <c:pt idx="30">
                  <c:v>4.2594263038410354</c:v>
                </c:pt>
                <c:pt idx="31">
                  <c:v>4.2594263038410354</c:v>
                </c:pt>
                <c:pt idx="32">
                  <c:v>4.2594263038410354</c:v>
                </c:pt>
                <c:pt idx="33">
                  <c:v>4.2594263038410354</c:v>
                </c:pt>
                <c:pt idx="34">
                  <c:v>4.2594263038410354</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10.648565759602592</c:v>
                </c:pt>
                <c:pt idx="1">
                  <c:v>10.648565759602592</c:v>
                </c:pt>
                <c:pt idx="2">
                  <c:v>10.648565759602592</c:v>
                </c:pt>
                <c:pt idx="3">
                  <c:v>10.648565759602592</c:v>
                </c:pt>
                <c:pt idx="4">
                  <c:v>10.648565759602592</c:v>
                </c:pt>
                <c:pt idx="5">
                  <c:v>10.222623129218485</c:v>
                </c:pt>
                <c:pt idx="6">
                  <c:v>9.4772235260463056</c:v>
                </c:pt>
                <c:pt idx="7">
                  <c:v>8.1993956348939943</c:v>
                </c:pt>
                <c:pt idx="8">
                  <c:v>6.9215677437416838</c:v>
                </c:pt>
                <c:pt idx="9">
                  <c:v>6.389139455761554</c:v>
                </c:pt>
                <c:pt idx="10">
                  <c:v>6.1974652720887073</c:v>
                </c:pt>
                <c:pt idx="11">
                  <c:v>6.0483853514542707</c:v>
                </c:pt>
                <c:pt idx="12">
                  <c:v>5.8993054308198349</c:v>
                </c:pt>
                <c:pt idx="13">
                  <c:v>5.8141169047430141</c:v>
                </c:pt>
                <c:pt idx="14">
                  <c:v>5.7289283786661933</c:v>
                </c:pt>
                <c:pt idx="15">
                  <c:v>5.6437398525893725</c:v>
                </c:pt>
                <c:pt idx="16">
                  <c:v>5.5585513265125517</c:v>
                </c:pt>
                <c:pt idx="17">
                  <c:v>5.4733628004357309</c:v>
                </c:pt>
                <c:pt idx="18">
                  <c:v>5.3988228401185134</c:v>
                </c:pt>
                <c:pt idx="19">
                  <c:v>5.324282879801296</c:v>
                </c:pt>
                <c:pt idx="20">
                  <c:v>5.1645543934072551</c:v>
                </c:pt>
                <c:pt idx="21">
                  <c:v>5.0367716042920252</c:v>
                </c:pt>
                <c:pt idx="22">
                  <c:v>4.919637380936396</c:v>
                </c:pt>
                <c:pt idx="23">
                  <c:v>4.7918545918211661</c:v>
                </c:pt>
                <c:pt idx="24">
                  <c:v>4.6853689342251403</c:v>
                </c:pt>
                <c:pt idx="25">
                  <c:v>4.5788832766291137</c:v>
                </c:pt>
                <c:pt idx="26">
                  <c:v>4.4936947505522928</c:v>
                </c:pt>
                <c:pt idx="27">
                  <c:v>4.4191547902350754</c:v>
                </c:pt>
                <c:pt idx="28">
                  <c:v>4.3339662641582546</c:v>
                </c:pt>
                <c:pt idx="29">
                  <c:v>4.2594263038410354</c:v>
                </c:pt>
                <c:pt idx="30">
                  <c:v>4.2594263038410354</c:v>
                </c:pt>
                <c:pt idx="31">
                  <c:v>4.2594263038410354</c:v>
                </c:pt>
                <c:pt idx="32">
                  <c:v>4.2594263038410354</c:v>
                </c:pt>
                <c:pt idx="33">
                  <c:v>4.2594263038410354</c:v>
                </c:pt>
                <c:pt idx="34">
                  <c:v>4.2594263038410354</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1.5928931240959662E-2</c:v>
                </c:pt>
                <c:pt idx="7">
                  <c:v>3.8506518821436485E-2</c:v>
                </c:pt>
                <c:pt idx="8">
                  <c:v>9.1397921213851346E-2</c:v>
                </c:pt>
                <c:pt idx="9">
                  <c:v>0.18410656562789671</c:v>
                </c:pt>
                <c:pt idx="10">
                  <c:v>0.22489262946611011</c:v>
                </c:pt>
                <c:pt idx="11">
                  <c:v>0.28083845692270154</c:v>
                </c:pt>
                <c:pt idx="12">
                  <c:v>0.29276057644526754</c:v>
                </c:pt>
                <c:pt idx="13">
                  <c:v>0.30692085019144022</c:v>
                </c:pt>
                <c:pt idx="14">
                  <c:v>0.30018362719385988</c:v>
                </c:pt>
                <c:pt idx="15">
                  <c:v>0.29458940799379474</c:v>
                </c:pt>
                <c:pt idx="16">
                  <c:v>0.2889263980489466</c:v>
                </c:pt>
                <c:pt idx="17">
                  <c:v>0.2764426782503826</c:v>
                </c:pt>
                <c:pt idx="18">
                  <c:v>0.27582637756335704</c:v>
                </c:pt>
                <c:pt idx="19">
                  <c:v>0.27400486324740425</c:v>
                </c:pt>
                <c:pt idx="20">
                  <c:v>0.21913461720827299</c:v>
                </c:pt>
                <c:pt idx="21">
                  <c:v>0.20429912891693064</c:v>
                </c:pt>
                <c:pt idx="22">
                  <c:v>0.24182327651210453</c:v>
                </c:pt>
                <c:pt idx="23">
                  <c:v>0.29041562794972592</c:v>
                </c:pt>
                <c:pt idx="24">
                  <c:v>0.32718663432259237</c:v>
                </c:pt>
                <c:pt idx="25">
                  <c:v>0.3520341054494357</c:v>
                </c:pt>
                <c:pt idx="26">
                  <c:v>0.36683570749533823</c:v>
                </c:pt>
                <c:pt idx="27">
                  <c:v>0.370824673206192</c:v>
                </c:pt>
                <c:pt idx="28">
                  <c:v>0.36946290744104177</c:v>
                </c:pt>
                <c:pt idx="29">
                  <c:v>0.36802435587783366</c:v>
                </c:pt>
                <c:pt idx="30">
                  <c:v>0.36283695714761266</c:v>
                </c:pt>
                <c:pt idx="31">
                  <c:v>0.35691139316353138</c:v>
                </c:pt>
                <c:pt idx="32">
                  <c:v>0.34544354797661919</c:v>
                </c:pt>
                <c:pt idx="33">
                  <c:v>0.32692353791740225</c:v>
                </c:pt>
                <c:pt idx="34">
                  <c:v>0.3030986653860574</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9.0698052157983603E-3</c:v>
                </c:pt>
                <c:pt idx="7">
                  <c:v>2.5977112997027468E-2</c:v>
                </c:pt>
                <c:pt idx="8">
                  <c:v>6.6497648390141037E-2</c:v>
                </c:pt>
                <c:pt idx="9">
                  <c:v>0.13170010618167194</c:v>
                </c:pt>
                <c:pt idx="10">
                  <c:v>0.17632342403187831</c:v>
                </c:pt>
                <c:pt idx="11">
                  <c:v>0.1940036380727384</c:v>
                </c:pt>
                <c:pt idx="12">
                  <c:v>0.22778966034938467</c:v>
                </c:pt>
                <c:pt idx="13">
                  <c:v>0.21916314556472735</c:v>
                </c:pt>
                <c:pt idx="14">
                  <c:v>0.23406339364196085</c:v>
                </c:pt>
                <c:pt idx="15">
                  <c:v>0.23889857059920339</c:v>
                </c:pt>
                <c:pt idx="16">
                  <c:v>0.2407676987097872</c:v>
                </c:pt>
                <c:pt idx="17">
                  <c:v>0.26663982255385671</c:v>
                </c:pt>
                <c:pt idx="18">
                  <c:v>0.27223891368770353</c:v>
                </c:pt>
                <c:pt idx="19">
                  <c:v>0.2779682119826169</c:v>
                </c:pt>
                <c:pt idx="20">
                  <c:v>0.36146659305503592</c:v>
                </c:pt>
                <c:pt idx="21">
                  <c:v>0.39585178633147872</c:v>
                </c:pt>
                <c:pt idx="22">
                  <c:v>0.40335121162467524</c:v>
                </c:pt>
                <c:pt idx="23">
                  <c:v>0.40000200431898847</c:v>
                </c:pt>
                <c:pt idx="24">
                  <c:v>0.40716406323173315</c:v>
                </c:pt>
                <c:pt idx="25">
                  <c:v>0.41733055486797072</c:v>
                </c:pt>
                <c:pt idx="26">
                  <c:v>0.42158901861412856</c:v>
                </c:pt>
                <c:pt idx="27">
                  <c:v>0.4190871693093573</c:v>
                </c:pt>
                <c:pt idx="28">
                  <c:v>0.41757398007967084</c:v>
                </c:pt>
                <c:pt idx="29">
                  <c:v>0.41192975162800699</c:v>
                </c:pt>
                <c:pt idx="30">
                  <c:v>0.40734023449632961</c:v>
                </c:pt>
                <c:pt idx="31">
                  <c:v>0.40636024101261392</c:v>
                </c:pt>
                <c:pt idx="32">
                  <c:v>0.39199108422306833</c:v>
                </c:pt>
                <c:pt idx="33">
                  <c:v>0.37295341971484108</c:v>
                </c:pt>
                <c:pt idx="34">
                  <c:v>0.3445598742204905</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5.0713692537220211E-5</c:v>
                </c:pt>
                <c:pt idx="30">
                  <c:v>1.5211894680285001E-3</c:v>
                </c:pt>
                <c:pt idx="31">
                  <c:v>9.3260162876312794E-3</c:v>
                </c:pt>
                <c:pt idx="32">
                  <c:v>2.6929460502001738E-2</c:v>
                </c:pt>
                <c:pt idx="33">
                  <c:v>5.605362097632792E-2</c:v>
                </c:pt>
                <c:pt idx="34">
                  <c:v>9.726571981986061E-2</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8.5223333221384425E-6</c:v>
                </c:pt>
                <c:pt idx="26">
                  <c:v>5.8201448423591596E-4</c:v>
                </c:pt>
                <c:pt idx="27">
                  <c:v>2.2929846717783722E-3</c:v>
                </c:pt>
                <c:pt idx="28">
                  <c:v>6.1320633523198574E-3</c:v>
                </c:pt>
                <c:pt idx="29">
                  <c:v>1.2635393638117189E-2</c:v>
                </c:pt>
                <c:pt idx="30">
                  <c:v>1.8958411556802866E-2</c:v>
                </c:pt>
                <c:pt idx="31">
                  <c:v>2.7964681300668086E-2</c:v>
                </c:pt>
                <c:pt idx="32">
                  <c:v>3.7190705850946054E-2</c:v>
                </c:pt>
                <c:pt idx="33">
                  <c:v>4.8917968552699732E-2</c:v>
                </c:pt>
                <c:pt idx="34">
                  <c:v>5.8605965978718935E-2</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2.1253673284782906E-2</c:v>
                </c:pt>
                <c:pt idx="6">
                  <c:v>5.1302847321071564E-2</c:v>
                </c:pt>
                <c:pt idx="7">
                  <c:v>0.10754991219209312</c:v>
                </c:pt>
                <c:pt idx="8">
                  <c:v>0.16814041051209749</c:v>
                </c:pt>
                <c:pt idx="9">
                  <c:v>0.22799318582076217</c:v>
                </c:pt>
                <c:pt idx="10">
                  <c:v>0.29398468256832411</c:v>
                </c:pt>
                <c:pt idx="11">
                  <c:v>0.33209024097497086</c:v>
                </c:pt>
                <c:pt idx="12">
                  <c:v>0.36028787583100375</c:v>
                </c:pt>
                <c:pt idx="13">
                  <c:v>0.37174623021347708</c:v>
                </c:pt>
                <c:pt idx="14">
                  <c:v>0.38412206433386065</c:v>
                </c:pt>
                <c:pt idx="15">
                  <c:v>0.38441479290923553</c:v>
                </c:pt>
                <c:pt idx="16">
                  <c:v>0.38808522253877215</c:v>
                </c:pt>
                <c:pt idx="17">
                  <c:v>0.3894695206156002</c:v>
                </c:pt>
                <c:pt idx="18">
                  <c:v>0.3854704485015768</c:v>
                </c:pt>
                <c:pt idx="19">
                  <c:v>0.37656611201148638</c:v>
                </c:pt>
                <c:pt idx="20">
                  <c:v>0.37563697002964219</c:v>
                </c:pt>
                <c:pt idx="21">
                  <c:v>0.37472721649029023</c:v>
                </c:pt>
                <c:pt idx="22">
                  <c:v>0.36890563545363453</c:v>
                </c:pt>
                <c:pt idx="23">
                  <c:v>0.36184714514013894</c:v>
                </c:pt>
                <c:pt idx="24">
                  <c:v>0.35202180175320597</c:v>
                </c:pt>
                <c:pt idx="25">
                  <c:v>0.32037522203688218</c:v>
                </c:pt>
                <c:pt idx="26">
                  <c:v>0.28495372356183474</c:v>
                </c:pt>
                <c:pt idx="27">
                  <c:v>0.26244768846477828</c:v>
                </c:pt>
                <c:pt idx="28">
                  <c:v>0.24703557983844121</c:v>
                </c:pt>
                <c:pt idx="29">
                  <c:v>0.24593830752129683</c:v>
                </c:pt>
                <c:pt idx="30">
                  <c:v>0.24431001026217458</c:v>
                </c:pt>
                <c:pt idx="31">
                  <c:v>0.2432661612581003</c:v>
                </c:pt>
                <c:pt idx="32">
                  <c:v>0.24248490494261427</c:v>
                </c:pt>
                <c:pt idx="33">
                  <c:v>0.24074882355859575</c:v>
                </c:pt>
                <c:pt idx="34">
                  <c:v>0.24006689652754987</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1.4012167949683206E-2</c:v>
                </c:pt>
                <c:pt idx="6">
                  <c:v>3.5355212647844178E-2</c:v>
                </c:pt>
                <c:pt idx="7">
                  <c:v>7.7567347433873696E-2</c:v>
                </c:pt>
                <c:pt idx="8">
                  <c:v>0.14632673131174898</c:v>
                </c:pt>
                <c:pt idx="9">
                  <c:v>0.21271259430486777</c:v>
                </c:pt>
                <c:pt idx="10">
                  <c:v>0.28416341222209252</c:v>
                </c:pt>
                <c:pt idx="11">
                  <c:v>0.3244183802100436</c:v>
                </c:pt>
                <c:pt idx="12">
                  <c:v>0.35207390052799892</c:v>
                </c:pt>
                <c:pt idx="13">
                  <c:v>0.36701414234365431</c:v>
                </c:pt>
                <c:pt idx="14">
                  <c:v>0.38282237795053337</c:v>
                </c:pt>
                <c:pt idx="15">
                  <c:v>0.38424254263205371</c:v>
                </c:pt>
                <c:pt idx="16">
                  <c:v>0.38722647513996045</c:v>
                </c:pt>
                <c:pt idx="17">
                  <c:v>0.38929500539371648</c:v>
                </c:pt>
                <c:pt idx="18">
                  <c:v>0.38529772520157757</c:v>
                </c:pt>
                <c:pt idx="19">
                  <c:v>0.37639737860588462</c:v>
                </c:pt>
                <c:pt idx="20">
                  <c:v>0.37381270002192207</c:v>
                </c:pt>
                <c:pt idx="21">
                  <c:v>0.37296080186942399</c:v>
                </c:pt>
                <c:pt idx="22">
                  <c:v>0.36874033458818156</c:v>
                </c:pt>
                <c:pt idx="23">
                  <c:v>0.36150846182622443</c:v>
                </c:pt>
                <c:pt idx="24">
                  <c:v>0.3516875209883864</c:v>
                </c:pt>
                <c:pt idx="25">
                  <c:v>0.32022593919016951</c:v>
                </c:pt>
                <c:pt idx="26">
                  <c:v>0.28482604023961899</c:v>
                </c:pt>
                <c:pt idx="27">
                  <c:v>0.26211258749833394</c:v>
                </c:pt>
                <c:pt idx="28">
                  <c:v>0.24692488704543258</c:v>
                </c:pt>
                <c:pt idx="29">
                  <c:v>0.24566849084050421</c:v>
                </c:pt>
                <c:pt idx="30">
                  <c:v>0.24344804758733057</c:v>
                </c:pt>
                <c:pt idx="31">
                  <c:v>0.24295754760506205</c:v>
                </c:pt>
                <c:pt idx="32">
                  <c:v>0.24237625123609935</c:v>
                </c:pt>
                <c:pt idx="33">
                  <c:v>0.24044943882884146</c:v>
                </c:pt>
                <c:pt idx="34">
                  <c:v>0.23995932629291836</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PHEV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2.7762572530622703E-6</c:v>
                </c:pt>
                <c:pt idx="16">
                  <c:v>4.4414981311981748E-4</c:v>
                </c:pt>
                <c:pt idx="17">
                  <c:v>3.9979813410772769E-3</c:v>
                </c:pt>
                <c:pt idx="18">
                  <c:v>1.2055394079924422E-2</c:v>
                </c:pt>
                <c:pt idx="19">
                  <c:v>3.0502136402315853E-2</c:v>
                </c:pt>
                <c:pt idx="20">
                  <c:v>3.9272301307646487E-2</c:v>
                </c:pt>
                <c:pt idx="21">
                  <c:v>4.7994282599605781E-2</c:v>
                </c:pt>
                <c:pt idx="22">
                  <c:v>5.8037467787977415E-2</c:v>
                </c:pt>
                <c:pt idx="23">
                  <c:v>7.2839789078543465E-2</c:v>
                </c:pt>
                <c:pt idx="24">
                  <c:v>8.5754354512781489E-2</c:v>
                </c:pt>
                <c:pt idx="25">
                  <c:v>0.10049618740630716</c:v>
                </c:pt>
                <c:pt idx="26">
                  <c:v>0.12649237341669672</c:v>
                </c:pt>
                <c:pt idx="27">
                  <c:v>0.15478480886735368</c:v>
                </c:pt>
                <c:pt idx="28">
                  <c:v>0.17749112635267283</c:v>
                </c:pt>
                <c:pt idx="29">
                  <c:v>0.20080466864404062</c:v>
                </c:pt>
                <c:pt idx="30">
                  <c:v>0.21228940890706474</c:v>
                </c:pt>
                <c:pt idx="31">
                  <c:v>0.22112298392657986</c:v>
                </c:pt>
                <c:pt idx="32">
                  <c:v>0.22777082699632467</c:v>
                </c:pt>
                <c:pt idx="33">
                  <c:v>0.23063919998279853</c:v>
                </c:pt>
                <c:pt idx="34">
                  <c:v>0.23271533144323414</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BEV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3.6171884556503934E-4</c:v>
                </c:pt>
                <c:pt idx="28">
                  <c:v>3.4298100831146776E-3</c:v>
                </c:pt>
                <c:pt idx="29">
                  <c:v>9.3997072484169938E-3</c:v>
                </c:pt>
                <c:pt idx="30">
                  <c:v>1.3425936573507557E-2</c:v>
                </c:pt>
                <c:pt idx="31">
                  <c:v>1.7772253093433978E-2</c:v>
                </c:pt>
                <c:pt idx="32">
                  <c:v>2.0628586740624517E-2</c:v>
                </c:pt>
                <c:pt idx="33">
                  <c:v>2.2655336734479975E-2</c:v>
                </c:pt>
                <c:pt idx="34">
                  <c:v>2.4743967019402083E-2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9.1534008299635896E-6</c:v>
                </c:pt>
                <c:pt idx="24">
                  <c:v>6.7410261511468735E-3</c:v>
                </c:pt>
                <c:pt idx="25">
                  <c:v>5.8671361686723177E-2</c:v>
                </c:pt>
                <c:pt idx="26">
                  <c:v>0.10817603739226674</c:v>
                </c:pt>
                <c:pt idx="27">
                  <c:v>0.12661028917716938</c:v>
                </c:pt>
                <c:pt idx="28">
                  <c:v>0.13729424979843377</c:v>
                </c:pt>
                <c:pt idx="29">
                  <c:v>0.15415541264475408</c:v>
                </c:pt>
                <c:pt idx="30">
                  <c:v>0.16076067000398528</c:v>
                </c:pt>
                <c:pt idx="31">
                  <c:v>0.16802064158686425</c:v>
                </c:pt>
                <c:pt idx="32">
                  <c:v>0.17374507496297723</c:v>
                </c:pt>
                <c:pt idx="33">
                  <c:v>0.18063802183960034</c:v>
                </c:pt>
                <c:pt idx="34">
                  <c:v>0.18645611703052906</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1.3442526151545836E-2</c:v>
                </c:pt>
                <c:pt idx="7">
                  <c:v>3.261961184850494E-2</c:v>
                </c:pt>
                <c:pt idx="8">
                  <c:v>6.5039633530284593E-2</c:v>
                </c:pt>
                <c:pt idx="9">
                  <c:v>7.0530247530251527E-2</c:v>
                </c:pt>
                <c:pt idx="10">
                  <c:v>0.10454512282177919</c:v>
                </c:pt>
                <c:pt idx="11">
                  <c:v>0.11337134559649019</c:v>
                </c:pt>
                <c:pt idx="12">
                  <c:v>0.13250407160511768</c:v>
                </c:pt>
                <c:pt idx="13">
                  <c:v>0.14108728656848835</c:v>
                </c:pt>
                <c:pt idx="14">
                  <c:v>0.14907328888190222</c:v>
                </c:pt>
                <c:pt idx="15">
                  <c:v>0.15102373772924338</c:v>
                </c:pt>
                <c:pt idx="16">
                  <c:v>0.15127822449828809</c:v>
                </c:pt>
                <c:pt idx="17">
                  <c:v>0.1544369692632174</c:v>
                </c:pt>
                <c:pt idx="18">
                  <c:v>0.15452747487176183</c:v>
                </c:pt>
                <c:pt idx="19">
                  <c:v>0.15428255467763288</c:v>
                </c:pt>
                <c:pt idx="20">
                  <c:v>0.15927802976250394</c:v>
                </c:pt>
                <c:pt idx="21">
                  <c:v>0.15859998147260221</c:v>
                </c:pt>
                <c:pt idx="22">
                  <c:v>0.15920004732268012</c:v>
                </c:pt>
                <c:pt idx="23">
                  <c:v>0.16078909509017048</c:v>
                </c:pt>
                <c:pt idx="24">
                  <c:v>0.15983346016661693</c:v>
                </c:pt>
                <c:pt idx="25">
                  <c:v>0.15963914506308791</c:v>
                </c:pt>
                <c:pt idx="26">
                  <c:v>0.15614643296347525</c:v>
                </c:pt>
                <c:pt idx="27">
                  <c:v>0.15234270161616667</c:v>
                </c:pt>
                <c:pt idx="28">
                  <c:v>0.14565865891437604</c:v>
                </c:pt>
                <c:pt idx="29">
                  <c:v>0.13939270007318544</c:v>
                </c:pt>
                <c:pt idx="30">
                  <c:v>0.13370346499433206</c:v>
                </c:pt>
                <c:pt idx="31">
                  <c:v>0.1312768732798229</c:v>
                </c:pt>
                <c:pt idx="32">
                  <c:v>0.12924980384480433</c:v>
                </c:pt>
                <c:pt idx="33">
                  <c:v>0.12651507295685607</c:v>
                </c:pt>
                <c:pt idx="34">
                  <c:v>0.12657000350650266</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1.5346331006377958E-2</c:v>
                </c:pt>
                <c:pt idx="7">
                  <c:v>3.521953764949521E-2</c:v>
                </c:pt>
                <c:pt idx="8">
                  <c:v>6.7054888099945892E-2</c:v>
                </c:pt>
                <c:pt idx="9">
                  <c:v>9.419040372435275E-2</c:v>
                </c:pt>
                <c:pt idx="10">
                  <c:v>0.14970513353419737</c:v>
                </c:pt>
                <c:pt idx="11">
                  <c:v>0.19521487153470823</c:v>
                </c:pt>
                <c:pt idx="12">
                  <c:v>0.21570633908897319</c:v>
                </c:pt>
                <c:pt idx="13">
                  <c:v>0.22020584202293342</c:v>
                </c:pt>
                <c:pt idx="14">
                  <c:v>0.22140755968630008</c:v>
                </c:pt>
                <c:pt idx="15">
                  <c:v>0.22006297026548102</c:v>
                </c:pt>
                <c:pt idx="16">
                  <c:v>0.22605192672361546</c:v>
                </c:pt>
                <c:pt idx="17">
                  <c:v>0.22515185404784671</c:v>
                </c:pt>
                <c:pt idx="18">
                  <c:v>0.22448964371921565</c:v>
                </c:pt>
                <c:pt idx="19">
                  <c:v>0.22073736709800923</c:v>
                </c:pt>
                <c:pt idx="20">
                  <c:v>0.23302221132930986</c:v>
                </c:pt>
                <c:pt idx="21">
                  <c:v>0.23237583850220672</c:v>
                </c:pt>
                <c:pt idx="22">
                  <c:v>0.22847550072687586</c:v>
                </c:pt>
                <c:pt idx="23">
                  <c:v>0.22647573850358743</c:v>
                </c:pt>
                <c:pt idx="24">
                  <c:v>0.22543769450878387</c:v>
                </c:pt>
                <c:pt idx="25">
                  <c:v>0.22953675899188025</c:v>
                </c:pt>
                <c:pt idx="26">
                  <c:v>0.22668098399892012</c:v>
                </c:pt>
                <c:pt idx="27">
                  <c:v>0.21704176891398425</c:v>
                </c:pt>
                <c:pt idx="28">
                  <c:v>0.2072082016713126</c:v>
                </c:pt>
                <c:pt idx="29">
                  <c:v>0.20144444747393572</c:v>
                </c:pt>
                <c:pt idx="30">
                  <c:v>0.19178001504533335</c:v>
                </c:pt>
                <c:pt idx="31">
                  <c:v>0.1819416877031087</c:v>
                </c:pt>
                <c:pt idx="32">
                  <c:v>0.17644555344444074</c:v>
                </c:pt>
                <c:pt idx="33">
                  <c:v>0.17186330741260061</c:v>
                </c:pt>
                <c:pt idx="34">
                  <c:v>0.17785094606302781</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1.7321994917049374E-3</c:v>
                </c:pt>
                <c:pt idx="7">
                  <c:v>5.6605814990710124E-3</c:v>
                </c:pt>
                <c:pt idx="8">
                  <c:v>1.6398591310879462E-2</c:v>
                </c:pt>
                <c:pt idx="9">
                  <c:v>3.7275447805386455E-2</c:v>
                </c:pt>
                <c:pt idx="10">
                  <c:v>5.8573533506374641E-2</c:v>
                </c:pt>
                <c:pt idx="11">
                  <c:v>7.6315905095283382E-2</c:v>
                </c:pt>
                <c:pt idx="12">
                  <c:v>9.1305735238035909E-2</c:v>
                </c:pt>
                <c:pt idx="13">
                  <c:v>0.1007210904028063</c:v>
                </c:pt>
                <c:pt idx="14">
                  <c:v>0.11088916988529202</c:v>
                </c:pt>
                <c:pt idx="15">
                  <c:v>0.11102382899208368</c:v>
                </c:pt>
                <c:pt idx="16">
                  <c:v>0.11130030066553256</c:v>
                </c:pt>
                <c:pt idx="17">
                  <c:v>0.11241438168237614</c:v>
                </c:pt>
                <c:pt idx="18">
                  <c:v>0.11311691813126568</c:v>
                </c:pt>
                <c:pt idx="19">
                  <c:v>0.11339575377271553</c:v>
                </c:pt>
                <c:pt idx="20">
                  <c:v>0.10967095866500144</c:v>
                </c:pt>
                <c:pt idx="21">
                  <c:v>0.11033910348063886</c:v>
                </c:pt>
                <c:pt idx="22">
                  <c:v>0.11226163897520858</c:v>
                </c:pt>
                <c:pt idx="23">
                  <c:v>0.11157687557124958</c:v>
                </c:pt>
                <c:pt idx="24">
                  <c:v>0.11073263433580094</c:v>
                </c:pt>
                <c:pt idx="25">
                  <c:v>0.10916820363791677</c:v>
                </c:pt>
                <c:pt idx="26">
                  <c:v>0.10984361226478057</c:v>
                </c:pt>
                <c:pt idx="27">
                  <c:v>0.10520862407234938</c:v>
                </c:pt>
                <c:pt idx="28">
                  <c:v>0.102397035950828</c:v>
                </c:pt>
                <c:pt idx="29">
                  <c:v>9.7662954498559607E-2</c:v>
                </c:pt>
                <c:pt idx="30">
                  <c:v>9.4402985022815467E-2</c:v>
                </c:pt>
                <c:pt idx="31">
                  <c:v>9.3418829699287623E-2</c:v>
                </c:pt>
                <c:pt idx="32">
                  <c:v>9.2163023218905016E-2</c:v>
                </c:pt>
                <c:pt idx="33">
                  <c:v>9.3003181909603175E-2</c:v>
                </c:pt>
                <c:pt idx="34">
                  <c:v>9.2859983183361472E-2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8.968727190431292E-7</c:v>
                </c:pt>
                <c:pt idx="11">
                  <c:v>1.1975141079020346E-5</c:v>
                </c:pt>
                <c:pt idx="12">
                  <c:v>1.1958892581396772E-4</c:v>
                </c:pt>
                <c:pt idx="13">
                  <c:v>6.0232298705998678E-4</c:v>
                </c:pt>
                <c:pt idx="14">
                  <c:v>2.3052991691902306E-3</c:v>
                </c:pt>
                <c:pt idx="15">
                  <c:v>3.8758349879594012E-3</c:v>
                </c:pt>
                <c:pt idx="16">
                  <c:v>5.7203695754149478E-3</c:v>
                </c:pt>
                <c:pt idx="17">
                  <c:v>8.0276850358765844E-3</c:v>
                </c:pt>
                <c:pt idx="18">
                  <c:v>1.0582376521295966E-2</c:v>
                </c:pt>
                <c:pt idx="19">
                  <c:v>1.4345674672458926E-2</c:v>
                </c:pt>
                <c:pt idx="20">
                  <c:v>1.5677234886158978E-2</c:v>
                </c:pt>
                <c:pt idx="21">
                  <c:v>1.675276749250381E-2</c:v>
                </c:pt>
                <c:pt idx="22">
                  <c:v>1.8149639134497401E-2</c:v>
                </c:pt>
                <c:pt idx="23">
                  <c:v>2.0194641921410707E-2</c:v>
                </c:pt>
                <c:pt idx="24">
                  <c:v>2.2772028790740865E-2</c:v>
                </c:pt>
                <c:pt idx="25">
                  <c:v>2.7052779702843061E-2</c:v>
                </c:pt>
                <c:pt idx="26">
                  <c:v>3.4234462606908211E-2</c:v>
                </c:pt>
                <c:pt idx="27">
                  <c:v>4.3619223073937244E-2</c:v>
                </c:pt>
                <c:pt idx="28">
                  <c:v>5.555573957659582E-2</c:v>
                </c:pt>
                <c:pt idx="29">
                  <c:v>7.0589276963066702E-2</c:v>
                </c:pt>
                <c:pt idx="30">
                  <c:v>7.9921335363178747E-2</c:v>
                </c:pt>
                <c:pt idx="31">
                  <c:v>8.491956208041633E-2</c:v>
                </c:pt>
                <c:pt idx="32">
                  <c:v>8.8282216054042129E-2</c:v>
                </c:pt>
                <c:pt idx="33">
                  <c:v>8.9491856074074894E-2</c:v>
                </c:pt>
                <c:pt idx="34">
                  <c:v>9.3016857177257245E-2</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BEV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3.9337583179959625E-5</c:v>
                </c:pt>
                <c:pt idx="24">
                  <c:v>3.0014370745691982E-4</c:v>
                </c:pt>
                <c:pt idx="25">
                  <c:v>1.7911919556825818E-3</c:v>
                </c:pt>
                <c:pt idx="26">
                  <c:v>7.154485085669752E-3</c:v>
                </c:pt>
                <c:pt idx="27">
                  <c:v>1.5864008836569632E-2</c:v>
                </c:pt>
                <c:pt idx="28">
                  <c:v>2.7136885999059401E-2</c:v>
                </c:pt>
                <c:pt idx="29">
                  <c:v>4.196586211457419E-2</c:v>
                </c:pt>
                <c:pt idx="30">
                  <c:v>5.1247441415630507E-2</c:v>
                </c:pt>
                <c:pt idx="31">
                  <c:v>5.9549006880200074E-2</c:v>
                </c:pt>
                <c:pt idx="32">
                  <c:v>6.4993317371398476E-2</c:v>
                </c:pt>
                <c:pt idx="33">
                  <c:v>7.0295909525202593E-2</c:v>
                </c:pt>
                <c:pt idx="34">
                  <c:v>7.4143767566486149E-2</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114221.2637172859</c:v>
                </c:pt>
                <c:pt idx="3">
                  <c:v>114033.10442279154</c:v>
                </c:pt>
                <c:pt idx="4">
                  <c:v>113050.52611377821</c:v>
                </c:pt>
                <c:pt idx="5">
                  <c:v>110731.17076723205</c:v>
                </c:pt>
                <c:pt idx="6">
                  <c:v>111590.59495008249</c:v>
                </c:pt>
                <c:pt idx="7">
                  <c:v>111160.80878778188</c:v>
                </c:pt>
                <c:pt idx="8">
                  <c:v>109976.91670178511</c:v>
                </c:pt>
                <c:pt idx="9">
                  <c:v>110300.64300898278</c:v>
                </c:pt>
                <c:pt idx="10">
                  <c:v>109532.6577889623</c:v>
                </c:pt>
                <c:pt idx="11">
                  <c:v>109340.18050108664</c:v>
                </c:pt>
                <c:pt idx="12">
                  <c:v>109152.70919069186</c:v>
                </c:pt>
                <c:pt idx="13">
                  <c:v>107950.41499355514</c:v>
                </c:pt>
                <c:pt idx="14">
                  <c:v>107612.25102470488</c:v>
                </c:pt>
                <c:pt idx="15">
                  <c:v>107309.85995503759</c:v>
                </c:pt>
                <c:pt idx="16">
                  <c:v>102481.56853375345</c:v>
                </c:pt>
                <c:pt idx="17">
                  <c:v>99174.312204790884</c:v>
                </c:pt>
                <c:pt idx="18">
                  <c:v>94584.217857370197</c:v>
                </c:pt>
                <c:pt idx="19">
                  <c:v>91289.095316700346</c:v>
                </c:pt>
                <c:pt idx="20">
                  <c:v>88578.339004666675</c:v>
                </c:pt>
                <c:pt idx="21">
                  <c:v>86399.259920938697</c:v>
                </c:pt>
                <c:pt idx="22">
                  <c:v>85061.987949077899</c:v>
                </c:pt>
                <c:pt idx="23">
                  <c:v>85303.055796308341</c:v>
                </c:pt>
                <c:pt idx="24">
                  <c:v>85604.612452433648</c:v>
                </c:pt>
                <c:pt idx="25">
                  <c:v>85689.200379274043</c:v>
                </c:pt>
                <c:pt idx="26">
                  <c:v>86183.27444308385</c:v>
                </c:pt>
                <c:pt idx="27">
                  <c:v>85234.901115402507</c:v>
                </c:pt>
                <c:pt idx="28">
                  <c:v>85017.904820595824</c:v>
                </c:pt>
                <c:pt idx="29">
                  <c:v>85068.09305970979</c:v>
                </c:pt>
                <c:pt idx="30">
                  <c:v>85229.231329725182</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106807.56329719957</c:v>
                </c:pt>
                <c:pt idx="3">
                  <c:v>107468.34577715541</c:v>
                </c:pt>
                <c:pt idx="4">
                  <c:v>112681.61810870325</c:v>
                </c:pt>
                <c:pt idx="5">
                  <c:v>115510.894321895</c:v>
                </c:pt>
                <c:pt idx="6">
                  <c:v>106963.12869159353</c:v>
                </c:pt>
                <c:pt idx="7">
                  <c:v>106826.95597097813</c:v>
                </c:pt>
                <c:pt idx="8">
                  <c:v>106940.65079689454</c:v>
                </c:pt>
                <c:pt idx="9">
                  <c:v>106766.33178063645</c:v>
                </c:pt>
                <c:pt idx="10">
                  <c:v>106957.36677575533</c:v>
                </c:pt>
                <c:pt idx="11">
                  <c:v>107086.47437519299</c:v>
                </c:pt>
                <c:pt idx="12">
                  <c:v>107160.3239556078</c:v>
                </c:pt>
                <c:pt idx="13">
                  <c:v>107125.55761014707</c:v>
                </c:pt>
                <c:pt idx="14">
                  <c:v>107123.41601847007</c:v>
                </c:pt>
                <c:pt idx="15">
                  <c:v>107488.47026168127</c:v>
                </c:pt>
                <c:pt idx="16">
                  <c:v>112248.60908683884</c:v>
                </c:pt>
                <c:pt idx="17">
                  <c:v>121072.68390335073</c:v>
                </c:pt>
                <c:pt idx="18">
                  <c:v>131480.11054403917</c:v>
                </c:pt>
                <c:pt idx="19">
                  <c:v>132785.31081503493</c:v>
                </c:pt>
                <c:pt idx="20">
                  <c:v>130227.0642356694</c:v>
                </c:pt>
                <c:pt idx="21">
                  <c:v>128683.4012642126</c:v>
                </c:pt>
                <c:pt idx="22">
                  <c:v>127670.26378607108</c:v>
                </c:pt>
                <c:pt idx="23">
                  <c:v>127098.70326342</c:v>
                </c:pt>
                <c:pt idx="24">
                  <c:v>126692.34367467918</c:v>
                </c:pt>
                <c:pt idx="25">
                  <c:v>126494.63766414656</c:v>
                </c:pt>
                <c:pt idx="26">
                  <c:v>126393.60497719972</c:v>
                </c:pt>
                <c:pt idx="27">
                  <c:v>126230.64196805665</c:v>
                </c:pt>
                <c:pt idx="28">
                  <c:v>126217.49293941789</c:v>
                </c:pt>
                <c:pt idx="29">
                  <c:v>126581.22514595935</c:v>
                </c:pt>
                <c:pt idx="30">
                  <c:v>127734.16882837743</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140769.36289023803</c:v>
                </c:pt>
                <c:pt idx="3">
                  <c:v>138592.93523795556</c:v>
                </c:pt>
                <c:pt idx="4">
                  <c:v>135819.12585027103</c:v>
                </c:pt>
                <c:pt idx="5">
                  <c:v>134810.50441363631</c:v>
                </c:pt>
                <c:pt idx="6">
                  <c:v>137621.78925068633</c:v>
                </c:pt>
                <c:pt idx="7">
                  <c:v>138928.91151532112</c:v>
                </c:pt>
                <c:pt idx="8">
                  <c:v>137845.96359241905</c:v>
                </c:pt>
                <c:pt idx="9">
                  <c:v>138854.91888051157</c:v>
                </c:pt>
                <c:pt idx="10">
                  <c:v>138426.51826114013</c:v>
                </c:pt>
                <c:pt idx="11">
                  <c:v>137925.66568659703</c:v>
                </c:pt>
                <c:pt idx="12">
                  <c:v>137996.43878395626</c:v>
                </c:pt>
                <c:pt idx="13">
                  <c:v>137696.40673408055</c:v>
                </c:pt>
                <c:pt idx="14">
                  <c:v>137832.95288817678</c:v>
                </c:pt>
                <c:pt idx="15">
                  <c:v>137240.52867838065</c:v>
                </c:pt>
                <c:pt idx="16">
                  <c:v>133629.80521171822</c:v>
                </c:pt>
                <c:pt idx="17">
                  <c:v>130624.65983629531</c:v>
                </c:pt>
                <c:pt idx="18">
                  <c:v>127684.02887533509</c:v>
                </c:pt>
                <c:pt idx="19">
                  <c:v>126131.68178676357</c:v>
                </c:pt>
                <c:pt idx="20">
                  <c:v>125738.64347788721</c:v>
                </c:pt>
                <c:pt idx="21">
                  <c:v>124776.26555336901</c:v>
                </c:pt>
                <c:pt idx="22">
                  <c:v>124239.10048251116</c:v>
                </c:pt>
                <c:pt idx="23">
                  <c:v>123812.55395531937</c:v>
                </c:pt>
                <c:pt idx="24">
                  <c:v>123462.32934398304</c:v>
                </c:pt>
                <c:pt idx="25">
                  <c:v>123345.97877718126</c:v>
                </c:pt>
                <c:pt idx="26">
                  <c:v>123032.20086275699</c:v>
                </c:pt>
                <c:pt idx="27">
                  <c:v>122735.59066551524</c:v>
                </c:pt>
                <c:pt idx="28">
                  <c:v>123034.88064792899</c:v>
                </c:pt>
                <c:pt idx="29">
                  <c:v>122976.76355147852</c:v>
                </c:pt>
                <c:pt idx="30">
                  <c:v>123951.62316905354</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127783.70047955409</c:v>
                </c:pt>
                <c:pt idx="26">
                  <c:v>124542.28751296097</c:v>
                </c:pt>
                <c:pt idx="27">
                  <c:v>122417.20596041664</c:v>
                </c:pt>
                <c:pt idx="28">
                  <c:v>120131.56790264607</c:v>
                </c:pt>
                <c:pt idx="29">
                  <c:v>117374.57204243269</c:v>
                </c:pt>
                <c:pt idx="30">
                  <c:v>114496.73704794064</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238771.07529067885</c:v>
                </c:pt>
                <c:pt idx="22">
                  <c:v>232512.61414679934</c:v>
                </c:pt>
                <c:pt idx="23">
                  <c:v>204472.70091786573</c:v>
                </c:pt>
                <c:pt idx="24">
                  <c:v>174688.95433774038</c:v>
                </c:pt>
                <c:pt idx="25">
                  <c:v>157344.52028016752</c:v>
                </c:pt>
                <c:pt idx="26">
                  <c:v>149458.17340786272</c:v>
                </c:pt>
                <c:pt idx="27">
                  <c:v>143197.91424553355</c:v>
                </c:pt>
                <c:pt idx="28">
                  <c:v>138558.98140113798</c:v>
                </c:pt>
                <c:pt idx="29">
                  <c:v>134913.98404067947</c:v>
                </c:pt>
                <c:pt idx="30">
                  <c:v>132513.67555120392</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76640.915008361961</c:v>
                </c:pt>
                <c:pt idx="2">
                  <c:v>76098.68438595219</c:v>
                </c:pt>
                <c:pt idx="3">
                  <c:v>74333.980858799099</c:v>
                </c:pt>
                <c:pt idx="4">
                  <c:v>68509.744843053311</c:v>
                </c:pt>
                <c:pt idx="5">
                  <c:v>62264.913163545767</c:v>
                </c:pt>
                <c:pt idx="6">
                  <c:v>55706.55138150719</c:v>
                </c:pt>
                <c:pt idx="7">
                  <c:v>51047.030947158804</c:v>
                </c:pt>
                <c:pt idx="8">
                  <c:v>47374.715109789868</c:v>
                </c:pt>
                <c:pt idx="9">
                  <c:v>45573.534696377756</c:v>
                </c:pt>
                <c:pt idx="10">
                  <c:v>43677.833096239701</c:v>
                </c:pt>
                <c:pt idx="11">
                  <c:v>43590.269343297114</c:v>
                </c:pt>
                <c:pt idx="12">
                  <c:v>43048.580285770018</c:v>
                </c:pt>
                <c:pt idx="13">
                  <c:v>42468.769459813782</c:v>
                </c:pt>
                <c:pt idx="14">
                  <c:v>42461.931401864647</c:v>
                </c:pt>
                <c:pt idx="15">
                  <c:v>42504.876334407418</c:v>
                </c:pt>
                <c:pt idx="16">
                  <c:v>42232.840050166174</c:v>
                </c:pt>
                <c:pt idx="17">
                  <c:v>41678.695857561863</c:v>
                </c:pt>
                <c:pt idx="18">
                  <c:v>41678.562190234865</c:v>
                </c:pt>
                <c:pt idx="19">
                  <c:v>41677.935614293579</c:v>
                </c:pt>
                <c:pt idx="20">
                  <c:v>41677.917477994786</c:v>
                </c:pt>
                <c:pt idx="21">
                  <c:v>41331.526291069647</c:v>
                </c:pt>
                <c:pt idx="22">
                  <c:v>41072.249281310898</c:v>
                </c:pt>
                <c:pt idx="23">
                  <c:v>40911.379484129153</c:v>
                </c:pt>
                <c:pt idx="24">
                  <c:v>40400.45371307763</c:v>
                </c:pt>
                <c:pt idx="25">
                  <c:v>37087.309190160806</c:v>
                </c:pt>
                <c:pt idx="26">
                  <c:v>35971.06945227574</c:v>
                </c:pt>
                <c:pt idx="27">
                  <c:v>34613.711939070701</c:v>
                </c:pt>
                <c:pt idx="28">
                  <c:v>33953.806218169098</c:v>
                </c:pt>
                <c:pt idx="29">
                  <c:v>33969.874416572537</c:v>
                </c:pt>
                <c:pt idx="30">
                  <c:v>34174.083764044044</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91226.413387916269</c:v>
                </c:pt>
                <c:pt idx="2">
                  <c:v>86480.542696537508</c:v>
                </c:pt>
                <c:pt idx="3">
                  <c:v>83395.096074227244</c:v>
                </c:pt>
                <c:pt idx="4">
                  <c:v>100995.02013942011</c:v>
                </c:pt>
                <c:pt idx="5">
                  <c:v>108938.69629896728</c:v>
                </c:pt>
                <c:pt idx="6">
                  <c:v>106033.24374855626</c:v>
                </c:pt>
                <c:pt idx="7">
                  <c:v>104360.85646468302</c:v>
                </c:pt>
                <c:pt idx="8">
                  <c:v>102590.37144203312</c:v>
                </c:pt>
                <c:pt idx="9">
                  <c:v>101649.42506595704</c:v>
                </c:pt>
                <c:pt idx="10">
                  <c:v>100153.00530803471</c:v>
                </c:pt>
                <c:pt idx="11">
                  <c:v>100054.07297108353</c:v>
                </c:pt>
                <c:pt idx="12">
                  <c:v>99592.628145979892</c:v>
                </c:pt>
                <c:pt idx="13">
                  <c:v>99133.692513237096</c:v>
                </c:pt>
                <c:pt idx="14">
                  <c:v>98633.874406187329</c:v>
                </c:pt>
                <c:pt idx="15">
                  <c:v>97537.491370067131</c:v>
                </c:pt>
                <c:pt idx="16">
                  <c:v>96499.168900290286</c:v>
                </c:pt>
                <c:pt idx="17">
                  <c:v>95892.111096777619</c:v>
                </c:pt>
                <c:pt idx="18">
                  <c:v>95650.828019523426</c:v>
                </c:pt>
                <c:pt idx="19">
                  <c:v>95074.389759856524</c:v>
                </c:pt>
                <c:pt idx="20">
                  <c:v>94437.695469137194</c:v>
                </c:pt>
                <c:pt idx="21">
                  <c:v>92580.686316015985</c:v>
                </c:pt>
                <c:pt idx="22">
                  <c:v>92201.735608041679</c:v>
                </c:pt>
                <c:pt idx="23">
                  <c:v>93503.376347182479</c:v>
                </c:pt>
                <c:pt idx="24">
                  <c:v>95871.477072066031</c:v>
                </c:pt>
                <c:pt idx="25">
                  <c:v>95553.360783725642</c:v>
                </c:pt>
                <c:pt idx="26">
                  <c:v>95392.865144277195</c:v>
                </c:pt>
                <c:pt idx="27">
                  <c:v>95182.176226686526</c:v>
                </c:pt>
                <c:pt idx="28">
                  <c:v>95017.755152297046</c:v>
                </c:pt>
                <c:pt idx="29">
                  <c:v>94875.144539185712</c:v>
                </c:pt>
                <c:pt idx="30">
                  <c:v>94877.380993378596</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82969.828471106492</c:v>
                </c:pt>
                <c:pt idx="2">
                  <c:v>89671.590906356083</c:v>
                </c:pt>
                <c:pt idx="3">
                  <c:v>105178.73047419776</c:v>
                </c:pt>
                <c:pt idx="4">
                  <c:v>110989.55136282946</c:v>
                </c:pt>
                <c:pt idx="5">
                  <c:v>111122.03411450167</c:v>
                </c:pt>
                <c:pt idx="6">
                  <c:v>107464.49092139062</c:v>
                </c:pt>
                <c:pt idx="7">
                  <c:v>105381.17554148527</c:v>
                </c:pt>
                <c:pt idx="8">
                  <c:v>103365.27357686333</c:v>
                </c:pt>
                <c:pt idx="9">
                  <c:v>101943.54718227855</c:v>
                </c:pt>
                <c:pt idx="10">
                  <c:v>100256.25211288809</c:v>
                </c:pt>
                <c:pt idx="11">
                  <c:v>100054.07297108353</c:v>
                </c:pt>
                <c:pt idx="12">
                  <c:v>99755.788019950487</c:v>
                </c:pt>
                <c:pt idx="13">
                  <c:v>99133.692513237082</c:v>
                </c:pt>
                <c:pt idx="14">
                  <c:v>98633.874406187329</c:v>
                </c:pt>
                <c:pt idx="15">
                  <c:v>97537.491370067102</c:v>
                </c:pt>
                <c:pt idx="16">
                  <c:v>96884.185518540849</c:v>
                </c:pt>
                <c:pt idx="17">
                  <c:v>96126.2869044791</c:v>
                </c:pt>
                <c:pt idx="18">
                  <c:v>95650.828019523426</c:v>
                </c:pt>
                <c:pt idx="19">
                  <c:v>95175.070134112058</c:v>
                </c:pt>
                <c:pt idx="20">
                  <c:v>94539.490006441367</c:v>
                </c:pt>
                <c:pt idx="21">
                  <c:v>92579.8374738907</c:v>
                </c:pt>
                <c:pt idx="22">
                  <c:v>92201.735608041679</c:v>
                </c:pt>
                <c:pt idx="23">
                  <c:v>93655.213361265822</c:v>
                </c:pt>
                <c:pt idx="24">
                  <c:v>95871.477072066031</c:v>
                </c:pt>
                <c:pt idx="25">
                  <c:v>95678.840371013066</c:v>
                </c:pt>
                <c:pt idx="26">
                  <c:v>95740.811356337479</c:v>
                </c:pt>
                <c:pt idx="27">
                  <c:v>95352.15130419757</c:v>
                </c:pt>
                <c:pt idx="28">
                  <c:v>95017.755152297061</c:v>
                </c:pt>
                <c:pt idx="29">
                  <c:v>95026.293856006407</c:v>
                </c:pt>
                <c:pt idx="30">
                  <c:v>94877.380993378567</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PHEV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220702.9179341534</c:v>
                </c:pt>
                <c:pt idx="12">
                  <c:v>220861.04114199674</c:v>
                </c:pt>
                <c:pt idx="13">
                  <c:v>214392.3775504287</c:v>
                </c:pt>
                <c:pt idx="14">
                  <c:v>199179.64658450897</c:v>
                </c:pt>
                <c:pt idx="15">
                  <c:v>173800.28173638711</c:v>
                </c:pt>
                <c:pt idx="16">
                  <c:v>166484.78139227102</c:v>
                </c:pt>
                <c:pt idx="17">
                  <c:v>160160.9290610076</c:v>
                </c:pt>
                <c:pt idx="18">
                  <c:v>154553.41039542563</c:v>
                </c:pt>
                <c:pt idx="19">
                  <c:v>147014.21060249154</c:v>
                </c:pt>
                <c:pt idx="20">
                  <c:v>139370.94880883527</c:v>
                </c:pt>
                <c:pt idx="21">
                  <c:v>128614.78472411107</c:v>
                </c:pt>
                <c:pt idx="22">
                  <c:v>117929.40367376406</c:v>
                </c:pt>
                <c:pt idx="23">
                  <c:v>108907.91678370572</c:v>
                </c:pt>
                <c:pt idx="24">
                  <c:v>102468.47523661231</c:v>
                </c:pt>
                <c:pt idx="25">
                  <c:v>96535.958167382414</c:v>
                </c:pt>
                <c:pt idx="26">
                  <c:v>92955.524850960559</c:v>
                </c:pt>
                <c:pt idx="27">
                  <c:v>90732.698659565009</c:v>
                </c:pt>
                <c:pt idx="28">
                  <c:v>88904.072235448039</c:v>
                </c:pt>
                <c:pt idx="29">
                  <c:v>88349.449865988645</c:v>
                </c:pt>
                <c:pt idx="30">
                  <c:v>87757.431714183665</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BEV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51635.890784033872</c:v>
                </c:pt>
                <c:pt idx="24">
                  <c:v>50934.388622790626</c:v>
                </c:pt>
                <c:pt idx="25">
                  <c:v>49122.862993218441</c:v>
                </c:pt>
                <c:pt idx="26">
                  <c:v>46838.232462249282</c:v>
                </c:pt>
                <c:pt idx="27">
                  <c:v>45304.091848071235</c:v>
                </c:pt>
                <c:pt idx="28">
                  <c:v>44351.707666997027</c:v>
                </c:pt>
                <c:pt idx="29">
                  <c:v>43517.666203931127</c:v>
                </c:pt>
                <c:pt idx="30">
                  <c:v>43055.775685089749</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157147.42276614078</c:v>
                </c:pt>
                <c:pt idx="20">
                  <c:v>182427.12325607112</c:v>
                </c:pt>
                <c:pt idx="21">
                  <c:v>132061.71665341625</c:v>
                </c:pt>
                <c:pt idx="22">
                  <c:v>110825.68442083475</c:v>
                </c:pt>
                <c:pt idx="23">
                  <c:v>103643.18805526117</c:v>
                </c:pt>
                <c:pt idx="24">
                  <c:v>98865.228761649036</c:v>
                </c:pt>
                <c:pt idx="25">
                  <c:v>91053.275897315107</c:v>
                </c:pt>
                <c:pt idx="26">
                  <c:v>88379.811064583686</c:v>
                </c:pt>
                <c:pt idx="27">
                  <c:v>85325.113977275178</c:v>
                </c:pt>
                <c:pt idx="28">
                  <c:v>81925.005125487165</c:v>
                </c:pt>
                <c:pt idx="29">
                  <c:v>78805.62477514187</c:v>
                </c:pt>
                <c:pt idx="30">
                  <c:v>75243.804434225734</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27142.522953793545</c:v>
                </c:pt>
                <c:pt idx="16">
                  <c:v>26964.948765811416</c:v>
                </c:pt>
                <c:pt idx="17">
                  <c:v>26434.068676714982</c:v>
                </c:pt>
                <c:pt idx="18">
                  <c:v>24884.681420592337</c:v>
                </c:pt>
                <c:pt idx="19">
                  <c:v>23164.285157351991</c:v>
                </c:pt>
                <c:pt idx="20">
                  <c:v>21549.473521145817</c:v>
                </c:pt>
                <c:pt idx="21">
                  <c:v>20465.80498213289</c:v>
                </c:pt>
                <c:pt idx="22">
                  <c:v>19887.741275429402</c:v>
                </c:pt>
                <c:pt idx="23">
                  <c:v>19449.822903353801</c:v>
                </c:pt>
                <c:pt idx="24">
                  <c:v>19396.513643137932</c:v>
                </c:pt>
                <c:pt idx="25">
                  <c:v>19283.761823950535</c:v>
                </c:pt>
                <c:pt idx="26">
                  <c:v>19188.617273121257</c:v>
                </c:pt>
                <c:pt idx="27">
                  <c:v>19126.258459656983</c:v>
                </c:pt>
                <c:pt idx="28">
                  <c:v>19125.510517842402</c:v>
                </c:pt>
                <c:pt idx="29">
                  <c:v>18900.569124204958</c:v>
                </c:pt>
                <c:pt idx="30">
                  <c:v>18887.999929958249</c:v>
                </c:pt>
                <c:pt idx="31">
                  <c:v>18888.3489516052</c:v>
                </c:pt>
                <c:pt idx="32">
                  <c:v>18860.990680133331</c:v>
                </c:pt>
                <c:pt idx="33">
                  <c:v>18860.984328233237</c:v>
                </c:pt>
                <c:pt idx="34">
                  <c:v>18750.953475978586</c:v>
                </c:pt>
                <c:pt idx="35">
                  <c:v>18629.323793409942</c:v>
                </c:pt>
                <c:pt idx="36">
                  <c:v>18629.732534589471</c:v>
                </c:pt>
                <c:pt idx="37">
                  <c:v>18530.749272813962</c:v>
                </c:pt>
                <c:pt idx="38">
                  <c:v>18337.867322920345</c:v>
                </c:pt>
                <c:pt idx="39">
                  <c:v>18337.867305500571</c:v>
                </c:pt>
                <c:pt idx="40">
                  <c:v>18339.004771712702</c:v>
                </c:pt>
                <c:pt idx="41">
                  <c:v>18339.565439738362</c:v>
                </c:pt>
                <c:pt idx="42">
                  <c:v>18340.20684715638</c:v>
                </c:pt>
                <c:pt idx="43">
                  <c:v>18141.807419220484</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29343.386941581935</c:v>
                </c:pt>
                <c:pt idx="15">
                  <c:v>28752.767191183062</c:v>
                </c:pt>
                <c:pt idx="16">
                  <c:v>28824.602444397777</c:v>
                </c:pt>
                <c:pt idx="17">
                  <c:v>36141.03771097766</c:v>
                </c:pt>
                <c:pt idx="18">
                  <c:v>39362.017724647405</c:v>
                </c:pt>
                <c:pt idx="19">
                  <c:v>48187.94893976493</c:v>
                </c:pt>
                <c:pt idx="20">
                  <c:v>48598.602307277419</c:v>
                </c:pt>
                <c:pt idx="21">
                  <c:v>50591.092084379343</c:v>
                </c:pt>
                <c:pt idx="22">
                  <c:v>50011.697543844828</c:v>
                </c:pt>
                <c:pt idx="23">
                  <c:v>49488.492411676882</c:v>
                </c:pt>
                <c:pt idx="24">
                  <c:v>49156.004320497064</c:v>
                </c:pt>
                <c:pt idx="25">
                  <c:v>48372.020143275149</c:v>
                </c:pt>
                <c:pt idx="26">
                  <c:v>48252.066637947559</c:v>
                </c:pt>
                <c:pt idx="27">
                  <c:v>48007.460645664447</c:v>
                </c:pt>
                <c:pt idx="28">
                  <c:v>47163.533140528845</c:v>
                </c:pt>
                <c:pt idx="29">
                  <c:v>47117.691865028217</c:v>
                </c:pt>
                <c:pt idx="30">
                  <c:v>46977.466829183693</c:v>
                </c:pt>
                <c:pt idx="31">
                  <c:v>46507.818795167244</c:v>
                </c:pt>
                <c:pt idx="32">
                  <c:v>46398.540019858374</c:v>
                </c:pt>
                <c:pt idx="33">
                  <c:v>46046.005160668683</c:v>
                </c:pt>
                <c:pt idx="34">
                  <c:v>45550.591923503147</c:v>
                </c:pt>
                <c:pt idx="35">
                  <c:v>44882.5590857961</c:v>
                </c:pt>
                <c:pt idx="36">
                  <c:v>45068.537238357807</c:v>
                </c:pt>
                <c:pt idx="37">
                  <c:v>45177.665830809012</c:v>
                </c:pt>
                <c:pt idx="38">
                  <c:v>45755.810826191024</c:v>
                </c:pt>
                <c:pt idx="39">
                  <c:v>45956.030794894476</c:v>
                </c:pt>
                <c:pt idx="40">
                  <c:v>46049.250805263138</c:v>
                </c:pt>
                <c:pt idx="41">
                  <c:v>46475.455459201112</c:v>
                </c:pt>
                <c:pt idx="42">
                  <c:v>46281.291614373273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31417.848370165455</c:v>
                </c:pt>
                <c:pt idx="7">
                  <c:v>31311.594004243365</c:v>
                </c:pt>
                <c:pt idx="8">
                  <c:v>33339.608493750085</c:v>
                </c:pt>
                <c:pt idx="9">
                  <c:v>43540.208386949147</c:v>
                </c:pt>
                <c:pt idx="10">
                  <c:v>42303.92757950649</c:v>
                </c:pt>
                <c:pt idx="11">
                  <c:v>41872.369954808171</c:v>
                </c:pt>
                <c:pt idx="12">
                  <c:v>41953.59473545738</c:v>
                </c:pt>
                <c:pt idx="13">
                  <c:v>42204.552692352547</c:v>
                </c:pt>
                <c:pt idx="14">
                  <c:v>42492.141847609266</c:v>
                </c:pt>
                <c:pt idx="15">
                  <c:v>42618.277362134548</c:v>
                </c:pt>
                <c:pt idx="16">
                  <c:v>41951.261610824418</c:v>
                </c:pt>
                <c:pt idx="17">
                  <c:v>41907.205092869699</c:v>
                </c:pt>
                <c:pt idx="18">
                  <c:v>41793.580082618675</c:v>
                </c:pt>
                <c:pt idx="19">
                  <c:v>41807.884322256476</c:v>
                </c:pt>
                <c:pt idx="20">
                  <c:v>41062.004530950624</c:v>
                </c:pt>
                <c:pt idx="21">
                  <c:v>41028.230274953865</c:v>
                </c:pt>
                <c:pt idx="22">
                  <c:v>41113.924324238345</c:v>
                </c:pt>
                <c:pt idx="23">
                  <c:v>41215.231234847983</c:v>
                </c:pt>
                <c:pt idx="24">
                  <c:v>41128.859368224832</c:v>
                </c:pt>
                <c:pt idx="25">
                  <c:v>40448.472619226501</c:v>
                </c:pt>
                <c:pt idx="26">
                  <c:v>40074.532734336317</c:v>
                </c:pt>
                <c:pt idx="27">
                  <c:v>39862.508217015638</c:v>
                </c:pt>
                <c:pt idx="28">
                  <c:v>39964.796036663014</c:v>
                </c:pt>
                <c:pt idx="29">
                  <c:v>39618.31330049791</c:v>
                </c:pt>
                <c:pt idx="30">
                  <c:v>40043.939301306164</c:v>
                </c:pt>
                <c:pt idx="31">
                  <c:v>40566.119393159082</c:v>
                </c:pt>
                <c:pt idx="32">
                  <c:v>40843.938542247037</c:v>
                </c:pt>
                <c:pt idx="33">
                  <c:v>41173.144859586297</c:v>
                </c:pt>
                <c:pt idx="34">
                  <c:v>40443.137220217941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97554.651970270163</c:v>
                </c:pt>
                <c:pt idx="7">
                  <c:v>88881.269987293112</c:v>
                </c:pt>
                <c:pt idx="8">
                  <c:v>81072.420313633847</c:v>
                </c:pt>
                <c:pt idx="9">
                  <c:v>74624.283409314899</c:v>
                </c:pt>
                <c:pt idx="10">
                  <c:v>71229.256713712384</c:v>
                </c:pt>
                <c:pt idx="11">
                  <c:v>67863.069996635721</c:v>
                </c:pt>
                <c:pt idx="12">
                  <c:v>63706.610059687133</c:v>
                </c:pt>
                <c:pt idx="13">
                  <c:v>60981.038696502364</c:v>
                </c:pt>
                <c:pt idx="14">
                  <c:v>57461.868272401487</c:v>
                </c:pt>
                <c:pt idx="15">
                  <c:v>57198.573643190757</c:v>
                </c:pt>
                <c:pt idx="16">
                  <c:v>56908.373684644597</c:v>
                </c:pt>
                <c:pt idx="17">
                  <c:v>56077.896412541624</c:v>
                </c:pt>
                <c:pt idx="18">
                  <c:v>55732.836798192584</c:v>
                </c:pt>
                <c:pt idx="19">
                  <c:v>54658.37649150053</c:v>
                </c:pt>
                <c:pt idx="20">
                  <c:v>55409.147288557957</c:v>
                </c:pt>
                <c:pt idx="21">
                  <c:v>55347.304033475455</c:v>
                </c:pt>
                <c:pt idx="22">
                  <c:v>54433.533980912573</c:v>
                </c:pt>
                <c:pt idx="23">
                  <c:v>54537.37719025914</c:v>
                </c:pt>
                <c:pt idx="24">
                  <c:v>54413.498166672194</c:v>
                </c:pt>
                <c:pt idx="25">
                  <c:v>54065.340094343352</c:v>
                </c:pt>
                <c:pt idx="26">
                  <c:v>52825.926622593994</c:v>
                </c:pt>
                <c:pt idx="27">
                  <c:v>52922.024122833027</c:v>
                </c:pt>
                <c:pt idx="28">
                  <c:v>52227.192748939073</c:v>
                </c:pt>
                <c:pt idx="29">
                  <c:v>52370.560441074347</c:v>
                </c:pt>
                <c:pt idx="30">
                  <c:v>53061.886280563354</c:v>
                </c:pt>
                <c:pt idx="31">
                  <c:v>53158.500922201849</c:v>
                </c:pt>
                <c:pt idx="32">
                  <c:v>53574.795385640253</c:v>
                </c:pt>
                <c:pt idx="33">
                  <c:v>53037.286788824422</c:v>
                </c:pt>
                <c:pt idx="34">
                  <c:v>52880.214170625943</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224999.99999999997</c:v>
                </c:pt>
                <c:pt idx="15">
                  <c:v>213638.06368167853</c:v>
                </c:pt>
                <c:pt idx="16">
                  <c:v>190149.79206971769</c:v>
                </c:pt>
                <c:pt idx="17">
                  <c:v>170584.62999180314</c:v>
                </c:pt>
                <c:pt idx="18">
                  <c:v>155713.38506696004</c:v>
                </c:pt>
                <c:pt idx="19">
                  <c:v>150223.22709480906</c:v>
                </c:pt>
                <c:pt idx="20">
                  <c:v>146020.1729728565</c:v>
                </c:pt>
                <c:pt idx="21">
                  <c:v>140900.2978723569</c:v>
                </c:pt>
                <c:pt idx="22">
                  <c:v>134221.57126617545</c:v>
                </c:pt>
                <c:pt idx="23">
                  <c:v>124152.61344781873</c:v>
                </c:pt>
                <c:pt idx="24">
                  <c:v>120031.53040026881</c:v>
                </c:pt>
                <c:pt idx="25">
                  <c:v>116559.11513933887</c:v>
                </c:pt>
                <c:pt idx="26">
                  <c:v>113238.45510075938</c:v>
                </c:pt>
                <c:pt idx="27">
                  <c:v>108911.38353015682</c:v>
                </c:pt>
                <c:pt idx="28">
                  <c:v>104078.90008069215</c:v>
                </c:pt>
                <c:pt idx="29">
                  <c:v>96425.34927662772</c:v>
                </c:pt>
                <c:pt idx="30">
                  <c:v>85830.563611248363</c:v>
                </c:pt>
                <c:pt idx="31">
                  <c:v>74760.787346921585</c:v>
                </c:pt>
                <c:pt idx="32">
                  <c:v>63635.926537209205</c:v>
                </c:pt>
                <c:pt idx="33">
                  <c:v>54543.512786661493</c:v>
                </c:pt>
                <c:pt idx="34">
                  <c:v>50973.631027370255</c:v>
                </c:pt>
                <c:pt idx="35">
                  <c:v>49559.100498793188</c:v>
                </c:pt>
                <c:pt idx="36">
                  <c:v>48795.263475390464</c:v>
                </c:pt>
                <c:pt idx="37">
                  <c:v>48389.498490974562</c:v>
                </c:pt>
                <c:pt idx="38">
                  <c:v>47665.448771087256</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71616.08895539795</c:v>
                </c:pt>
                <c:pt idx="24">
                  <c:v>71590.187312641923</c:v>
                </c:pt>
                <c:pt idx="25">
                  <c:v>70056.888268057824</c:v>
                </c:pt>
                <c:pt idx="26">
                  <c:v>65861.511805418791</c:v>
                </c:pt>
                <c:pt idx="27">
                  <c:v>60486.171526173028</c:v>
                </c:pt>
                <c:pt idx="28">
                  <c:v>54470.527441449995</c:v>
                </c:pt>
                <c:pt idx="29">
                  <c:v>48154.760122340413</c:v>
                </c:pt>
                <c:pt idx="30">
                  <c:v>44866.731753431173</c:v>
                </c:pt>
                <c:pt idx="31">
                  <c:v>42768.753372338186</c:v>
                </c:pt>
                <c:pt idx="32">
                  <c:v>41908.085503040231</c:v>
                </c:pt>
                <c:pt idx="33">
                  <c:v>41094.01211379841</c:v>
                </c:pt>
                <c:pt idx="34">
                  <c:v>40427.061102572763</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Class 7&amp;8 Sleeper Trucks</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Veh-Mi'!$C$17:$C$52</c:f>
              <c:numCache>
                <c:formatCode>0.0%</c:formatCode>
                <c:ptCount val="36"/>
                <c:pt idx="0">
                  <c:v>0</c:v>
                </c:pt>
                <c:pt idx="1">
                  <c:v>0</c:v>
                </c:pt>
                <c:pt idx="2">
                  <c:v>0</c:v>
                </c:pt>
                <c:pt idx="3">
                  <c:v>0</c:v>
                </c:pt>
                <c:pt idx="4">
                  <c:v>0</c:v>
                </c:pt>
                <c:pt idx="5">
                  <c:v>0</c:v>
                </c:pt>
                <c:pt idx="6">
                  <c:v>0</c:v>
                </c:pt>
                <c:pt idx="7">
                  <c:v>1.5928931240959662E-2</c:v>
                </c:pt>
                <c:pt idx="8">
                  <c:v>3.8506518821436485E-2</c:v>
                </c:pt>
                <c:pt idx="9">
                  <c:v>9.1397921213851346E-2</c:v>
                </c:pt>
                <c:pt idx="10">
                  <c:v>0.18410656562789671</c:v>
                </c:pt>
                <c:pt idx="11">
                  <c:v>0.22489262946611011</c:v>
                </c:pt>
                <c:pt idx="12">
                  <c:v>0.28083845692270154</c:v>
                </c:pt>
                <c:pt idx="13">
                  <c:v>0.29276057644526754</c:v>
                </c:pt>
                <c:pt idx="14">
                  <c:v>0.30692085019144022</c:v>
                </c:pt>
                <c:pt idx="15">
                  <c:v>0.30018362719385988</c:v>
                </c:pt>
                <c:pt idx="16">
                  <c:v>0.29458940799379474</c:v>
                </c:pt>
                <c:pt idx="17">
                  <c:v>0.2889263980489466</c:v>
                </c:pt>
                <c:pt idx="18">
                  <c:v>0.2764426782503826</c:v>
                </c:pt>
                <c:pt idx="19">
                  <c:v>0.27582637756335704</c:v>
                </c:pt>
                <c:pt idx="20">
                  <c:v>0.27400486324740425</c:v>
                </c:pt>
                <c:pt idx="21">
                  <c:v>0.21913461720827299</c:v>
                </c:pt>
                <c:pt idx="22">
                  <c:v>0.20429912891693064</c:v>
                </c:pt>
                <c:pt idx="23">
                  <c:v>0.24182327651210453</c:v>
                </c:pt>
                <c:pt idx="24">
                  <c:v>0.29041562794972592</c:v>
                </c:pt>
                <c:pt idx="25">
                  <c:v>0.32718663432259237</c:v>
                </c:pt>
                <c:pt idx="26">
                  <c:v>0.3520341054494357</c:v>
                </c:pt>
                <c:pt idx="27">
                  <c:v>0.36683570749533823</c:v>
                </c:pt>
                <c:pt idx="28">
                  <c:v>0.370824673206192</c:v>
                </c:pt>
                <c:pt idx="29">
                  <c:v>0.36946290744104177</c:v>
                </c:pt>
                <c:pt idx="30">
                  <c:v>0.36802435587783366</c:v>
                </c:pt>
                <c:pt idx="31">
                  <c:v>0.36283695714761266</c:v>
                </c:pt>
                <c:pt idx="32">
                  <c:v>0.35691139316353138</c:v>
                </c:pt>
                <c:pt idx="33">
                  <c:v>0.34544354797661919</c:v>
                </c:pt>
                <c:pt idx="34">
                  <c:v>0.32692353791740225</c:v>
                </c:pt>
                <c:pt idx="35">
                  <c:v>0.3030986653860574</c:v>
                </c:pt>
              </c:numCache>
            </c:numRef>
          </c:val>
          <c:extLst>
            <c:ext xmlns:c16="http://schemas.microsoft.com/office/drawing/2014/chart" uri="{C3380CC4-5D6E-409C-BE32-E72D297353CC}">
              <c16:uniqueId val="{00000000-784F-420E-822A-DB86B0C65B19}"/>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Veh-Mi'!$D$17:$D$52</c:f>
              <c:numCache>
                <c:formatCode>0.0%</c:formatCode>
                <c:ptCount val="36"/>
                <c:pt idx="0">
                  <c:v>0</c:v>
                </c:pt>
                <c:pt idx="1">
                  <c:v>0</c:v>
                </c:pt>
                <c:pt idx="2">
                  <c:v>0</c:v>
                </c:pt>
                <c:pt idx="3">
                  <c:v>0</c:v>
                </c:pt>
                <c:pt idx="4">
                  <c:v>0</c:v>
                </c:pt>
                <c:pt idx="5">
                  <c:v>0</c:v>
                </c:pt>
                <c:pt idx="6">
                  <c:v>0</c:v>
                </c:pt>
                <c:pt idx="7">
                  <c:v>9.0698052157983603E-3</c:v>
                </c:pt>
                <c:pt idx="8">
                  <c:v>2.5977112997027468E-2</c:v>
                </c:pt>
                <c:pt idx="9">
                  <c:v>6.6497648390141037E-2</c:v>
                </c:pt>
                <c:pt idx="10">
                  <c:v>0.13170010618167194</c:v>
                </c:pt>
                <c:pt idx="11">
                  <c:v>0.17632342403187831</c:v>
                </c:pt>
                <c:pt idx="12">
                  <c:v>0.1940036380727384</c:v>
                </c:pt>
                <c:pt idx="13">
                  <c:v>0.22778966034938467</c:v>
                </c:pt>
                <c:pt idx="14">
                  <c:v>0.21916314556472735</c:v>
                </c:pt>
                <c:pt idx="15">
                  <c:v>0.23406339364196085</c:v>
                </c:pt>
                <c:pt idx="16">
                  <c:v>0.23889857059920339</c:v>
                </c:pt>
                <c:pt idx="17">
                  <c:v>0.2407676987097872</c:v>
                </c:pt>
                <c:pt idx="18">
                  <c:v>0.26663982255385671</c:v>
                </c:pt>
                <c:pt idx="19">
                  <c:v>0.27223891368770353</c:v>
                </c:pt>
                <c:pt idx="20">
                  <c:v>0.2779682119826169</c:v>
                </c:pt>
                <c:pt idx="21">
                  <c:v>0.36146659305503592</c:v>
                </c:pt>
                <c:pt idx="22">
                  <c:v>0.39585178633147872</c:v>
                </c:pt>
                <c:pt idx="23">
                  <c:v>0.40335121162467524</c:v>
                </c:pt>
                <c:pt idx="24">
                  <c:v>0.40000200431898847</c:v>
                </c:pt>
                <c:pt idx="25">
                  <c:v>0.40716406323173315</c:v>
                </c:pt>
                <c:pt idx="26">
                  <c:v>0.41733055486797072</c:v>
                </c:pt>
                <c:pt idx="27">
                  <c:v>0.42158901861412856</c:v>
                </c:pt>
                <c:pt idx="28">
                  <c:v>0.4190871693093573</c:v>
                </c:pt>
                <c:pt idx="29">
                  <c:v>0.41757398007967084</c:v>
                </c:pt>
                <c:pt idx="30">
                  <c:v>0.41192975162800699</c:v>
                </c:pt>
                <c:pt idx="31">
                  <c:v>0.40734023449632961</c:v>
                </c:pt>
                <c:pt idx="32">
                  <c:v>0.40636024101261392</c:v>
                </c:pt>
                <c:pt idx="33">
                  <c:v>0.39199108422306833</c:v>
                </c:pt>
                <c:pt idx="34">
                  <c:v>0.37295341971484108</c:v>
                </c:pt>
                <c:pt idx="35">
                  <c:v>0.3445598742204905</c:v>
                </c:pt>
              </c:numCache>
            </c:numRef>
          </c:val>
          <c:extLst>
            <c:ext xmlns:c16="http://schemas.microsoft.com/office/drawing/2014/chart" uri="{C3380CC4-5D6E-409C-BE32-E72D297353CC}">
              <c16:uniqueId val="{00000001-784F-420E-822A-DB86B0C65B19}"/>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Veh-Mi'!$E$17:$E$52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5.0713692537220211E-5</c:v>
                </c:pt>
                <c:pt idx="31">
                  <c:v>1.5211894680285001E-3</c:v>
                </c:pt>
                <c:pt idx="32">
                  <c:v>9.3260162876312794E-3</c:v>
                </c:pt>
                <c:pt idx="33">
                  <c:v>2.6929460502001738E-2</c:v>
                </c:pt>
                <c:pt idx="34">
                  <c:v>5.605362097632792E-2</c:v>
                </c:pt>
                <c:pt idx="35">
                  <c:v>9.726571981986061E-2</c:v>
                </c:pt>
              </c:numCache>
            </c:numRef>
          </c:val>
          <c:extLst>
            <c:ext xmlns:c16="http://schemas.microsoft.com/office/drawing/2014/chart" uri="{C3380CC4-5D6E-409C-BE32-E72D297353CC}">
              <c16:uniqueId val="{00000002-784F-420E-822A-DB86B0C65B19}"/>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Veh-Mi'!$F$17:$F$52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8.5223333221384425E-6</c:v>
                </c:pt>
                <c:pt idx="27">
                  <c:v>5.8201448423591596E-4</c:v>
                </c:pt>
                <c:pt idx="28">
                  <c:v>2.2929846717783722E-3</c:v>
                </c:pt>
                <c:pt idx="29">
                  <c:v>6.1320633523198574E-3</c:v>
                </c:pt>
                <c:pt idx="30">
                  <c:v>1.2635393638117189E-2</c:v>
                </c:pt>
                <c:pt idx="31">
                  <c:v>1.8958411556802866E-2</c:v>
                </c:pt>
                <c:pt idx="32">
                  <c:v>2.7964681300668086E-2</c:v>
                </c:pt>
                <c:pt idx="33">
                  <c:v>3.7190705850946054E-2</c:v>
                </c:pt>
                <c:pt idx="34">
                  <c:v>4.8917968552699732E-2</c:v>
                </c:pt>
                <c:pt idx="35">
                  <c:v>5.8605965978718935E-2</c:v>
                </c:pt>
              </c:numCache>
            </c:numRef>
          </c:val>
          <c:extLst>
            <c:ext xmlns:c16="http://schemas.microsoft.com/office/drawing/2014/chart" uri="{C3380CC4-5D6E-409C-BE32-E72D297353CC}">
              <c16:uniqueId val="{00000003-784F-420E-822A-DB86B0C65B19}"/>
            </c:ext>
          </c:extLst>
        </c:ser>
        <c:dLbls>
          <c:showLegendKey val="0"/>
          <c:showVal val="0"/>
          <c:showCatName val="0"/>
          <c:showSerName val="0"/>
          <c:showPercent val="0"/>
          <c:showBubbleSize val="0"/>
        </c:dLbls>
        <c:axId val="677974352"/>
        <c:axId val="677974912"/>
        <c:extLst>
          <c:ext xmlns:c15="http://schemas.microsoft.com/office/drawing/2012/chart" uri="{02D57815-91ED-43cb-92C2-25804820EDAC}">
            <c15:filteredAreaSeries>
              <c15:ser>
                <c:idx val="4"/>
                <c:order val="4"/>
                <c:tx>
                  <c:strRef>
                    <c:extLst>
                      <c:ext uri="{02D57815-91ED-43cb-92C2-25804820EDAC}">
                        <c15:formulaRef>
                          <c15:sqref>'Mkt Pen Veh-Mi'!$G$7</c15:sqref>
                        </c15:formulaRef>
                      </c:ext>
                    </c:extLst>
                    <c:strCache>
                      <c:ptCount val="1"/>
                      <c:pt idx="0">
                        <c:v>0</c:v>
                      </c:pt>
                    </c:strCache>
                  </c:strRef>
                </c:tx>
                <c:spPr>
                  <a:solidFill>
                    <a:schemeClr val="accent5">
                      <a:alpha val="85000"/>
                    </a:schemeClr>
                  </a:solidFill>
                  <a:ln>
                    <a:noFill/>
                  </a:ln>
                  <a:effectLst>
                    <a:innerShdw dist="12700" dir="16200000">
                      <a:schemeClr val="lt1"/>
                    </a:innerShdw>
                  </a:effectLst>
                </c:spPr>
                <c:cat>
                  <c:numRef>
                    <c:extLst>
                      <c:ext uri="{02D57815-91ED-43cb-92C2-25804820EDAC}">
                        <c15:formulaRef>
                          <c15:sqref>'Mkt Pen Veh-Mi'!$A$17:$A$52</c15:sqref>
                        </c15:formulaRef>
                      </c:ext>
                    </c:extLst>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extLst>
                      <c:ext uri="{02D57815-91ED-43cb-92C2-25804820EDAC}">
                        <c15:formulaRef>
                          <c15:sqref>'Mkt Pen Veh-Mi'!$G$17:$G$52</c15:sqref>
                        </c15:formulaRef>
                      </c:ext>
                    </c:extLst>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04-784F-420E-822A-DB86B0C65B19}"/>
                  </c:ext>
                </c:extLst>
              </c15:ser>
            </c15:filteredAreaSeries>
          </c:ext>
        </c:extLst>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1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tickLblSkip val="5"/>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1.7044895844370841E-2</c:v>
                </c:pt>
                <c:pt idx="3">
                  <c:v>4.095089665199779E-2</c:v>
                </c:pt>
                <c:pt idx="4">
                  <c:v>9.2702824086043342E-2</c:v>
                </c:pt>
                <c:pt idx="5">
                  <c:v>0.18216127261487028</c:v>
                </c:pt>
                <c:pt idx="6">
                  <c:v>0.2402983816876117</c:v>
                </c:pt>
                <c:pt idx="7">
                  <c:v>0.30045915818016555</c:v>
                </c:pt>
                <c:pt idx="8">
                  <c:v>0.31288121704383121</c:v>
                </c:pt>
                <c:pt idx="9">
                  <c:v>0.32855024258670967</c:v>
                </c:pt>
                <c:pt idx="10">
                  <c:v>0.32076429501865433</c:v>
                </c:pt>
                <c:pt idx="11">
                  <c:v>0.31440701585679487</c:v>
                </c:pt>
                <c:pt idx="12">
                  <c:v>0.30815053559833705</c:v>
                </c:pt>
                <c:pt idx="13">
                  <c:v>0.29493187900533979</c:v>
                </c:pt>
                <c:pt idx="14">
                  <c:v>0.29428024161458882</c:v>
                </c:pt>
                <c:pt idx="15">
                  <c:v>0.29134402124707781</c:v>
                </c:pt>
                <c:pt idx="16">
                  <c:v>0.22312063776907151</c:v>
                </c:pt>
                <c:pt idx="17">
                  <c:v>0.19285462853098459</c:v>
                </c:pt>
                <c:pt idx="18">
                  <c:v>0.21020728453946841</c:v>
                </c:pt>
                <c:pt idx="19">
                  <c:v>0.24996526864949906</c:v>
                </c:pt>
                <c:pt idx="20">
                  <c:v>0.28714682952962672</c:v>
                </c:pt>
                <c:pt idx="21">
                  <c:v>0.31265971701245598</c:v>
                </c:pt>
                <c:pt idx="22">
                  <c:v>0.32839124379167572</c:v>
                </c:pt>
                <c:pt idx="23">
                  <c:v>0.33345499273802404</c:v>
                </c:pt>
                <c:pt idx="24">
                  <c:v>0.33329607146083357</c:v>
                </c:pt>
                <c:pt idx="25">
                  <c:v>0.33251724014493345</c:v>
                </c:pt>
                <c:pt idx="26">
                  <c:v>0.32809237448066914</c:v>
                </c:pt>
                <c:pt idx="27">
                  <c:v>0.32315087930349573</c:v>
                </c:pt>
                <c:pt idx="28">
                  <c:v>0.31280036949361012</c:v>
                </c:pt>
                <c:pt idx="29">
                  <c:v>0.29517978815515766</c:v>
                </c:pt>
                <c:pt idx="30">
                  <c:v>0.2711981103066633</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7.3637584910937305E-3</c:v>
                </c:pt>
                <c:pt idx="3">
                  <c:v>2.1421975196902743E-2</c:v>
                </c:pt>
                <c:pt idx="4">
                  <c:v>5.5957084378339787E-2</c:v>
                </c:pt>
                <c:pt idx="5">
                  <c:v>0.11165344121622386</c:v>
                </c:pt>
                <c:pt idx="6">
                  <c:v>0.1464308327785554</c:v>
                </c:pt>
                <c:pt idx="7">
                  <c:v>0.15959782276906775</c:v>
                </c:pt>
                <c:pt idx="8">
                  <c:v>0.18886421365511502</c:v>
                </c:pt>
                <c:pt idx="9">
                  <c:v>0.18039146158543157</c:v>
                </c:pt>
                <c:pt idx="10">
                  <c:v>0.19325196711754603</c:v>
                </c:pt>
                <c:pt idx="11">
                  <c:v>0.19796033673598434</c:v>
                </c:pt>
                <c:pt idx="12">
                  <c:v>0.19940684593271188</c:v>
                </c:pt>
                <c:pt idx="13">
                  <c:v>0.22131565013471335</c:v>
                </c:pt>
                <c:pt idx="14">
                  <c:v>0.22573913889792085</c:v>
                </c:pt>
                <c:pt idx="15">
                  <c:v>0.23148479643211128</c:v>
                </c:pt>
                <c:pt idx="16">
                  <c:v>0.30915377345419337</c:v>
                </c:pt>
                <c:pt idx="17">
                  <c:v>0.34635156787423532</c:v>
                </c:pt>
                <c:pt idx="18">
                  <c:v>0.36104098843134713</c:v>
                </c:pt>
                <c:pt idx="19">
                  <c:v>0.36244966474239537</c:v>
                </c:pt>
                <c:pt idx="20">
                  <c:v>0.37009259054167803</c:v>
                </c:pt>
                <c:pt idx="21">
                  <c:v>0.38225917722647212</c:v>
                </c:pt>
                <c:pt idx="22">
                  <c:v>0.38782938632459435</c:v>
                </c:pt>
                <c:pt idx="23">
                  <c:v>0.38685605966725173</c:v>
                </c:pt>
                <c:pt idx="24">
                  <c:v>0.38655267581793051</c:v>
                </c:pt>
                <c:pt idx="25">
                  <c:v>0.38168745472257726</c:v>
                </c:pt>
                <c:pt idx="26">
                  <c:v>0.37839748173494131</c:v>
                </c:pt>
                <c:pt idx="27">
                  <c:v>0.37839937778252808</c:v>
                </c:pt>
                <c:pt idx="28">
                  <c:v>0.36413100370385287</c:v>
                </c:pt>
                <c:pt idx="29">
                  <c:v>0.34661013361517534</c:v>
                </c:pt>
                <c:pt idx="30">
                  <c:v>0.31770364922551453</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4.5358584590571963E-5</c:v>
                </c:pt>
                <c:pt idx="26">
                  <c:v>1.3959703463673995E-3</c:v>
                </c:pt>
                <c:pt idx="27">
                  <c:v>8.706897422455737E-3</c:v>
                </c:pt>
                <c:pt idx="28">
                  <c:v>2.5620065102783744E-2</c:v>
                </c:pt>
                <c:pt idx="29">
                  <c:v>5.4580734048934501E-2</c:v>
                </c:pt>
                <c:pt idx="30">
                  <c:v>9.7090428158108671E-2</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4.079308236481345E-6</c:v>
                </c:pt>
                <c:pt idx="22">
                  <c:v>2.8608625667633439E-4</c:v>
                </c:pt>
                <c:pt idx="23">
                  <c:v>1.2816679940785575E-3</c:v>
                </c:pt>
                <c:pt idx="24">
                  <c:v>4.0119074813247764E-3</c:v>
                </c:pt>
                <c:pt idx="25">
                  <c:v>9.1779750977458545E-3</c:v>
                </c:pt>
                <c:pt idx="26">
                  <c:v>1.4497462631201824E-2</c:v>
                </c:pt>
                <c:pt idx="27">
                  <c:v>2.2319419930371173E-2</c:v>
                </c:pt>
                <c:pt idx="28">
                  <c:v>3.0676758001707525E-2</c:v>
                </c:pt>
                <c:pt idx="29">
                  <c:v>4.1440135576568497E-2</c:v>
                </c:pt>
                <c:pt idx="30">
                  <c:v>5.0546472151762077E-2</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1.2488571794085544E-2</c:v>
                </c:pt>
                <c:pt idx="3">
                  <c:v>3.0927247251743915E-2</c:v>
                </c:pt>
                <c:pt idx="4">
                  <c:v>6.1511580316847482E-2</c:v>
                </c:pt>
                <c:pt idx="5">
                  <c:v>5.3200647144274846E-2</c:v>
                </c:pt>
                <c:pt idx="6">
                  <c:v>7.2404998682887037E-2</c:v>
                </c:pt>
                <c:pt idx="7">
                  <c:v>6.4136755317045852E-2</c:v>
                </c:pt>
                <c:pt idx="8">
                  <c:v>7.4327165269390705E-2</c:v>
                </c:pt>
                <c:pt idx="9">
                  <c:v>7.6024916537474965E-2</c:v>
                </c:pt>
                <c:pt idx="10">
                  <c:v>8.1258792115553952E-2</c:v>
                </c:pt>
                <c:pt idx="11">
                  <c:v>8.3192297065448506E-2</c:v>
                </c:pt>
                <c:pt idx="12">
                  <c:v>8.3896138189521463E-2</c:v>
                </c:pt>
                <c:pt idx="13">
                  <c:v>8.7036049514021246E-2</c:v>
                </c:pt>
                <c:pt idx="14">
                  <c:v>8.7303552140733459E-2</c:v>
                </c:pt>
                <c:pt idx="15">
                  <c:v>8.7609300395788098E-2</c:v>
                </c:pt>
                <c:pt idx="16">
                  <c:v>9.2064387579375725E-2</c:v>
                </c:pt>
                <c:pt idx="17">
                  <c:v>9.1761657553919129E-2</c:v>
                </c:pt>
                <c:pt idx="18">
                  <c:v>9.2383779003537392E-2</c:v>
                </c:pt>
                <c:pt idx="19">
                  <c:v>9.4248130585542433E-2</c:v>
                </c:pt>
                <c:pt idx="20">
                  <c:v>9.3908631456694036E-2</c:v>
                </c:pt>
                <c:pt idx="21">
                  <c:v>9.4512567408448309E-2</c:v>
                </c:pt>
                <c:pt idx="22">
                  <c:v>9.345018554593254E-2</c:v>
                </c:pt>
                <c:pt idx="23">
                  <c:v>9.2530768064731858E-2</c:v>
                </c:pt>
                <c:pt idx="24">
                  <c:v>8.8105895518274066E-2</c:v>
                </c:pt>
                <c:pt idx="25">
                  <c:v>8.4112078932868567E-2</c:v>
                </c:pt>
                <c:pt idx="26">
                  <c:v>7.9659675322475268E-2</c:v>
                </c:pt>
                <c:pt idx="27">
                  <c:v>7.7873167105958402E-2</c:v>
                </c:pt>
                <c:pt idx="28">
                  <c:v>7.6515505041703971E-2</c:v>
                </c:pt>
                <c:pt idx="29">
                  <c:v>7.4209711137466286E-2</c:v>
                </c:pt>
                <c:pt idx="30">
                  <c:v>7.4553398730841103E-2</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1.3315891485049781E-2</c:v>
                </c:pt>
                <c:pt idx="3">
                  <c:v>3.0663420493257772E-2</c:v>
                </c:pt>
                <c:pt idx="4">
                  <c:v>5.482922053102246E-2</c:v>
                </c:pt>
                <c:pt idx="5">
                  <c:v>5.8973687004291522E-2</c:v>
                </c:pt>
                <c:pt idx="6">
                  <c:v>9.6471299433021185E-2</c:v>
                </c:pt>
                <c:pt idx="7">
                  <c:v>0.12709471225983268</c:v>
                </c:pt>
                <c:pt idx="8">
                  <c:v>0.14016379730492567</c:v>
                </c:pt>
                <c:pt idx="9">
                  <c:v>0.14223669751265527</c:v>
                </c:pt>
                <c:pt idx="10">
                  <c:v>0.14204499899462908</c:v>
                </c:pt>
                <c:pt idx="11">
                  <c:v>0.14076452020645927</c:v>
                </c:pt>
                <c:pt idx="12">
                  <c:v>0.14689442460332514</c:v>
                </c:pt>
                <c:pt idx="13">
                  <c:v>0.14646334732973076</c:v>
                </c:pt>
                <c:pt idx="14">
                  <c:v>0.14642959500065889</c:v>
                </c:pt>
                <c:pt idx="15">
                  <c:v>0.14393280619220022</c:v>
                </c:pt>
                <c:pt idx="16">
                  <c:v>0.15470320036253207</c:v>
                </c:pt>
                <c:pt idx="17">
                  <c:v>0.15440107185334692</c:v>
                </c:pt>
                <c:pt idx="18">
                  <c:v>0.15149309245228174</c:v>
                </c:pt>
                <c:pt idx="19">
                  <c:v>0.1497980186638728</c:v>
                </c:pt>
                <c:pt idx="20">
                  <c:v>0.14942456300735374</c:v>
                </c:pt>
                <c:pt idx="21">
                  <c:v>0.15470068751467425</c:v>
                </c:pt>
                <c:pt idx="22">
                  <c:v>0.15420155290596785</c:v>
                </c:pt>
                <c:pt idx="23">
                  <c:v>0.14842970486654772</c:v>
                </c:pt>
                <c:pt idx="24">
                  <c:v>0.14134207607701993</c:v>
                </c:pt>
                <c:pt idx="25">
                  <c:v>0.13861219615884512</c:v>
                </c:pt>
                <c:pt idx="26">
                  <c:v>0.13055956046384609</c:v>
                </c:pt>
                <c:pt idx="27">
                  <c:v>0.12226745706428724</c:v>
                </c:pt>
                <c:pt idx="28">
                  <c:v>0.11776743866097679</c:v>
                </c:pt>
                <c:pt idx="29">
                  <c:v>0.11379187417693221</c:v>
                </c:pt>
                <c:pt idx="30">
                  <c:v>0.11988185879214083</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4.8405203279352691E-4</c:v>
                </c:pt>
                <c:pt idx="3">
                  <c:v>1.7361726942043531E-3</c:v>
                </c:pt>
                <c:pt idx="4">
                  <c:v>5.514111317406695E-3</c:v>
                </c:pt>
                <c:pt idx="5">
                  <c:v>1.3617106092196834E-2</c:v>
                </c:pt>
                <c:pt idx="6">
                  <c:v>2.241739462438834E-2</c:v>
                </c:pt>
                <c:pt idx="7">
                  <c:v>3.0656578461523754E-2</c:v>
                </c:pt>
                <c:pt idx="8">
                  <c:v>3.9071104388393188E-2</c:v>
                </c:pt>
                <c:pt idx="9">
                  <c:v>4.5026451995415662E-2</c:v>
                </c:pt>
                <c:pt idx="10">
                  <c:v>5.2607966566747225E-2</c:v>
                </c:pt>
                <c:pt idx="11">
                  <c:v>5.2914308818673775E-2</c:v>
                </c:pt>
                <c:pt idx="12">
                  <c:v>5.3316580557943756E-2</c:v>
                </c:pt>
                <c:pt idx="13">
                  <c:v>5.4647750229308928E-2</c:v>
                </c:pt>
                <c:pt idx="14">
                  <c:v>5.532972866507678E-2</c:v>
                </c:pt>
                <c:pt idx="15">
                  <c:v>5.6556456313291426E-2</c:v>
                </c:pt>
                <c:pt idx="16">
                  <c:v>5.395755951798397E-2</c:v>
                </c:pt>
                <c:pt idx="17">
                  <c:v>5.434694110902856E-2</c:v>
                </c:pt>
                <c:pt idx="18">
                  <c:v>5.622208830655586E-2</c:v>
                </c:pt>
                <c:pt idx="19">
                  <c:v>5.5772751847236728E-2</c:v>
                </c:pt>
                <c:pt idx="20">
                  <c:v>5.5476762708949384E-2</c:v>
                </c:pt>
                <c:pt idx="21">
                  <c:v>5.5045186839937629E-2</c:v>
                </c:pt>
                <c:pt idx="22">
                  <c:v>5.6685216286937609E-2</c:v>
                </c:pt>
                <c:pt idx="23">
                  <c:v>5.4194725370150132E-2</c:v>
                </c:pt>
                <c:pt idx="24">
                  <c:v>5.3448168515270747E-2</c:v>
                </c:pt>
                <c:pt idx="25">
                  <c:v>5.0837567526946278E-2</c:v>
                </c:pt>
                <c:pt idx="26">
                  <c:v>4.8500382953880192E-2</c:v>
                </c:pt>
                <c:pt idx="27">
                  <c:v>4.7907534660364612E-2</c:v>
                </c:pt>
                <c:pt idx="28">
                  <c:v>4.6896271649200565E-2</c:v>
                </c:pt>
                <c:pt idx="29">
                  <c:v>4.7803383159193968E-2</c:v>
                </c:pt>
                <c:pt idx="30">
                  <c:v>4.7871553438995323E-2</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1.0866518436118608E-7</c:v>
                </c:pt>
                <c:pt idx="7">
                  <c:v>1.5280731010999134E-6</c:v>
                </c:pt>
                <c:pt idx="8">
                  <c:v>1.714498997297714E-5</c:v>
                </c:pt>
                <c:pt idx="9">
                  <c:v>9.6256854466377842E-5</c:v>
                </c:pt>
                <c:pt idx="10">
                  <c:v>4.0359285876549809E-4</c:v>
                </c:pt>
                <c:pt idx="11">
                  <c:v>7.0334809736649661E-4</c:v>
                </c:pt>
                <c:pt idx="12">
                  <c:v>1.0679559874381065E-3</c:v>
                </c:pt>
                <c:pt idx="13">
                  <c:v>1.5531755269836266E-3</c:v>
                </c:pt>
                <c:pt idx="14">
                  <c:v>2.1493295839245708E-3</c:v>
                </c:pt>
                <c:pt idx="15">
                  <c:v>3.1499759440581912E-3</c:v>
                </c:pt>
                <c:pt idx="16">
                  <c:v>3.5605431002051153E-3</c:v>
                </c:pt>
                <c:pt idx="17">
                  <c:v>3.918162507830481E-3</c:v>
                </c:pt>
                <c:pt idx="18">
                  <c:v>4.3693434559576114E-3</c:v>
                </c:pt>
                <c:pt idx="19">
                  <c:v>5.0548119936155668E-3</c:v>
                </c:pt>
                <c:pt idx="20">
                  <c:v>5.9645976859886967E-3</c:v>
                </c:pt>
                <c:pt idx="21">
                  <c:v>7.6482627730916457E-3</c:v>
                </c:pt>
                <c:pt idx="22">
                  <c:v>1.0873357718738905E-2</c:v>
                </c:pt>
                <c:pt idx="23">
                  <c:v>1.5905458201516953E-2</c:v>
                </c:pt>
                <c:pt idx="24">
                  <c:v>2.3799546792952125E-2</c:v>
                </c:pt>
                <c:pt idx="25">
                  <c:v>3.5280745573791877E-2</c:v>
                </c:pt>
                <c:pt idx="26">
                  <c:v>4.2742437573075463E-2</c:v>
                </c:pt>
                <c:pt idx="27">
                  <c:v>4.6711784208900931E-2</c:v>
                </c:pt>
                <c:pt idx="28">
                  <c:v>4.9321659910499777E-2</c:v>
                </c:pt>
                <c:pt idx="29">
                  <c:v>5.0416712077128528E-2</c:v>
                </c:pt>
                <c:pt idx="30">
                  <c:v>5.3198587430355937E-2</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BEV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1.4974047266104719E-5</c:v>
                </c:pt>
                <c:pt idx="20">
                  <c:v>1.1429253604132307E-4</c:v>
                </c:pt>
                <c:pt idx="21">
                  <c:v>6.9700101775827319E-4</c:v>
                </c:pt>
                <c:pt idx="22">
                  <c:v>2.9613436805905231E-3</c:v>
                </c:pt>
                <c:pt idx="23">
                  <c:v>7.1498836038144777E-3</c:v>
                </c:pt>
                <c:pt idx="24">
                  <c:v>1.3581275371343739E-2</c:v>
                </c:pt>
                <c:pt idx="25">
                  <c:v>2.37574077138668E-2</c:v>
                </c:pt>
                <c:pt idx="26">
                  <c:v>3.1137940026385404E-2</c:v>
                </c:pt>
                <c:pt idx="27">
                  <c:v>3.7956840664538027E-2</c:v>
                </c:pt>
                <c:pt idx="28">
                  <c:v>4.2277861211956452E-2</c:v>
                </c:pt>
                <c:pt idx="29">
                  <c:v>4.6633030038239209E-2</c:v>
                </c:pt>
                <c:pt idx="30">
                  <c:v>4.9997075893758347E-2</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1.7935702452521934E-2</c:v>
                </c:pt>
                <c:pt idx="2">
                  <c:v>4.56696889698004E-2</c:v>
                </c:pt>
                <c:pt idx="3">
                  <c:v>9.9282919107461398E-2</c:v>
                </c:pt>
                <c:pt idx="4">
                  <c:v>0.12816727012429957</c:v>
                </c:pt>
                <c:pt idx="5">
                  <c:v>0.16111823084443222</c:v>
                </c:pt>
                <c:pt idx="6">
                  <c:v>0.21344581620473119</c:v>
                </c:pt>
                <c:pt idx="7">
                  <c:v>0.24497596081650225</c:v>
                </c:pt>
                <c:pt idx="8">
                  <c:v>0.27036348537966309</c:v>
                </c:pt>
                <c:pt idx="9">
                  <c:v>0.28154423403506901</c:v>
                </c:pt>
                <c:pt idx="10">
                  <c:v>0.29526383711745752</c:v>
                </c:pt>
                <c:pt idx="11">
                  <c:v>0.29578102538357343</c:v>
                </c:pt>
                <c:pt idx="12">
                  <c:v>0.29998870546587675</c:v>
                </c:pt>
                <c:pt idx="13">
                  <c:v>0.30245250371655047</c:v>
                </c:pt>
                <c:pt idx="14">
                  <c:v>0.30086383518286935</c:v>
                </c:pt>
                <c:pt idx="15">
                  <c:v>0.29721768269512494</c:v>
                </c:pt>
                <c:pt idx="16">
                  <c:v>0.29967447056774632</c:v>
                </c:pt>
                <c:pt idx="17">
                  <c:v>0.30084122484494447</c:v>
                </c:pt>
                <c:pt idx="18">
                  <c:v>0.29691459537040243</c:v>
                </c:pt>
                <c:pt idx="19">
                  <c:v>0.29299930819588532</c:v>
                </c:pt>
                <c:pt idx="20">
                  <c:v>0.2869651592797573</c:v>
                </c:pt>
                <c:pt idx="21">
                  <c:v>0.2664057015015977</c:v>
                </c:pt>
                <c:pt idx="22">
                  <c:v>0.23792508384986946</c:v>
                </c:pt>
                <c:pt idx="23">
                  <c:v>0.2160829248508721</c:v>
                </c:pt>
                <c:pt idx="24">
                  <c:v>0.19836958302108038</c:v>
                </c:pt>
                <c:pt idx="25">
                  <c:v>0.19814595200246676</c:v>
                </c:pt>
                <c:pt idx="26">
                  <c:v>0.19716524365603011</c:v>
                </c:pt>
                <c:pt idx="27">
                  <c:v>0.19675739443971185</c:v>
                </c:pt>
                <c:pt idx="28">
                  <c:v>0.19646488279626856</c:v>
                </c:pt>
                <c:pt idx="29">
                  <c:v>0.19535148367759736</c:v>
                </c:pt>
                <c:pt idx="30">
                  <c:v>0.19479355394969416</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1.3001400385374845E-2</c:v>
                </c:pt>
                <c:pt idx="2">
                  <c:v>3.0353136139884988E-2</c:v>
                </c:pt>
                <c:pt idx="3">
                  <c:v>5.6774851455523329E-2</c:v>
                </c:pt>
                <c:pt idx="4">
                  <c:v>0.10149544834486739</c:v>
                </c:pt>
                <c:pt idx="5">
                  <c:v>0.14736624336580867</c:v>
                </c:pt>
                <c:pt idx="6">
                  <c:v>0.20356736934161651</c:v>
                </c:pt>
                <c:pt idx="7">
                  <c:v>0.23699948574473151</c:v>
                </c:pt>
                <c:pt idx="8">
                  <c:v>0.26221900448958801</c:v>
                </c:pt>
                <c:pt idx="9">
                  <c:v>0.27715840245636192</c:v>
                </c:pt>
                <c:pt idx="10">
                  <c:v>0.29396176225948273</c:v>
                </c:pt>
                <c:pt idx="11">
                  <c:v>0.2956484905161666</c:v>
                </c:pt>
                <c:pt idx="12">
                  <c:v>0.29883532259771761</c:v>
                </c:pt>
                <c:pt idx="13">
                  <c:v>0.30231697946368485</c:v>
                </c:pt>
                <c:pt idx="14">
                  <c:v>0.30072902278761254</c:v>
                </c:pt>
                <c:pt idx="15">
                  <c:v>0.29708450408396869</c:v>
                </c:pt>
                <c:pt idx="16">
                  <c:v>0.29703399097650274</c:v>
                </c:pt>
                <c:pt idx="17">
                  <c:v>0.29869366644682593</c:v>
                </c:pt>
                <c:pt idx="18">
                  <c:v>0.29678155256795247</c:v>
                </c:pt>
                <c:pt idx="19">
                  <c:v>0.29241540794323367</c:v>
                </c:pt>
                <c:pt idx="20">
                  <c:v>0.28638396274766598</c:v>
                </c:pt>
                <c:pt idx="21">
                  <c:v>0.26628400790007151</c:v>
                </c:pt>
                <c:pt idx="22">
                  <c:v>0.2378184733281164</c:v>
                </c:pt>
                <c:pt idx="23">
                  <c:v>0.21545715010555605</c:v>
                </c:pt>
                <c:pt idx="24">
                  <c:v>0.19828069670273335</c:v>
                </c:pt>
                <c:pt idx="25">
                  <c:v>0.19766899120784648</c:v>
                </c:pt>
                <c:pt idx="26">
                  <c:v>0.19575559480640359</c:v>
                </c:pt>
                <c:pt idx="27">
                  <c:v>0.19615748753437001</c:v>
                </c:pt>
                <c:pt idx="28">
                  <c:v>0.19637684994440552</c:v>
                </c:pt>
                <c:pt idx="29">
                  <c:v>0.19479821241994227</c:v>
                </c:pt>
                <c:pt idx="30">
                  <c:v>0.19470626999423779</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PHEV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9.684041057980345E-7</c:v>
                </c:pt>
                <c:pt idx="12">
                  <c:v>1.5481582789965889E-4</c:v>
                </c:pt>
                <c:pt idx="13">
                  <c:v>1.4356097967790577E-3</c:v>
                </c:pt>
                <c:pt idx="14">
                  <c:v>4.6595228427859471E-3</c:v>
                </c:pt>
                <c:pt idx="15">
                  <c:v>1.3510915371713001E-2</c:v>
                </c:pt>
                <c:pt idx="16">
                  <c:v>1.8160040046786848E-2</c:v>
                </c:pt>
                <c:pt idx="17">
                  <c:v>2.3069485873914233E-2</c:v>
                </c:pt>
                <c:pt idx="18">
                  <c:v>2.8909118804152339E-2</c:v>
                </c:pt>
                <c:pt idx="19">
                  <c:v>3.8142956638128778E-2</c:v>
                </c:pt>
                <c:pt idx="20">
                  <c:v>4.7368421936975588E-2</c:v>
                </c:pt>
                <c:pt idx="21">
                  <c:v>6.0153885074856521E-2</c:v>
                </c:pt>
                <c:pt idx="22">
                  <c:v>8.2574742856063282E-2</c:v>
                </c:pt>
                <c:pt idx="23">
                  <c:v>0.10941424687694654</c:v>
                </c:pt>
                <c:pt idx="24">
                  <c:v>0.13334949108177147</c:v>
                </c:pt>
                <c:pt idx="25">
                  <c:v>0.16013626145008925</c:v>
                </c:pt>
                <c:pt idx="26">
                  <c:v>0.17581588512602053</c:v>
                </c:pt>
                <c:pt idx="27">
                  <c:v>0.18761823625523488</c:v>
                </c:pt>
                <c:pt idx="28">
                  <c:v>0.1972338423590014</c:v>
                </c:pt>
                <c:pt idx="29">
                  <c:v>0.20097140297509569</c:v>
                </c:pt>
                <c:pt idx="30">
                  <c:v>0.20414844770217927</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BEV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5.3929259061313731E-4</c:v>
                </c:pt>
                <c:pt idx="24">
                  <c:v>5.1839877444530471E-3</c:v>
                </c:pt>
                <c:pt idx="25">
                  <c:v>1.4731115960970854E-2</c:v>
                </c:pt>
                <c:pt idx="26">
                  <c:v>2.2067294168549835E-2</c:v>
                </c:pt>
                <c:pt idx="27">
                  <c:v>3.0200216144401229E-2</c:v>
                </c:pt>
                <c:pt idx="28">
                  <c:v>3.5806685395509769E-2</c:v>
                </c:pt>
                <c:pt idx="29">
                  <c:v>4.0078357597910785E-2</c:v>
                </c:pt>
                <c:pt idx="30">
                  <c:v>4.4242830242562772E-2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4.4841507935532547E-6</c:v>
                </c:pt>
                <c:pt idx="20">
                  <c:v>2.8447335400633668E-3</c:v>
                </c:pt>
                <c:pt idx="21">
                  <c:v>3.4202214031128074E-2</c:v>
                </c:pt>
                <c:pt idx="22">
                  <c:v>7.5144229831691028E-2</c:v>
                </c:pt>
                <c:pt idx="23">
                  <c:v>9.4044462426961767E-2</c:v>
                </c:pt>
                <c:pt idx="24">
                  <c:v>0.10690887603834959</c:v>
                </c:pt>
                <c:pt idx="25">
                  <c:v>0.13033714200818616</c:v>
                </c:pt>
                <c:pt idx="26">
                  <c:v>0.14003343099052418</c:v>
                </c:pt>
                <c:pt idx="27">
                  <c:v>0.15159705082842806</c:v>
                </c:pt>
                <c:pt idx="28">
                  <c:v>0.1632679788523953</c:v>
                </c:pt>
                <c:pt idx="29">
                  <c:v>0.17646433470882139</c:v>
                </c:pt>
                <c:pt idx="30">
                  <c:v>0.19077035185971011</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1.0647363526695682E-2</c:v>
                </c:pt>
                <c:pt idx="16">
                  <c:v>2.5738883408896112E-2</c:v>
                </c:pt>
                <c:pt idx="17">
                  <c:v>6.1093043721967728E-2</c:v>
                </c:pt>
                <c:pt idx="18">
                  <c:v>0.1230622131666364</c:v>
                </c:pt>
                <c:pt idx="19">
                  <c:v>0.15032481113628601</c:v>
                </c:pt>
                <c:pt idx="20">
                  <c:v>0.18772063849728315</c:v>
                </c:pt>
                <c:pt idx="21">
                  <c:v>0.19568973188121744</c:v>
                </c:pt>
                <c:pt idx="22">
                  <c:v>0.20515487300916307</c:v>
                </c:pt>
                <c:pt idx="23">
                  <c:v>0.20065151610903431</c:v>
                </c:pt>
                <c:pt idx="24">
                  <c:v>0.19691217637744252</c:v>
                </c:pt>
                <c:pt idx="25">
                  <c:v>0.19312685490006395</c:v>
                </c:pt>
                <c:pt idx="26">
                  <c:v>0.18478237146611379</c:v>
                </c:pt>
                <c:pt idx="27">
                  <c:v>0.1843704180615037</c:v>
                </c:pt>
                <c:pt idx="28">
                  <c:v>0.18315286461754385</c:v>
                </c:pt>
                <c:pt idx="29">
                  <c:v>0.14647598733430267</c:v>
                </c:pt>
                <c:pt idx="30">
                  <c:v>0.13655951305586622</c:v>
                </c:pt>
                <c:pt idx="31">
                  <c:v>0.16164175080499027</c:v>
                </c:pt>
                <c:pt idx="32">
                  <c:v>0.19412229972235368</c:v>
                </c:pt>
                <c:pt idx="33">
                  <c:v>0.21870111585080884</c:v>
                </c:pt>
                <c:pt idx="34">
                  <c:v>0.23530989228436427</c:v>
                </c:pt>
                <c:pt idx="35">
                  <c:v>0.24520371600525265</c:v>
                </c:pt>
                <c:pt idx="36">
                  <c:v>0.24787005735461901</c:v>
                </c:pt>
                <c:pt idx="37">
                  <c:v>0.24695981328862165</c:v>
                </c:pt>
                <c:pt idx="38">
                  <c:v>0.24599824334939135</c:v>
                </c:pt>
                <c:pt idx="39">
                  <c:v>0.24253083431842268</c:v>
                </c:pt>
                <c:pt idx="40">
                  <c:v>0.23857001404210842</c:v>
                </c:pt>
                <c:pt idx="41">
                  <c:v>0.23090457091062278</c:v>
                </c:pt>
                <c:pt idx="42">
                  <c:v>0.21852525451860452</c:v>
                </c:pt>
                <c:pt idx="43">
                  <c:v>0.20260001289497806</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6.0625230775437598E-3</c:v>
                </c:pt>
                <c:pt idx="16">
                  <c:v>1.7363862099058137E-2</c:v>
                </c:pt>
                <c:pt idx="17">
                  <c:v>4.4448973089896107E-2</c:v>
                </c:pt>
                <c:pt idx="18">
                  <c:v>8.8032202902283418E-2</c:v>
                </c:pt>
                <c:pt idx="19">
                  <c:v>0.1178597336845565</c:v>
                </c:pt>
                <c:pt idx="20">
                  <c:v>0.12967770585576949</c:v>
                </c:pt>
                <c:pt idx="21">
                  <c:v>0.15226127131027256</c:v>
                </c:pt>
                <c:pt idx="22">
                  <c:v>0.14649505652214673</c:v>
                </c:pt>
                <c:pt idx="23">
                  <c:v>0.15645481813555021</c:v>
                </c:pt>
                <c:pt idx="24">
                  <c:v>0.15968679183176923</c:v>
                </c:pt>
                <c:pt idx="25">
                  <c:v>0.16093617172865635</c:v>
                </c:pt>
                <c:pt idx="26">
                  <c:v>0.17822985600718194</c:v>
                </c:pt>
                <c:pt idx="27">
                  <c:v>0.18197245228180645</c:v>
                </c:pt>
                <c:pt idx="28">
                  <c:v>0.18580208283115304</c:v>
                </c:pt>
                <c:pt idx="29">
                  <c:v>0.24161484287889182</c:v>
                </c:pt>
                <c:pt idx="30">
                  <c:v>0.26459891175405642</c:v>
                </c:pt>
                <c:pt idx="31">
                  <c:v>0.26961174696126955</c:v>
                </c:pt>
                <c:pt idx="32">
                  <c:v>0.26737303884140429</c:v>
                </c:pt>
                <c:pt idx="33">
                  <c:v>0.27216036849271924</c:v>
                </c:pt>
                <c:pt idx="34">
                  <c:v>0.27895594884928382</c:v>
                </c:pt>
                <c:pt idx="35">
                  <c:v>0.28180243056765586</c:v>
                </c:pt>
                <c:pt idx="36">
                  <c:v>0.28013012131890891</c:v>
                </c:pt>
                <c:pt idx="37">
                  <c:v>0.27911866138042146</c:v>
                </c:pt>
                <c:pt idx="38">
                  <c:v>0.2753458940024035</c:v>
                </c:pt>
                <c:pt idx="39">
                  <c:v>0.27227812651858685</c:v>
                </c:pt>
                <c:pt idx="40">
                  <c:v>0.27162307021147675</c:v>
                </c:pt>
                <c:pt idx="41">
                  <c:v>0.26201830554798372</c:v>
                </c:pt>
                <c:pt idx="42">
                  <c:v>0.24929297378202431</c:v>
                </c:pt>
                <c:pt idx="43">
                  <c:v>0.23031389752656617</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3.3898515352768028E-5</c:v>
                </c:pt>
                <c:pt idx="39">
                  <c:v>1.0168075317841894E-3</c:v>
                </c:pt>
                <c:pt idx="40">
                  <c:v>6.2337820515516781E-3</c:v>
                </c:pt>
                <c:pt idx="41">
                  <c:v>1.8000439025395085E-2</c:v>
                </c:pt>
                <c:pt idx="42">
                  <c:v>3.7467879702305834E-2</c:v>
                </c:pt>
                <c:pt idx="43">
                  <c:v>6.5015251930071891E-2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1.2055043351922501E-3</c:v>
                </c:pt>
                <c:pt idx="16">
                  <c:v>2.9252748369129411E-3</c:v>
                </c:pt>
                <c:pt idx="17">
                  <c:v>5.8326507455636967E-3</c:v>
                </c:pt>
                <c:pt idx="18">
                  <c:v>6.3250402641116107E-3</c:v>
                </c:pt>
                <c:pt idx="19">
                  <c:v>9.3754401043414128E-3</c:v>
                </c:pt>
                <c:pt idx="20">
                  <c:v>1.0166961705142846E-2</c:v>
                </c:pt>
                <c:pt idx="21">
                  <c:v>1.1882754100666184E-2</c:v>
                </c:pt>
                <c:pt idx="22">
                  <c:v>1.2652483147988175E-2</c:v>
                </c:pt>
                <c:pt idx="23">
                  <c:v>1.3368655116050046E-2</c:v>
                </c:pt>
                <c:pt idx="24">
                  <c:v>1.3543568262175495E-2</c:v>
                </c:pt>
                <c:pt idx="25">
                  <c:v>1.3566390230299187E-2</c:v>
                </c:pt>
                <c:pt idx="26">
                  <c:v>1.3849661429846023E-2</c:v>
                </c:pt>
                <c:pt idx="27">
                  <c:v>1.385777782867088E-2</c:v>
                </c:pt>
                <c:pt idx="28">
                  <c:v>1.3835813775748832E-2</c:v>
                </c:pt>
                <c:pt idx="29">
                  <c:v>1.4283800025004848E-2</c:v>
                </c:pt>
                <c:pt idx="30">
                  <c:v>1.4222993734302395E-2</c:v>
                </c:pt>
                <c:pt idx="31">
                  <c:v>1.4276806684005048E-2</c:v>
                </c:pt>
                <c:pt idx="32">
                  <c:v>1.4419309956897466E-2</c:v>
                </c:pt>
                <c:pt idx="33">
                  <c:v>1.4333610139004797E-2</c:v>
                </c:pt>
                <c:pt idx="34">
                  <c:v>1.4316184270008393E-2</c:v>
                </c:pt>
                <c:pt idx="35">
                  <c:v>1.4002963411801076E-2</c:v>
                </c:pt>
                <c:pt idx="36">
                  <c:v>1.3661850842824608E-2</c:v>
                </c:pt>
                <c:pt idx="37">
                  <c:v>1.3062436539085865E-2</c:v>
                </c:pt>
                <c:pt idx="38">
                  <c:v>1.2500515330078371E-2</c:v>
                </c:pt>
                <c:pt idx="39">
                  <c:v>1.1990313789522179E-2</c:v>
                </c:pt>
                <c:pt idx="40">
                  <c:v>1.1772700909427765E-2</c:v>
                </c:pt>
                <c:pt idx="41">
                  <c:v>1.1590916551033968E-2</c:v>
                </c:pt>
                <c:pt idx="42">
                  <c:v>1.1345670240642623E-2</c:v>
                </c:pt>
                <c:pt idx="43">
                  <c:v>1.1350596324846361E-2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1.3762345223599542E-3</c:v>
                </c:pt>
                <c:pt idx="16">
                  <c:v>3.1584320418116298E-3</c:v>
                </c:pt>
                <c:pt idx="17">
                  <c:v>6.0133755656499354E-3</c:v>
                </c:pt>
                <c:pt idx="18">
                  <c:v>8.4468453877739394E-3</c:v>
                </c:pt>
                <c:pt idx="19">
                  <c:v>1.3425317938121049E-2</c:v>
                </c:pt>
                <c:pt idx="20">
                  <c:v>1.7506558758081842E-2</c:v>
                </c:pt>
                <c:pt idx="21">
                  <c:v>1.9344200931333412E-2</c:v>
                </c:pt>
                <c:pt idx="22">
                  <c:v>1.9747709188036752E-2</c:v>
                </c:pt>
                <c:pt idx="23">
                  <c:v>1.9855477314096821E-2</c:v>
                </c:pt>
                <c:pt idx="24">
                  <c:v>1.9734896676382042E-2</c:v>
                </c:pt>
                <c:pt idx="25">
                  <c:v>2.0271976752862193E-2</c:v>
                </c:pt>
                <c:pt idx="26">
                  <c:v>2.0191259668856185E-2</c:v>
                </c:pt>
                <c:pt idx="27">
                  <c:v>2.0131873701295166E-2</c:v>
                </c:pt>
                <c:pt idx="28">
                  <c:v>1.979537551020296E-2</c:v>
                </c:pt>
                <c:pt idx="29">
                  <c:v>2.0897060774641995E-2</c:v>
                </c:pt>
                <c:pt idx="30">
                  <c:v>2.0839095088993415E-2</c:v>
                </c:pt>
                <c:pt idx="31">
                  <c:v>2.0489319009418167E-2</c:v>
                </c:pt>
                <c:pt idx="32">
                  <c:v>2.0309983518279794E-2</c:v>
                </c:pt>
                <c:pt idx="33">
                  <c:v>2.0216893386131377E-2</c:v>
                </c:pt>
                <c:pt idx="34">
                  <c:v>2.058449096034454E-2</c:v>
                </c:pt>
                <c:pt idx="35">
                  <c:v>2.0328389607404181E-2</c:v>
                </c:pt>
                <c:pt idx="36">
                  <c:v>1.9463960151084734E-2</c:v>
                </c:pt>
                <c:pt idx="37">
                  <c:v>1.8582101502806637E-2</c:v>
                </c:pt>
                <c:pt idx="38">
                  <c:v>1.8065217206388783E-2</c:v>
                </c:pt>
                <c:pt idx="39">
                  <c:v>1.7198526298853298E-2</c:v>
                </c:pt>
                <c:pt idx="40">
                  <c:v>1.6316240772428759E-2</c:v>
                </c:pt>
                <c:pt idx="41">
                  <c:v>1.5823356205872722E-2</c:v>
                </c:pt>
                <c:pt idx="42">
                  <c:v>1.5412427679937474E-2</c:v>
                </c:pt>
                <c:pt idx="43">
                  <c:v>1.5949389577521331E-2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1.553408915204515E-4</c:v>
                </c:pt>
                <c:pt idx="16">
                  <c:v>5.0763193315822087E-4</c:v>
                </c:pt>
                <c:pt idx="17">
                  <c:v>1.470599550519591E-3</c:v>
                </c:pt>
                <c:pt idx="18">
                  <c:v>3.3428027901183134E-3</c:v>
                </c:pt>
                <c:pt idx="19">
                  <c:v>5.2527811940572796E-3</c:v>
                </c:pt>
                <c:pt idx="20">
                  <c:v>6.843888819654996E-3</c:v>
                </c:pt>
                <c:pt idx="21">
                  <c:v>8.1881529123683759E-3</c:v>
                </c:pt>
                <c:pt idx="22">
                  <c:v>9.0325069675918582E-3</c:v>
                </c:pt>
                <c:pt idx="23">
                  <c:v>9.9443641407546812E-3</c:v>
                </c:pt>
                <c:pt idx="24">
                  <c:v>9.9564401549785252E-3</c:v>
                </c:pt>
                <c:pt idx="25">
                  <c:v>9.9812336943135519E-3</c:v>
                </c:pt>
                <c:pt idx="26">
                  <c:v>1.008114270549341E-2</c:v>
                </c:pt>
                <c:pt idx="27">
                  <c:v>1.0144145055291294E-2</c:v>
                </c:pt>
                <c:pt idx="28">
                  <c:v>1.0169150591511529E-2</c:v>
                </c:pt>
                <c:pt idx="29">
                  <c:v>9.8351168987791653E-3</c:v>
                </c:pt>
                <c:pt idx="30">
                  <c:v>9.8950350616829816E-3</c:v>
                </c:pt>
                <c:pt idx="31">
                  <c:v>1.006744498278983E-2</c:v>
                </c:pt>
                <c:pt idx="32">
                  <c:v>1.0006036491353967E-2</c:v>
                </c:pt>
                <c:pt idx="33">
                  <c:v>9.9303262819924343E-3</c:v>
                </c:pt>
                <c:pt idx="34">
                  <c:v>9.7900306286943881E-3</c:v>
                </c:pt>
                <c:pt idx="35">
                  <c:v>9.850600198619823E-3</c:v>
                </c:pt>
                <c:pt idx="36">
                  <c:v>9.434941839725864E-3</c:v>
                </c:pt>
                <c:pt idx="37">
                  <c:v>9.1828030950391517E-3</c:v>
                </c:pt>
                <c:pt idx="38">
                  <c:v>8.7582582104300567E-3</c:v>
                </c:pt>
                <c:pt idx="39">
                  <c:v>8.4659093400392006E-3</c:v>
                </c:pt>
                <c:pt idx="40">
                  <c:v>8.377651858101633E-3</c:v>
                </c:pt>
                <c:pt idx="41">
                  <c:v>8.2650331330795003E-3</c:v>
                </c:pt>
                <c:pt idx="42">
                  <c:v>8.3403772263301278E-3</c:v>
                </c:pt>
                <c:pt idx="43">
                  <c:v>8.3275353926351627E-3</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8.6941327538505656E-2</c:v>
                </c:pt>
                <c:pt idx="16">
                  <c:v>8.3087068475695511E-2</c:v>
                </c:pt>
                <c:pt idx="17">
                  <c:v>7.6361781425845085E-2</c:v>
                </c:pt>
                <c:pt idx="18">
                  <c:v>7.1563718845574442E-2</c:v>
                </c:pt>
                <c:pt idx="19">
                  <c:v>6.1624787620941597E-2</c:v>
                </c:pt>
                <c:pt idx="20">
                  <c:v>5.5159924093119608E-2</c:v>
                </c:pt>
                <c:pt idx="21">
                  <c:v>5.0252574798814113E-2</c:v>
                </c:pt>
                <c:pt idx="22">
                  <c:v>4.8191692617809298E-2</c:v>
                </c:pt>
                <c:pt idx="23">
                  <c:v>4.6303175158862397E-2</c:v>
                </c:pt>
                <c:pt idx="24">
                  <c:v>4.6095923485412582E-2</c:v>
                </c:pt>
                <c:pt idx="25">
                  <c:v>4.5345812977483836E-2</c:v>
                </c:pt>
                <c:pt idx="26">
                  <c:v>4.4836433475158949E-2</c:v>
                </c:pt>
                <c:pt idx="27">
                  <c:v>4.4595600030573682E-2</c:v>
                </c:pt>
                <c:pt idx="28">
                  <c:v>4.4591570154023125E-2</c:v>
                </c:pt>
                <c:pt idx="29">
                  <c:v>4.3256520133888303E-2</c:v>
                </c:pt>
                <c:pt idx="30">
                  <c:v>4.3218921896212674E-2</c:v>
                </c:pt>
                <c:pt idx="31">
                  <c:v>4.321720588093924E-2</c:v>
                </c:pt>
                <c:pt idx="32">
                  <c:v>4.3128526265985886E-2</c:v>
                </c:pt>
                <c:pt idx="33">
                  <c:v>4.3128501798147062E-2</c:v>
                </c:pt>
                <c:pt idx="34">
                  <c:v>4.2401019990346366E-2</c:v>
                </c:pt>
                <c:pt idx="35">
                  <c:v>4.1784759161373954E-2</c:v>
                </c:pt>
                <c:pt idx="36">
                  <c:v>4.1783292955891206E-2</c:v>
                </c:pt>
                <c:pt idx="37">
                  <c:v>4.1435323194593837E-2</c:v>
                </c:pt>
                <c:pt idx="38">
                  <c:v>4.0260650936166403E-2</c:v>
                </c:pt>
                <c:pt idx="39">
                  <c:v>4.0260650871780122E-2</c:v>
                </c:pt>
                <c:pt idx="40">
                  <c:v>4.0256102580116401E-2</c:v>
                </c:pt>
                <c:pt idx="41">
                  <c:v>4.0253595683844637E-2</c:v>
                </c:pt>
                <c:pt idx="42">
                  <c:v>4.0250419817683979E-2</c:v>
                </c:pt>
                <c:pt idx="43">
                  <c:v>3.906018740436E-2</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0.65171936113568707</c:v>
                </c:pt>
                <c:pt idx="16">
                  <c:v>0.62532650223197228</c:v>
                </c:pt>
                <c:pt idx="17">
                  <c:v>0.5628872309280627</c:v>
                </c:pt>
                <c:pt idx="18">
                  <c:v>0.45733483167100669</c:v>
                </c:pt>
                <c:pt idx="19">
                  <c:v>0.40024470291908404</c:v>
                </c:pt>
                <c:pt idx="20">
                  <c:v>0.35103090338687387</c:v>
                </c:pt>
                <c:pt idx="21">
                  <c:v>0.32047824454843654</c:v>
                </c:pt>
                <c:pt idx="22">
                  <c:v>0.31677931820861671</c:v>
                </c:pt>
                <c:pt idx="23">
                  <c:v>0.31132291349534197</c:v>
                </c:pt>
                <c:pt idx="24">
                  <c:v>0.31183027953071474</c:v>
                </c:pt>
                <c:pt idx="25">
                  <c:v>0.31436622111120621</c:v>
                </c:pt>
                <c:pt idx="26">
                  <c:v>0.30541702026663081</c:v>
                </c:pt>
                <c:pt idx="27">
                  <c:v>0.30208637739661631</c:v>
                </c:pt>
                <c:pt idx="28">
                  <c:v>0.29947430029122962</c:v>
                </c:pt>
                <c:pt idx="29">
                  <c:v>0.28033841752673205</c:v>
                </c:pt>
                <c:pt idx="30">
                  <c:v>0.26727082293000387</c:v>
                </c:pt>
                <c:pt idx="31">
                  <c:v>0.23717574997366664</c:v>
                </c:pt>
                <c:pt idx="32">
                  <c:v>0.20693390917616858</c:v>
                </c:pt>
                <c:pt idx="33">
                  <c:v>0.17756776339639846</c:v>
                </c:pt>
                <c:pt idx="34">
                  <c:v>0.15415771002942691</c:v>
                </c:pt>
                <c:pt idx="35">
                  <c:v>0.1410340656631465</c:v>
                </c:pt>
                <c:pt idx="36">
                  <c:v>0.13889637104716254</c:v>
                </c:pt>
                <c:pt idx="37">
                  <c:v>0.13825192257719873</c:v>
                </c:pt>
                <c:pt idx="38">
                  <c:v>0.13860534520835438</c:v>
                </c:pt>
                <c:pt idx="39">
                  <c:v>0.13993112259587509</c:v>
                </c:pt>
                <c:pt idx="40">
                  <c:v>0.13330997054969726</c:v>
                </c:pt>
                <c:pt idx="41">
                  <c:v>0.13264657672106014</c:v>
                </c:pt>
                <c:pt idx="42">
                  <c:v>0.13044493881634539</c:v>
                </c:pt>
                <c:pt idx="43">
                  <c:v>0.13132614363608353</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5.696576851505908E-6</c:v>
                </c:pt>
                <c:pt idx="35">
                  <c:v>3.8903550387155465E-4</c:v>
                </c:pt>
                <c:pt idx="36">
                  <c:v>1.5326980192359996E-3</c:v>
                </c:pt>
                <c:pt idx="37">
                  <c:v>4.098850493684734E-3</c:v>
                </c:pt>
                <c:pt idx="38">
                  <c:v>8.4458666644245256E-3</c:v>
                </c:pt>
                <c:pt idx="39">
                  <c:v>1.2672356775257668E-2</c:v>
                </c:pt>
                <c:pt idx="40">
                  <c:v>1.8692410885092357E-2</c:v>
                </c:pt>
                <c:pt idx="41">
                  <c:v>2.4859355534864753E-2</c:v>
                </c:pt>
                <c:pt idx="42">
                  <c:v>3.2698200920646465E-2</c:v>
                </c:pt>
                <c:pt idx="43">
                  <c:v>3.9173941752226826E-2</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8.0430116983467532E-8</c:v>
                </c:pt>
                <c:pt idx="20">
                  <c:v>1.0739115790105966E-6</c:v>
                </c:pt>
                <c:pt idx="21">
                  <c:v>1.0724544396228984E-5</c:v>
                </c:pt>
                <c:pt idx="22">
                  <c:v>5.4015366152236254E-5</c:v>
                </c:pt>
                <c:pt idx="23">
                  <c:v>2.0673555781435741E-4</c:v>
                </c:pt>
                <c:pt idx="24">
                  <c:v>3.4757870862966935E-4</c:v>
                </c:pt>
                <c:pt idx="25">
                  <c:v>5.1299363261953315E-4</c:v>
                </c:pt>
                <c:pt idx="26">
                  <c:v>7.1991000822373803E-4</c:v>
                </c:pt>
                <c:pt idx="27">
                  <c:v>9.4901067174728575E-4</c:v>
                </c:pt>
                <c:pt idx="28">
                  <c:v>1.2864972560918681E-3</c:v>
                </c:pt>
                <c:pt idx="29">
                  <c:v>1.4059094552639961E-3</c:v>
                </c:pt>
                <c:pt idx="30">
                  <c:v>1.5023615063868587E-3</c:v>
                </c:pt>
                <c:pt idx="31">
                  <c:v>1.6276307304260282E-3</c:v>
                </c:pt>
                <c:pt idx="32">
                  <c:v>1.8110233232550724E-3</c:v>
                </c:pt>
                <c:pt idx="33">
                  <c:v>2.0421592726605187E-3</c:v>
                </c:pt>
                <c:pt idx="34">
                  <c:v>2.4260501964526917E-3</c:v>
                </c:pt>
                <c:pt idx="35">
                  <c:v>3.0700920809336846E-3</c:v>
                </c:pt>
                <c:pt idx="36">
                  <c:v>3.9117024523922777E-3</c:v>
                </c:pt>
                <c:pt idx="37">
                  <c:v>4.9821502409125931E-3</c:v>
                </c:pt>
                <c:pt idx="38">
                  <c:v>6.3303339296295648E-3</c:v>
                </c:pt>
                <c:pt idx="39">
                  <c:v>7.1672180636662792E-3</c:v>
                </c:pt>
                <c:pt idx="40">
                  <c:v>7.6154510749303662E-3</c:v>
                </c:pt>
                <c:pt idx="41">
                  <c:v>7.9170085275443742E-3</c:v>
                </c:pt>
                <c:pt idx="42">
                  <c:v>8.0254871179322278E-3</c:v>
                </c:pt>
                <c:pt idx="43">
                  <c:v>8.3416036025525768E-3</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3.5277318061214091E-6</c:v>
                </c:pt>
                <c:pt idx="33">
                  <c:v>2.6916409642125411E-5</c:v>
                </c:pt>
                <c:pt idx="34">
                  <c:v>1.606312417319365E-4</c:v>
                </c:pt>
                <c:pt idx="35">
                  <c:v>6.4160282744559665E-4</c:v>
                </c:pt>
                <c:pt idx="36">
                  <c:v>1.4226590456596327E-3</c:v>
                </c:pt>
                <c:pt idx="37">
                  <c:v>2.4335927151402305E-3</c:v>
                </c:pt>
                <c:pt idx="38">
                  <c:v>3.7634316748851367E-3</c:v>
                </c:pt>
                <c:pt idx="39">
                  <c:v>4.5957889237172216E-3</c:v>
                </c:pt>
                <c:pt idx="40">
                  <c:v>5.340260092573385E-3</c:v>
                </c:pt>
                <c:pt idx="41">
                  <c:v>5.8284971862031113E-3</c:v>
                </c:pt>
                <c:pt idx="42">
                  <c:v>6.3040252050518735E-3</c:v>
                </c:pt>
                <c:pt idx="43">
                  <c:v>6.6490949856628841E-3</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0.23040353781707437</c:v>
                </c:pt>
                <c:pt idx="16">
                  <c:v>0.23026379520905613</c:v>
                </c:pt>
                <c:pt idx="17">
                  <c:v>0.23063051727875197</c:v>
                </c:pt>
                <c:pt idx="18">
                  <c:v>0.23020863148363349</c:v>
                </c:pt>
                <c:pt idx="19">
                  <c:v>0.23132588409183796</c:v>
                </c:pt>
                <c:pt idx="20">
                  <c:v>0.23266381558921728</c:v>
                </c:pt>
                <c:pt idx="21">
                  <c:v>0.2328833653117349</c:v>
                </c:pt>
                <c:pt idx="22">
                  <c:v>0.23205610699924503</c:v>
                </c:pt>
                <c:pt idx="23">
                  <c:v>0.2325368127144869</c:v>
                </c:pt>
                <c:pt idx="24">
                  <c:v>0.23299118766940238</c:v>
                </c:pt>
                <c:pt idx="25">
                  <c:v>0.2318928847240504</c:v>
                </c:pt>
                <c:pt idx="26">
                  <c:v>0.23875154645474539</c:v>
                </c:pt>
                <c:pt idx="27">
                  <c:v>0.23765872386667919</c:v>
                </c:pt>
                <c:pt idx="28">
                  <c:v>0.23567996874223934</c:v>
                </c:pt>
                <c:pt idx="29">
                  <c:v>0.24028745677616672</c:v>
                </c:pt>
                <c:pt idx="30">
                  <c:v>0.24864519028071697</c:v>
                </c:pt>
                <c:pt idx="31">
                  <c:v>0.25433556979125205</c:v>
                </c:pt>
                <c:pt idx="32">
                  <c:v>0.26017310827920725</c:v>
                </c:pt>
                <c:pt idx="33">
                  <c:v>0.25911316630997649</c:v>
                </c:pt>
                <c:pt idx="34">
                  <c:v>0.26691439429992297</c:v>
                </c:pt>
                <c:pt idx="35">
                  <c:v>0.2585540042277088</c:v>
                </c:pt>
                <c:pt idx="36">
                  <c:v>0.26397895164744128</c:v>
                </c:pt>
                <c:pt idx="37">
                  <c:v>0.2604252503092444</c:v>
                </c:pt>
                <c:pt idx="38">
                  <c:v>0.24979558310783509</c:v>
                </c:pt>
                <c:pt idx="39">
                  <c:v>0.25076780622533784</c:v>
                </c:pt>
                <c:pt idx="40">
                  <c:v>0.26219441307862434</c:v>
                </c:pt>
                <c:pt idx="41">
                  <c:v>0.26322958132501956</c:v>
                </c:pt>
                <c:pt idx="42">
                  <c:v>0.26284240740374293</c:v>
                </c:pt>
                <c:pt idx="43">
                  <c:v>0.26275055789079438</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0.6143836986154696</c:v>
                </c:pt>
                <c:pt idx="15">
                  <c:v>0.61396683866068513</c:v>
                </c:pt>
                <c:pt idx="16">
                  <c:v>0.61281619387145114</c:v>
                </c:pt>
                <c:pt idx="17">
                  <c:v>0.61129930390216158</c:v>
                </c:pt>
                <c:pt idx="18">
                  <c:v>0.60496046250110891</c:v>
                </c:pt>
                <c:pt idx="19">
                  <c:v>0.60447880478251936</c:v>
                </c:pt>
                <c:pt idx="20">
                  <c:v>0.60182648482328105</c:v>
                </c:pt>
                <c:pt idx="21">
                  <c:v>0.59648142693806583</c:v>
                </c:pt>
                <c:pt idx="22">
                  <c:v>0.59179834377647</c:v>
                </c:pt>
                <c:pt idx="23">
                  <c:v>0.5956133335417596</c:v>
                </c:pt>
                <c:pt idx="24">
                  <c:v>0.59583106677124942</c:v>
                </c:pt>
                <c:pt idx="25">
                  <c:v>0.60102524775762556</c:v>
                </c:pt>
                <c:pt idx="26">
                  <c:v>0.59554112544141802</c:v>
                </c:pt>
                <c:pt idx="27">
                  <c:v>0.59553430792170359</c:v>
                </c:pt>
                <c:pt idx="28">
                  <c:v>0.59595634728121261</c:v>
                </c:pt>
                <c:pt idx="29">
                  <c:v>0.60197942856930176</c:v>
                </c:pt>
                <c:pt idx="30">
                  <c:v>0.59024495549530254</c:v>
                </c:pt>
                <c:pt idx="31">
                  <c:v>0.59024478572642725</c:v>
                </c:pt>
                <c:pt idx="32">
                  <c:v>0.59011140417559982</c:v>
                </c:pt>
                <c:pt idx="33">
                  <c:v>0.59011138101437965</c:v>
                </c:pt>
                <c:pt idx="34">
                  <c:v>0.6006148636923222</c:v>
                </c:pt>
                <c:pt idx="35">
                  <c:v>0.59809367101139221</c:v>
                </c:pt>
                <c:pt idx="36">
                  <c:v>0.59645392341613679</c:v>
                </c:pt>
                <c:pt idx="37">
                  <c:v>0.5995124368183915</c:v>
                </c:pt>
                <c:pt idx="38">
                  <c:v>0.48619873773972139</c:v>
                </c:pt>
                <c:pt idx="39">
                  <c:v>0.43600456493157891</c:v>
                </c:pt>
                <c:pt idx="40">
                  <c:v>0.3649923404710852</c:v>
                </c:pt>
                <c:pt idx="41">
                  <c:v>0.3034514324563663</c:v>
                </c:pt>
                <c:pt idx="42">
                  <c:v>0.25052627094383312</c:v>
                </c:pt>
                <c:pt idx="43">
                  <c:v>0.18757982011335786</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0.39919947592731392</c:v>
                </c:pt>
                <c:pt idx="16">
                  <c:v>0.39923566666700477</c:v>
                </c:pt>
                <c:pt idx="17">
                  <c:v>0.39922236229771424</c:v>
                </c:pt>
                <c:pt idx="18">
                  <c:v>0.39928999956144412</c:v>
                </c:pt>
                <c:pt idx="19">
                  <c:v>0.39969985181908479</c:v>
                </c:pt>
                <c:pt idx="20">
                  <c:v>0.3974987760889841</c:v>
                </c:pt>
                <c:pt idx="21">
                  <c:v>0.39777949117065226</c:v>
                </c:pt>
                <c:pt idx="22">
                  <c:v>0.39498491223701887</c:v>
                </c:pt>
                <c:pt idx="23">
                  <c:v>0.39327984324354387</c:v>
                </c:pt>
                <c:pt idx="24">
                  <c:v>0.39341978267649186</c:v>
                </c:pt>
                <c:pt idx="25">
                  <c:v>0.39931751410826127</c:v>
                </c:pt>
                <c:pt idx="26">
                  <c:v>0.39543319323571191</c:v>
                </c:pt>
                <c:pt idx="27">
                  <c:v>0.39747205069174879</c:v>
                </c:pt>
                <c:pt idx="28">
                  <c:v>0.3974763333470952</c:v>
                </c:pt>
                <c:pt idx="29">
                  <c:v>0.39515137072445128</c:v>
                </c:pt>
                <c:pt idx="30">
                  <c:v>0.39480109856562079</c:v>
                </c:pt>
                <c:pt idx="31">
                  <c:v>0.39479654702484818</c:v>
                </c:pt>
                <c:pt idx="32">
                  <c:v>0.39357336120732639</c:v>
                </c:pt>
                <c:pt idx="33">
                  <c:v>0.39357335491746653</c:v>
                </c:pt>
                <c:pt idx="34">
                  <c:v>0.4003258767522298</c:v>
                </c:pt>
                <c:pt idx="35">
                  <c:v>0.39679500164478232</c:v>
                </c:pt>
                <c:pt idx="36">
                  <c:v>0.39680891341904478</c:v>
                </c:pt>
                <c:pt idx="37">
                  <c:v>0.3941975314351433</c:v>
                </c:pt>
                <c:pt idx="38">
                  <c:v>0.39558980724123466</c:v>
                </c:pt>
                <c:pt idx="39">
                  <c:v>0.395589807230385</c:v>
                </c:pt>
                <c:pt idx="40">
                  <c:v>0.39558124076290108</c:v>
                </c:pt>
                <c:pt idx="41">
                  <c:v>0.39554359902907882</c:v>
                </c:pt>
                <c:pt idx="42">
                  <c:v>0.39556605278964957</c:v>
                </c:pt>
                <c:pt idx="43">
                  <c:v>0.39686362990324553</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1.000753772178506</c:v>
                </c:pt>
                <c:pt idx="7">
                  <c:v>1.0024074824026084</c:v>
                </c:pt>
                <c:pt idx="8">
                  <c:v>1.0071766822665582</c:v>
                </c:pt>
                <c:pt idx="9">
                  <c:v>1.0154209580822413</c:v>
                </c:pt>
                <c:pt idx="10">
                  <c:v>1.0169711855663599</c:v>
                </c:pt>
                <c:pt idx="11">
                  <c:v>1.0164829784965563</c:v>
                </c:pt>
                <c:pt idx="12">
                  <c:v>1.0219212503417059</c:v>
                </c:pt>
                <c:pt idx="13">
                  <c:v>1.0198787678956096</c:v>
                </c:pt>
                <c:pt idx="14">
                  <c:v>1.0226330850033847</c:v>
                </c:pt>
                <c:pt idx="15">
                  <c:v>1.0239734930344473</c:v>
                </c:pt>
                <c:pt idx="16">
                  <c:v>1.024531369010413</c:v>
                </c:pt>
                <c:pt idx="17">
                  <c:v>1.0279374379826813</c:v>
                </c:pt>
                <c:pt idx="18">
                  <c:v>1.0284031608397319</c:v>
                </c:pt>
                <c:pt idx="19">
                  <c:v>1.0290743348490738</c:v>
                </c:pt>
                <c:pt idx="20">
                  <c:v>1.0434088297244899</c:v>
                </c:pt>
                <c:pt idx="21">
                  <c:v>1.0511854561777012</c:v>
                </c:pt>
                <c:pt idx="22">
                  <c:v>1.0612950238179184</c:v>
                </c:pt>
                <c:pt idx="23">
                  <c:v>1.0759089783161238</c:v>
                </c:pt>
                <c:pt idx="24">
                  <c:v>1.0990843755572677</c:v>
                </c:pt>
                <c:pt idx="25">
                  <c:v>1.1302535886745462</c:v>
                </c:pt>
                <c:pt idx="26">
                  <c:v>1.1659045792981164</c:v>
                </c:pt>
                <c:pt idx="27">
                  <c:v>1.2006796548013059</c:v>
                </c:pt>
                <c:pt idx="28">
                  <c:v>1.2335136969361369</c:v>
                </c:pt>
                <c:pt idx="29">
                  <c:v>1.2608332887800202</c:v>
                </c:pt>
                <c:pt idx="30">
                  <c:v>1.2823290365370987</c:v>
                </c:pt>
                <c:pt idx="31">
                  <c:v>1.3088057516984937</c:v>
                </c:pt>
                <c:pt idx="32">
                  <c:v>1.3323957907666575</c:v>
                </c:pt>
                <c:pt idx="33">
                  <c:v>1.3630812454481849</c:v>
                </c:pt>
                <c:pt idx="34">
                  <c:v>1.4034088925609109</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1.0007155073743423</c:v>
                </c:pt>
                <c:pt idx="6">
                  <c:v>1.0033979745739756</c:v>
                </c:pt>
                <c:pt idx="7">
                  <c:v>1.0105785912318768</c:v>
                </c:pt>
                <c:pt idx="8">
                  <c:v>1.0234641080606126</c:v>
                </c:pt>
                <c:pt idx="9">
                  <c:v>1.0404104886479379</c:v>
                </c:pt>
                <c:pt idx="10">
                  <c:v>1.06290420002379</c:v>
                </c:pt>
                <c:pt idx="11">
                  <c:v>1.0821907259598695</c:v>
                </c:pt>
                <c:pt idx="12">
                  <c:v>1.1004921109617121</c:v>
                </c:pt>
                <c:pt idx="13">
                  <c:v>1.1153212103479071</c:v>
                </c:pt>
                <c:pt idx="14">
                  <c:v>1.1310346121038635</c:v>
                </c:pt>
                <c:pt idx="15">
                  <c:v>1.1313697501945545</c:v>
                </c:pt>
                <c:pt idx="16">
                  <c:v>1.13276644616661</c:v>
                </c:pt>
                <c:pt idx="17">
                  <c:v>1.1344238333710837</c:v>
                </c:pt>
                <c:pt idx="18">
                  <c:v>1.1354118588767419</c:v>
                </c:pt>
                <c:pt idx="19">
                  <c:v>1.1385768954245101</c:v>
                </c:pt>
                <c:pt idx="20">
                  <c:v>1.1413196420505227</c:v>
                </c:pt>
                <c:pt idx="21">
                  <c:v>1.1445932833493253</c:v>
                </c:pt>
                <c:pt idx="22">
                  <c:v>1.1469199977494393</c:v>
                </c:pt>
                <c:pt idx="23">
                  <c:v>1.1506384018083891</c:v>
                </c:pt>
                <c:pt idx="24">
                  <c:v>1.1555952789665445</c:v>
                </c:pt>
                <c:pt idx="25">
                  <c:v>1.1717685487215777</c:v>
                </c:pt>
                <c:pt idx="26">
                  <c:v>1.1928771005906846</c:v>
                </c:pt>
                <c:pt idx="27">
                  <c:v>1.2097733260558505</c:v>
                </c:pt>
                <c:pt idx="28">
                  <c:v>1.2272258909754548</c:v>
                </c:pt>
                <c:pt idx="29">
                  <c:v>1.2592609895775708</c:v>
                </c:pt>
                <c:pt idx="30">
                  <c:v>1.2775830188246462</c:v>
                </c:pt>
                <c:pt idx="31">
                  <c:v>1.2957407671503596</c:v>
                </c:pt>
                <c:pt idx="32">
                  <c:v>1.3105450113043224</c:v>
                </c:pt>
                <c:pt idx="33">
                  <c:v>1.3215491571040137</c:v>
                </c:pt>
                <c:pt idx="34">
                  <c:v>1.3324351194222623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1.0021536580162651</c:v>
                </c:pt>
                <c:pt idx="7">
                  <c:v>1.0065777855648941</c:v>
                </c:pt>
                <c:pt idx="8">
                  <c:v>1.0162361663458734</c:v>
                </c:pt>
                <c:pt idx="9">
                  <c:v>1.0273471399422589</c:v>
                </c:pt>
                <c:pt idx="10">
                  <c:v>1.0482016944380086</c:v>
                </c:pt>
                <c:pt idx="11">
                  <c:v>1.0669908064424314</c:v>
                </c:pt>
                <c:pt idx="12">
                  <c:v>1.0839455303475853</c:v>
                </c:pt>
                <c:pt idx="13">
                  <c:v>1.0957184063036653</c:v>
                </c:pt>
                <c:pt idx="14">
                  <c:v>1.1079119709503185</c:v>
                </c:pt>
                <c:pt idx="15">
                  <c:v>1.1097577914689474</c:v>
                </c:pt>
                <c:pt idx="16">
                  <c:v>1.113334959068077</c:v>
                </c:pt>
                <c:pt idx="17">
                  <c:v>1.1163246175533965</c:v>
                </c:pt>
                <c:pt idx="18">
                  <c:v>1.1188703491979419</c:v>
                </c:pt>
                <c:pt idx="19">
                  <c:v>1.1212201117676666</c:v>
                </c:pt>
                <c:pt idx="20">
                  <c:v>1.1248478423453034</c:v>
                </c:pt>
                <c:pt idx="21">
                  <c:v>1.1255441664104158</c:v>
                </c:pt>
                <c:pt idx="22">
                  <c:v>1.1263235306851755</c:v>
                </c:pt>
                <c:pt idx="23">
                  <c:v>1.1272980862726762</c:v>
                </c:pt>
                <c:pt idx="24">
                  <c:v>1.128551852577069</c:v>
                </c:pt>
                <c:pt idx="25">
                  <c:v>1.1334167562097122</c:v>
                </c:pt>
                <c:pt idx="26">
                  <c:v>1.1425879906786598</c:v>
                </c:pt>
                <c:pt idx="27">
                  <c:v>1.1532468287232343</c:v>
                </c:pt>
                <c:pt idx="28">
                  <c:v>1.1693294974972179</c:v>
                </c:pt>
                <c:pt idx="29">
                  <c:v>1.19333209269545</c:v>
                </c:pt>
                <c:pt idx="30">
                  <c:v>1.2067342636980773</c:v>
                </c:pt>
                <c:pt idx="31">
                  <c:v>1.21675105795529</c:v>
                </c:pt>
                <c:pt idx="32">
                  <c:v>1.2235431437149189</c:v>
                </c:pt>
                <c:pt idx="33">
                  <c:v>1.2291303397855464</c:v>
                </c:pt>
                <c:pt idx="34">
                  <c:v>1.2391479286957128</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6.5937589910582313</c:v>
                </c:pt>
                <c:pt idx="1">
                  <c:v>6.610100853808035</c:v>
                </c:pt>
                <c:pt idx="2">
                  <c:v>6.7005254493390005</c:v>
                </c:pt>
                <c:pt idx="3">
                  <c:v>6.7836459413167711</c:v>
                </c:pt>
                <c:pt idx="4">
                  <c:v>6.8935028575399588</c:v>
                </c:pt>
                <c:pt idx="5">
                  <c:v>7.0085428042454856</c:v>
                </c:pt>
                <c:pt idx="6">
                  <c:v>7.1518705692126217</c:v>
                </c:pt>
                <c:pt idx="7">
                  <c:v>7.285737346405269</c:v>
                </c:pt>
                <c:pt idx="8">
                  <c:v>7.3498347364013634</c:v>
                </c:pt>
                <c:pt idx="9">
                  <c:v>7.4265021351464533</c:v>
                </c:pt>
                <c:pt idx="10">
                  <c:v>7.4306901675713188</c:v>
                </c:pt>
                <c:pt idx="11">
                  <c:v>7.4348781999961817</c:v>
                </c:pt>
                <c:pt idx="12">
                  <c:v>7.4390662324210455</c:v>
                </c:pt>
                <c:pt idx="13">
                  <c:v>7.4432542648459084</c:v>
                </c:pt>
                <c:pt idx="14">
                  <c:v>7.4474422972707748</c:v>
                </c:pt>
                <c:pt idx="15">
                  <c:v>7.4516303296956377</c:v>
                </c:pt>
                <c:pt idx="16">
                  <c:v>7.4551478614568492</c:v>
                </c:pt>
                <c:pt idx="17">
                  <c:v>7.4551644145974123</c:v>
                </c:pt>
                <c:pt idx="18">
                  <c:v>7.4551809677379772</c:v>
                </c:pt>
                <c:pt idx="19">
                  <c:v>7.4551975208785422</c:v>
                </c:pt>
                <c:pt idx="20">
                  <c:v>7.4552140740191053</c:v>
                </c:pt>
                <c:pt idx="21">
                  <c:v>7.4552306271596702</c:v>
                </c:pt>
                <c:pt idx="22">
                  <c:v>7.455247180300236</c:v>
                </c:pt>
                <c:pt idx="23">
                  <c:v>7.4552637334407992</c:v>
                </c:pt>
                <c:pt idx="24">
                  <c:v>7.4552802865813641</c:v>
                </c:pt>
                <c:pt idx="25">
                  <c:v>7.455296839721929</c:v>
                </c:pt>
                <c:pt idx="26">
                  <c:v>7.4553133928624931</c:v>
                </c:pt>
                <c:pt idx="27">
                  <c:v>7.4553299460030589</c:v>
                </c:pt>
                <c:pt idx="28">
                  <c:v>7.455346499143622</c:v>
                </c:pt>
                <c:pt idx="29">
                  <c:v>7.4553630522841869</c:v>
                </c:pt>
                <c:pt idx="30">
                  <c:v>7.455379605424751</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6.7450424840493035</c:v>
                </c:pt>
                <c:pt idx="2">
                  <c:v>6.9690689215323394</c:v>
                </c:pt>
                <c:pt idx="3">
                  <c:v>7.1840928879382586</c:v>
                </c:pt>
                <c:pt idx="4">
                  <c:v>7.4264535186122629</c:v>
                </c:pt>
                <c:pt idx="5">
                  <c:v>7.6740426808692392</c:v>
                </c:pt>
                <c:pt idx="6">
                  <c:v>7.9528406682628203</c:v>
                </c:pt>
                <c:pt idx="7">
                  <c:v>8.2216592425265489</c:v>
                </c:pt>
                <c:pt idx="8">
                  <c:v>8.4109962645064513</c:v>
                </c:pt>
                <c:pt idx="9">
                  <c:v>8.6131061487827569</c:v>
                </c:pt>
                <c:pt idx="10">
                  <c:v>8.7287315275043209</c:v>
                </c:pt>
                <c:pt idx="11">
                  <c:v>8.7336511527128469</c:v>
                </c:pt>
                <c:pt idx="12">
                  <c:v>8.738570777921371</c:v>
                </c:pt>
                <c:pt idx="13">
                  <c:v>8.7434904031298952</c:v>
                </c:pt>
                <c:pt idx="14">
                  <c:v>8.7484100283384194</c:v>
                </c:pt>
                <c:pt idx="15">
                  <c:v>8.7533296535469436</c:v>
                </c:pt>
                <c:pt idx="16">
                  <c:v>8.757461650668434</c:v>
                </c:pt>
                <c:pt idx="17">
                  <c:v>8.7574810954194149</c:v>
                </c:pt>
                <c:pt idx="18">
                  <c:v>8.7575005401703958</c:v>
                </c:pt>
                <c:pt idx="19">
                  <c:v>8.7575199849213785</c:v>
                </c:pt>
                <c:pt idx="20">
                  <c:v>8.7575394296723594</c:v>
                </c:pt>
                <c:pt idx="21">
                  <c:v>8.7575588744233404</c:v>
                </c:pt>
                <c:pt idx="22">
                  <c:v>8.7575783191743213</c:v>
                </c:pt>
                <c:pt idx="23">
                  <c:v>8.757597763925304</c:v>
                </c:pt>
                <c:pt idx="24">
                  <c:v>8.7576172086762831</c:v>
                </c:pt>
                <c:pt idx="25">
                  <c:v>8.7576366534272641</c:v>
                </c:pt>
                <c:pt idx="26">
                  <c:v>8.757656098178245</c:v>
                </c:pt>
                <c:pt idx="27">
                  <c:v>8.7576755429292259</c:v>
                </c:pt>
                <c:pt idx="28">
                  <c:v>8.7576949876802068</c:v>
                </c:pt>
                <c:pt idx="29">
                  <c:v>8.7577144324311877</c:v>
                </c:pt>
                <c:pt idx="30">
                  <c:v>8.7577338771821687</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ISG</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6.7496952407848143</c:v>
                </c:pt>
                <c:pt idx="2">
                  <c:v>6.978762914555956</c:v>
                </c:pt>
                <c:pt idx="3">
                  <c:v>7.1987644467737528</c:v>
                </c:pt>
                <c:pt idx="4">
                  <c:v>7.4461235189702206</c:v>
                </c:pt>
                <c:pt idx="5">
                  <c:v>7.6987124926565631</c:v>
                </c:pt>
                <c:pt idx="6">
                  <c:v>7.9826187386488376</c:v>
                </c:pt>
                <c:pt idx="7">
                  <c:v>8.2565266231786616</c:v>
                </c:pt>
                <c:pt idx="8">
                  <c:v>8.4505907397396012</c:v>
                </c:pt>
                <c:pt idx="9">
                  <c:v>8.657434535593751</c:v>
                </c:pt>
                <c:pt idx="10">
                  <c:v>8.7772696090206512</c:v>
                </c:pt>
                <c:pt idx="11">
                  <c:v>8.782216590915386</c:v>
                </c:pt>
                <c:pt idx="12">
                  <c:v>8.7871635728101189</c:v>
                </c:pt>
                <c:pt idx="13">
                  <c:v>8.7921105547048519</c:v>
                </c:pt>
                <c:pt idx="14">
                  <c:v>8.7970575365995849</c:v>
                </c:pt>
                <c:pt idx="15">
                  <c:v>8.8020045184943179</c:v>
                </c:pt>
                <c:pt idx="16">
                  <c:v>8.8061594925182902</c:v>
                </c:pt>
                <c:pt idx="17">
                  <c:v>8.8061790453961972</c:v>
                </c:pt>
                <c:pt idx="18">
                  <c:v>8.8061985982741025</c:v>
                </c:pt>
                <c:pt idx="19">
                  <c:v>8.8062181511520112</c:v>
                </c:pt>
                <c:pt idx="20">
                  <c:v>8.8062377040299182</c:v>
                </c:pt>
                <c:pt idx="21">
                  <c:v>8.8062572569078252</c:v>
                </c:pt>
                <c:pt idx="22">
                  <c:v>8.8062768097857322</c:v>
                </c:pt>
                <c:pt idx="23">
                  <c:v>8.8062963626636392</c:v>
                </c:pt>
                <c:pt idx="24">
                  <c:v>8.8063159155415462</c:v>
                </c:pt>
                <c:pt idx="25">
                  <c:v>8.8063354684194532</c:v>
                </c:pt>
                <c:pt idx="26">
                  <c:v>8.8063550212973603</c:v>
                </c:pt>
                <c:pt idx="27">
                  <c:v>8.8063745741752673</c:v>
                </c:pt>
                <c:pt idx="28">
                  <c:v>8.8063941270531743</c:v>
                </c:pt>
                <c:pt idx="29">
                  <c:v>8.8064136799310795</c:v>
                </c:pt>
                <c:pt idx="30">
                  <c:v>8.8064332328089865</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PHEV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9.0537193688056607</c:v>
                </c:pt>
                <c:pt idx="12">
                  <c:v>9.2437016969730283</c:v>
                </c:pt>
                <c:pt idx="13">
                  <c:v>9.4628516236880476</c:v>
                </c:pt>
                <c:pt idx="14">
                  <c:v>9.730230286192965</c:v>
                </c:pt>
                <c:pt idx="15">
                  <c:v>10.085696444168304</c:v>
                </c:pt>
                <c:pt idx="16">
                  <c:v>10.215392328737179</c:v>
                </c:pt>
                <c:pt idx="17">
                  <c:v>10.337966762048136</c:v>
                </c:pt>
                <c:pt idx="18">
                  <c:v>10.459191289305608</c:v>
                </c:pt>
                <c:pt idx="19">
                  <c:v>10.606872772398599</c:v>
                </c:pt>
                <c:pt idx="20">
                  <c:v>10.766750377574549</c:v>
                </c:pt>
                <c:pt idx="21">
                  <c:v>10.986735162529801</c:v>
                </c:pt>
                <c:pt idx="22">
                  <c:v>11.240116338145574</c:v>
                </c:pt>
                <c:pt idx="23">
                  <c:v>11.499987550828783</c:v>
                </c:pt>
                <c:pt idx="24">
                  <c:v>11.727946560664167</c:v>
                </c:pt>
                <c:pt idx="25">
                  <c:v>11.959523782890669</c:v>
                </c:pt>
                <c:pt idx="26">
                  <c:v>12.137180064803058</c:v>
                </c:pt>
                <c:pt idx="27">
                  <c:v>12.280420754231407</c:v>
                </c:pt>
                <c:pt idx="28">
                  <c:v>12.414638629435174</c:v>
                </c:pt>
                <c:pt idx="29">
                  <c:v>12.505611351288948</c:v>
                </c:pt>
                <c:pt idx="30">
                  <c:v>12.600161584483534</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BEV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20.01574261553893</c:v>
                </c:pt>
                <c:pt idx="24">
                  <c:v>20.095885356726619</c:v>
                </c:pt>
                <c:pt idx="25">
                  <c:v>20.176028453602722</c:v>
                </c:pt>
                <c:pt idx="26">
                  <c:v>20.256171906167243</c:v>
                </c:pt>
                <c:pt idx="27">
                  <c:v>20.336315714420177</c:v>
                </c:pt>
                <c:pt idx="28">
                  <c:v>20.416459878361525</c:v>
                </c:pt>
                <c:pt idx="29">
                  <c:v>20.496604397991288</c:v>
                </c:pt>
                <c:pt idx="30">
                  <c:v>20.576749273309449</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FCHEV</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10.421552184850116</c:v>
                </c:pt>
                <c:pt idx="20">
                  <c:v>10.524839640070761</c:v>
                </c:pt>
                <c:pt idx="21">
                  <c:v>10.628127553856038</c:v>
                </c:pt>
                <c:pt idx="22">
                  <c:v>10.731415926205942</c:v>
                </c:pt>
                <c:pt idx="23">
                  <c:v>10.834704757120475</c:v>
                </c:pt>
                <c:pt idx="24">
                  <c:v>10.937994046599632</c:v>
                </c:pt>
                <c:pt idx="25">
                  <c:v>11.041283794643421</c:v>
                </c:pt>
                <c:pt idx="26">
                  <c:v>11.144574001251836</c:v>
                </c:pt>
                <c:pt idx="27">
                  <c:v>11.24786466642488</c:v>
                </c:pt>
                <c:pt idx="28">
                  <c:v>11.351155790162549</c:v>
                </c:pt>
                <c:pt idx="29">
                  <c:v>11.454447372464848</c:v>
                </c:pt>
                <c:pt idx="30">
                  <c:v>11.557739413331781</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FuelAvail!$J$5</c:f>
              <c:strCache>
                <c:ptCount val="1"/>
                <c:pt idx="0">
                  <c:v>Electricity</c:v>
                </c:pt>
              </c:strCache>
            </c:strRef>
          </c:tx>
          <c:spPr>
            <a:ln w="19050" cap="rnd">
              <a:solidFill>
                <a:schemeClr val="accent1"/>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FuelAvail!$J$6:$J$49</c:f>
              <c:numCache>
                <c:formatCode>0.00%</c:formatCode>
                <c:ptCount val="44"/>
                <c:pt idx="0">
                  <c:v>0</c:v>
                </c:pt>
                <c:pt idx="1">
                  <c:v>0</c:v>
                </c:pt>
                <c:pt idx="2">
                  <c:v>0</c:v>
                </c:pt>
                <c:pt idx="3">
                  <c:v>0</c:v>
                </c:pt>
                <c:pt idx="4">
                  <c:v>1.5999998720000074E-7</c:v>
                </c:pt>
                <c:pt idx="5">
                  <c:v>4.0959161150653103E-5</c:v>
                </c:pt>
                <c:pt idx="6">
                  <c:v>2.0733850240113979E-4</c:v>
                </c:pt>
                <c:pt idx="7">
                  <c:v>6.5514529854001074E-4</c:v>
                </c:pt>
                <c:pt idx="8">
                  <c:v>1.0492091947258413E-3</c:v>
                </c:pt>
                <c:pt idx="9">
                  <c:v>4.5593345334435922E-3</c:v>
                </c:pt>
                <c:pt idx="10">
                  <c:v>1.0430976069530742E-2</c:v>
                </c:pt>
                <c:pt idx="11">
                  <c:v>2.063547350575257E-2</c:v>
                </c:pt>
                <c:pt idx="12">
                  <c:v>2.5275098398206075E-2</c:v>
                </c:pt>
                <c:pt idx="13">
                  <c:v>4.3786973799347463E-2</c:v>
                </c:pt>
                <c:pt idx="14">
                  <c:v>6.0586937186524262E-2</c:v>
                </c:pt>
                <c:pt idx="15">
                  <c:v>9.3663799913688631E-2</c:v>
                </c:pt>
                <c:pt idx="16">
                  <c:v>0.12155326065006883</c:v>
                </c:pt>
                <c:pt idx="17">
                  <c:v>0.15445353795437128</c:v>
                </c:pt>
                <c:pt idx="18">
                  <c:v>0.21345079778654535</c:v>
                </c:pt>
                <c:pt idx="19">
                  <c:v>0.25908232520512747</c:v>
                </c:pt>
                <c:pt idx="20">
                  <c:v>0.33608423666452697</c:v>
                </c:pt>
                <c:pt idx="21">
                  <c:v>0.39217687976031146</c:v>
                </c:pt>
                <c:pt idx="22">
                  <c:v>0.45102114846019115</c:v>
                </c:pt>
                <c:pt idx="23">
                  <c:v>0.54193718792371426</c:v>
                </c:pt>
                <c:pt idx="24">
                  <c:v>0.60242359916581223</c:v>
                </c:pt>
                <c:pt idx="25">
                  <c:v>0.68958915732970893</c:v>
                </c:pt>
                <c:pt idx="26">
                  <c:v>0.74346468922347331</c:v>
                </c:pt>
                <c:pt idx="27">
                  <c:v>0.79268571663322196</c:v>
                </c:pt>
                <c:pt idx="28">
                  <c:v>0.85612030212542312</c:v>
                </c:pt>
                <c:pt idx="29">
                  <c:v>0.89088299804314675</c:v>
                </c:pt>
                <c:pt idx="30">
                  <c:v>0.93173475910294257</c:v>
                </c:pt>
                <c:pt idx="31">
                  <c:v>0.95197135907101305</c:v>
                </c:pt>
                <c:pt idx="32">
                  <c:v>0.96732091996204717</c:v>
                </c:pt>
                <c:pt idx="33">
                  <c:v>0.9828519181996197</c:v>
                </c:pt>
                <c:pt idx="34">
                  <c:v>0.98936620944626497</c:v>
                </c:pt>
                <c:pt idx="35">
                  <c:v>0.9951942788280157</c:v>
                </c:pt>
                <c:pt idx="36">
                  <c:v>0.99732126057789017</c:v>
                </c:pt>
                <c:pt idx="37">
                  <c:v>0.99857502356180761</c:v>
                </c:pt>
                <c:pt idx="38">
                  <c:v>0.99949620008360773</c:v>
                </c:pt>
                <c:pt idx="39">
                  <c:v>0.99976409939337041</c:v>
                </c:pt>
                <c:pt idx="40">
                  <c:v>0.99993194033152688</c:v>
                </c:pt>
                <c:pt idx="41">
                  <c:v>0.99997239738380339</c:v>
                </c:pt>
                <c:pt idx="42">
                  <c:v>0.99998948057868242</c:v>
                </c:pt>
                <c:pt idx="43">
                  <c:v>0.99999781107499508</c:v>
                </c:pt>
              </c:numCache>
            </c:numRef>
          </c:yVal>
          <c:smooth val="1"/>
          <c:extLst>
            <c:ext xmlns:c16="http://schemas.microsoft.com/office/drawing/2014/chart" uri="{C3380CC4-5D6E-409C-BE32-E72D297353CC}">
              <c16:uniqueId val="{00000000-FCFC-4E7F-A6E9-7DE0EB811A40}"/>
            </c:ext>
          </c:extLst>
        </c:ser>
        <c:ser>
          <c:idx val="1"/>
          <c:order val="1"/>
          <c:tx>
            <c:strRef>
              <c:f>FuelAvail!$K$5</c:f>
              <c:strCache>
                <c:ptCount val="1"/>
                <c:pt idx="0">
                  <c:v>Hydrogen</c:v>
                </c:pt>
              </c:strCache>
            </c:strRef>
          </c:tx>
          <c:spPr>
            <a:ln w="19050" cap="rnd">
              <a:solidFill>
                <a:schemeClr val="accent2"/>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FuelAvail!$K$6:$K$49</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1.5999998720000074E-7</c:v>
                </c:pt>
                <c:pt idx="19">
                  <c:v>2.559996723202798E-6</c:v>
                </c:pt>
                <c:pt idx="20">
                  <c:v>2.559996723202798E-6</c:v>
                </c:pt>
                <c:pt idx="21">
                  <c:v>4.0959161150653103E-5</c:v>
                </c:pt>
                <c:pt idx="22">
                  <c:v>9.999500016666259E-5</c:v>
                </c:pt>
                <c:pt idx="23">
                  <c:v>3.8408621999527803E-4</c:v>
                </c:pt>
                <c:pt idx="24">
                  <c:v>6.5514529854001074E-4</c:v>
                </c:pt>
                <c:pt idx="25">
                  <c:v>1.5987206823936864E-3</c:v>
                </c:pt>
                <c:pt idx="26">
                  <c:v>2.3398183475694901E-3</c:v>
                </c:pt>
                <c:pt idx="27">
                  <c:v>4.5593345334435922E-3</c:v>
                </c:pt>
                <c:pt idx="28">
                  <c:v>6.1277085437277685E-3</c:v>
                </c:pt>
                <c:pt idx="29">
                  <c:v>1.0430976069530742E-2</c:v>
                </c:pt>
                <c:pt idx="30">
                  <c:v>1.665589092984994E-2</c:v>
                </c:pt>
                <c:pt idx="31">
                  <c:v>2.063547350575257E-2</c:v>
                </c:pt>
                <c:pt idx="32">
                  <c:v>3.0637810156220375E-2</c:v>
                </c:pt>
                <c:pt idx="33">
                  <c:v>4.3786973799347463E-2</c:v>
                </c:pt>
                <c:pt idx="34">
                  <c:v>6.0586937186524262E-2</c:v>
                </c:pt>
                <c:pt idx="35">
                  <c:v>8.1515784905052846E-2</c:v>
                </c:pt>
                <c:pt idx="36">
                  <c:v>0.10699666186542625</c:v>
                </c:pt>
                <c:pt idx="37">
                  <c:v>0.12155326065006883</c:v>
                </c:pt>
                <c:pt idx="38">
                  <c:v>0.15445353795437128</c:v>
                </c:pt>
                <c:pt idx="39">
                  <c:v>0.19250124041164726</c:v>
                </c:pt>
                <c:pt idx="40">
                  <c:v>0.23565694062183914</c:v>
                </c:pt>
                <c:pt idx="41">
                  <c:v>0.25908232520512747</c:v>
                </c:pt>
                <c:pt idx="42">
                  <c:v>0.30936965849496828</c:v>
                </c:pt>
                <c:pt idx="43">
                  <c:v>0.33608423666452697</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image" Target="../media/image1.png"/><Relationship Id="rId4" Type="http://schemas.openxmlformats.org/officeDocument/2006/relationships/chart" Target="../charts/chart19.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4" Type="http://schemas.openxmlformats.org/officeDocument/2006/relationships/chart" Target="../charts/chart25.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142874</xdr:colOff>
      <xdr:row>26</xdr:row>
      <xdr:rowOff>4233</xdr:rowOff>
    </xdr:from>
    <xdr:to>
      <xdr:col>25</xdr:col>
      <xdr:colOff>455083</xdr:colOff>
      <xdr:row>43</xdr:row>
      <xdr:rowOff>42333</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291352</xdr:colOff>
      <xdr:row>26</xdr:row>
      <xdr:rowOff>33617</xdr:rowOff>
    </xdr:from>
    <xdr:to>
      <xdr:col>9</xdr:col>
      <xdr:colOff>459441</xdr:colOff>
      <xdr:row>39</xdr:row>
      <xdr:rowOff>153072</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443977</xdr:colOff>
      <xdr:row>8</xdr:row>
      <xdr:rowOff>64434</xdr:rowOff>
    </xdr:from>
    <xdr:to>
      <xdr:col>21</xdr:col>
      <xdr:colOff>768948</xdr:colOff>
      <xdr:row>25</xdr:row>
      <xdr:rowOff>140634</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11</xdr:row>
      <xdr:rowOff>53340</xdr:rowOff>
    </xdr:from>
    <xdr:to>
      <xdr:col>9</xdr:col>
      <xdr:colOff>247650</xdr:colOff>
      <xdr:row>27</xdr:row>
      <xdr:rowOff>144780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458993</xdr:colOff>
      <xdr:row>25</xdr:row>
      <xdr:rowOff>154866</xdr:rowOff>
    </xdr:from>
    <xdr:to>
      <xdr:col>21</xdr:col>
      <xdr:colOff>783964</xdr:colOff>
      <xdr:row>43</xdr:row>
      <xdr:rowOff>74184</xdr:rowOff>
    </xdr:to>
    <xdr:graphicFrame macro="">
      <xdr:nvGraphicFramePr>
        <xdr:cNvPr id="4" name="Chart 3">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28</xdr:row>
      <xdr:rowOff>160020</xdr:rowOff>
    </xdr:from>
    <xdr:to>
      <xdr:col>9</xdr:col>
      <xdr:colOff>121920</xdr:colOff>
      <xdr:row>44</xdr:row>
      <xdr:rowOff>99060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2" dataDxfId="11" headerRowCellStyle="Comma">
  <autoFilter ref="P7:Z66" xr:uid="{00000000-0009-0000-0100-000001000000}"/>
  <tableColumns count="11">
    <tableColumn id="1" xr3:uid="{00000000-0010-0000-0000-000001000000}" name="Year" dataDxfId="10" dataCellStyle="Comma"/>
    <tableColumn id="2" xr3:uid="{00000000-0010-0000-0000-000002000000}" name="Electricity" dataDxfId="9"/>
    <tableColumn id="3" xr3:uid="{00000000-0010-0000-0000-000003000000}" name="Propane" dataDxfId="8"/>
    <tableColumn id="4" xr3:uid="{00000000-0010-0000-0000-000004000000}" name="Methanol (M85)" dataDxfId="7"/>
    <tableColumn id="5" xr3:uid="{00000000-0010-0000-0000-000005000000}" name="LNG" dataDxfId="6"/>
    <tableColumn id="6" xr3:uid="{00000000-0010-0000-0000-000006000000}" name="Hydrogen" dataDxfId="5">
      <calculatedColumnFormula>1.1*U7</calculatedColumnFormula>
    </tableColumn>
    <tableColumn id="7" xr3:uid="{00000000-0010-0000-0000-000007000000}" name="Biodiesel**" dataDxfId="4"/>
    <tableColumn id="8" xr3:uid="{00000000-0010-0000-0000-000008000000}" name="CNG" dataDxfId="3"/>
    <tableColumn id="9" xr3:uid="{00000000-0010-0000-0000-000009000000}" name="E85" dataDxfId="2"/>
    <tableColumn id="10" xr3:uid="{00000000-0010-0000-0000-00000A000000}" name="Gasoline" dataDxfId="1" dataCellStyle="Comma"/>
    <tableColumn id="11" xr3:uid="{3BCCA5A2-A156-413D-888C-AD65F0F4A02F}" name="Column1" dataDxfId="0">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40"/>
    <col min="2" max="2" width="10.1640625" style="1340" bestFit="1" customWidth="1"/>
    <col min="3" max="3" width="15.33203125" style="1340" bestFit="1" customWidth="1"/>
    <col min="4" max="4" width="72.6640625" style="1342" customWidth="1"/>
    <col min="5" max="16384" width="9.1640625" style="1340"/>
  </cols>
  <sheetData>
    <row r="2" spans="2:4" x14ac:dyDescent="0.15">
      <c r="B2" s="1338" t="s">
        <v>390</v>
      </c>
    </row>
    <row r="4" spans="2:4" ht="14" x14ac:dyDescent="0.15">
      <c r="B4" s="1338" t="s">
        <v>381</v>
      </c>
      <c r="C4" s="1338" t="s">
        <v>382</v>
      </c>
      <c r="D4" s="1339" t="s">
        <v>383</v>
      </c>
    </row>
    <row r="5" spans="2:4" ht="14" x14ac:dyDescent="0.15">
      <c r="B5" s="1341">
        <v>43763</v>
      </c>
      <c r="C5" s="1338" t="s">
        <v>384</v>
      </c>
      <c r="D5" s="1339" t="s">
        <v>411</v>
      </c>
    </row>
    <row r="6" spans="2:4" ht="14" x14ac:dyDescent="0.15">
      <c r="B6" s="1341">
        <v>43763</v>
      </c>
      <c r="C6" s="1338" t="s">
        <v>385</v>
      </c>
      <c r="D6" s="1339" t="s">
        <v>386</v>
      </c>
    </row>
    <row r="7" spans="2:4" ht="28" x14ac:dyDescent="0.15">
      <c r="B7" s="1341">
        <v>43763</v>
      </c>
      <c r="C7" s="1338" t="s">
        <v>387</v>
      </c>
      <c r="D7" s="1339" t="s">
        <v>388</v>
      </c>
    </row>
    <row r="8" spans="2:4" ht="28" x14ac:dyDescent="0.15">
      <c r="B8" s="1341">
        <v>43763</v>
      </c>
      <c r="C8" s="1338" t="s">
        <v>377</v>
      </c>
      <c r="D8" s="1339" t="s">
        <v>388</v>
      </c>
    </row>
    <row r="9" spans="2:4" ht="28" x14ac:dyDescent="0.15">
      <c r="B9" s="1341">
        <v>43763</v>
      </c>
      <c r="C9" s="1338" t="s">
        <v>389</v>
      </c>
      <c r="D9" s="1339" t="s">
        <v>388</v>
      </c>
    </row>
    <row r="10" spans="2:4" ht="42" x14ac:dyDescent="0.15">
      <c r="B10" s="1341">
        <v>43763</v>
      </c>
      <c r="C10" s="1338" t="s">
        <v>391</v>
      </c>
      <c r="D10" s="1339" t="s">
        <v>392</v>
      </c>
    </row>
    <row r="11" spans="2:4" ht="28" x14ac:dyDescent="0.15">
      <c r="B11" s="1341">
        <v>43763</v>
      </c>
      <c r="C11" s="1338" t="s">
        <v>387</v>
      </c>
      <c r="D11" s="1339" t="s">
        <v>393</v>
      </c>
    </row>
    <row r="12" spans="2:4" ht="28" x14ac:dyDescent="0.15">
      <c r="B12" s="1341">
        <v>43763</v>
      </c>
      <c r="C12" s="1338" t="s">
        <v>377</v>
      </c>
      <c r="D12" s="1339" t="s">
        <v>393</v>
      </c>
    </row>
    <row r="13" spans="2:4" ht="28" x14ac:dyDescent="0.15">
      <c r="B13" s="1341">
        <v>43763</v>
      </c>
      <c r="C13" s="1338" t="s">
        <v>389</v>
      </c>
      <c r="D13" s="1339" t="s">
        <v>393</v>
      </c>
    </row>
    <row r="14" spans="2:4" ht="42" x14ac:dyDescent="0.15">
      <c r="B14" s="1341">
        <v>43763</v>
      </c>
      <c r="C14" s="1338" t="s">
        <v>384</v>
      </c>
      <c r="D14" s="1339" t="s">
        <v>394</v>
      </c>
    </row>
    <row r="15" spans="2:4" ht="28" x14ac:dyDescent="0.15">
      <c r="B15" s="1341">
        <v>43768</v>
      </c>
      <c r="C15" s="1338" t="s">
        <v>402</v>
      </c>
      <c r="D15" s="1339" t="s">
        <v>405</v>
      </c>
    </row>
    <row r="16" spans="2:4" ht="14" x14ac:dyDescent="0.15">
      <c r="B16" s="1338" t="s">
        <v>404</v>
      </c>
      <c r="C16" s="1338" t="s">
        <v>406</v>
      </c>
      <c r="D16" s="1339" t="s">
        <v>407</v>
      </c>
    </row>
    <row r="17" spans="2:4" ht="14" x14ac:dyDescent="0.15">
      <c r="B17" s="1341">
        <v>43770</v>
      </c>
      <c r="C17" s="1338" t="s">
        <v>406</v>
      </c>
      <c r="D17" s="1339" t="s">
        <v>408</v>
      </c>
    </row>
    <row r="18" spans="2:4" ht="28" x14ac:dyDescent="0.15">
      <c r="B18" s="1519">
        <v>43770</v>
      </c>
      <c r="C18" s="1338" t="s">
        <v>409</v>
      </c>
      <c r="D18" s="1339" t="s">
        <v>410</v>
      </c>
    </row>
    <row r="19" spans="2:4" ht="14" x14ac:dyDescent="0.15">
      <c r="B19" s="1341">
        <v>43775</v>
      </c>
      <c r="C19" s="1338" t="s">
        <v>402</v>
      </c>
      <c r="D19" s="1339" t="s">
        <v>413</v>
      </c>
    </row>
    <row r="20" spans="2:4" ht="14" x14ac:dyDescent="0.15">
      <c r="B20" s="1341">
        <v>43775</v>
      </c>
      <c r="C20" s="1338" t="s">
        <v>409</v>
      </c>
      <c r="D20" s="1339" t="s">
        <v>414</v>
      </c>
    </row>
    <row r="21" spans="2:4" ht="28" x14ac:dyDescent="0.15">
      <c r="B21" s="1341">
        <v>43775</v>
      </c>
      <c r="C21" s="1338" t="s">
        <v>391</v>
      </c>
      <c r="D21" s="1339" t="s">
        <v>415</v>
      </c>
    </row>
    <row r="22" spans="2:4" ht="56" x14ac:dyDescent="0.15">
      <c r="B22" s="1341">
        <v>43775</v>
      </c>
      <c r="C22" s="1338" t="s">
        <v>409</v>
      </c>
      <c r="D22" s="1339" t="s">
        <v>416</v>
      </c>
    </row>
    <row r="23" spans="2:4" ht="14" x14ac:dyDescent="0.15">
      <c r="B23" s="1341">
        <v>43775</v>
      </c>
      <c r="C23" s="1338" t="s">
        <v>419</v>
      </c>
      <c r="D23" s="1339" t="s">
        <v>418</v>
      </c>
    </row>
    <row r="24" spans="2:4" ht="28" x14ac:dyDescent="0.15">
      <c r="B24" s="1341">
        <v>44019</v>
      </c>
      <c r="C24" s="1338" t="s">
        <v>406</v>
      </c>
      <c r="D24" s="1339" t="s">
        <v>449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23" t="s">
        <v>440</v>
      </c>
      <c r="B1" s="1523"/>
    </row>
    <row r="2" spans="1:3" x14ac:dyDescent="0.15">
      <c r="A2" s="1524" t="s">
        <v>373</v>
      </c>
      <c r="B2" s="1525"/>
    </row>
    <row r="3" spans="1:3" x14ac:dyDescent="0.15">
      <c r="A3" s="354"/>
      <c r="B3" s="355"/>
    </row>
    <row r="4" spans="1:3" ht="14" x14ac:dyDescent="0.15">
      <c r="A4" s="356" t="s">
        <v>130</v>
      </c>
      <c r="B4" s="357"/>
    </row>
    <row r="5" spans="1:3" ht="28" x14ac:dyDescent="0.15">
      <c r="A5" s="358">
        <v>1</v>
      </c>
      <c r="B5" s="1314" t="s">
        <v>442</v>
      </c>
      <c r="C5" s="376"/>
    </row>
    <row r="6" spans="1:3" ht="14" x14ac:dyDescent="0.15">
      <c r="A6" s="359">
        <v>2</v>
      </c>
      <c r="B6" s="1315" t="s">
        <v>443</v>
      </c>
    </row>
    <row r="7" spans="1:3" ht="14" x14ac:dyDescent="0.15">
      <c r="A7" s="359">
        <v>3</v>
      </c>
      <c r="B7" s="1316" t="s">
        <v>131</v>
      </c>
    </row>
    <row r="8" spans="1:3" ht="28" x14ac:dyDescent="0.15">
      <c r="A8" s="361"/>
      <c r="B8" s="1315" t="s">
        <v>132</v>
      </c>
    </row>
    <row r="9" spans="1:3" ht="28" x14ac:dyDescent="0.15">
      <c r="A9" s="363">
        <v>4</v>
      </c>
      <c r="B9" s="1317" t="s">
        <v>170</v>
      </c>
    </row>
    <row r="10" spans="1:3" ht="14" x14ac:dyDescent="0.15">
      <c r="A10" s="363">
        <v>5</v>
      </c>
      <c r="B10" s="1317" t="s">
        <v>134</v>
      </c>
    </row>
    <row r="11" spans="1:3" ht="28" x14ac:dyDescent="0.15">
      <c r="A11" s="363">
        <v>6</v>
      </c>
      <c r="B11" s="1317" t="s">
        <v>171</v>
      </c>
    </row>
    <row r="12" spans="1:3" ht="28" x14ac:dyDescent="0.15">
      <c r="A12" s="363">
        <v>7</v>
      </c>
      <c r="B12" s="1317" t="s">
        <v>148</v>
      </c>
    </row>
    <row r="13" spans="1:3" ht="28" x14ac:dyDescent="0.15">
      <c r="A13" s="360">
        <v>8</v>
      </c>
      <c r="B13" s="1318" t="s">
        <v>444</v>
      </c>
    </row>
    <row r="14" spans="1:3" ht="16.5" customHeight="1" x14ac:dyDescent="0.15">
      <c r="A14" s="360"/>
      <c r="B14" s="1318" t="s">
        <v>445</v>
      </c>
    </row>
    <row r="15" spans="1:3" ht="14" x14ac:dyDescent="0.15">
      <c r="A15" s="360"/>
      <c r="B15" s="1318" t="s">
        <v>447</v>
      </c>
    </row>
    <row r="16" spans="1:3" ht="14" x14ac:dyDescent="0.15">
      <c r="A16" s="360"/>
      <c r="B16" s="1318" t="s">
        <v>448</v>
      </c>
    </row>
    <row r="17" spans="1:3" x14ac:dyDescent="0.15">
      <c r="A17" s="360"/>
      <c r="B17" s="1318"/>
    </row>
    <row r="18" spans="1:3" ht="14" x14ac:dyDescent="0.15">
      <c r="A18" s="366"/>
      <c r="B18" s="1319" t="s">
        <v>446</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370</v>
      </c>
    </row>
    <row r="29" spans="1:3" x14ac:dyDescent="0.15">
      <c r="A29" s="372"/>
      <c r="B29" s="406"/>
    </row>
    <row r="30" spans="1:3" ht="14" x14ac:dyDescent="0.15">
      <c r="A30" s="372"/>
      <c r="B30" s="406" t="s">
        <v>149</v>
      </c>
    </row>
    <row r="31" spans="1:3" ht="14" x14ac:dyDescent="0.15">
      <c r="A31" s="372"/>
      <c r="B31" s="409" t="s">
        <v>371</v>
      </c>
    </row>
    <row r="32" spans="1:3" x14ac:dyDescent="0.15">
      <c r="A32" s="370"/>
      <c r="B32" s="373"/>
    </row>
    <row r="33" spans="1:2" ht="18.75" customHeight="1" x14ac:dyDescent="0.15">
      <c r="A33" s="368">
        <v>4</v>
      </c>
      <c r="B33" s="369" t="s">
        <v>142</v>
      </c>
    </row>
    <row r="34" spans="1:2" ht="14" x14ac:dyDescent="0.15">
      <c r="A34" s="372"/>
      <c r="B34" s="364" t="s">
        <v>441</v>
      </c>
    </row>
    <row r="35" spans="1:2" ht="14" x14ac:dyDescent="0.15">
      <c r="A35" s="372"/>
      <c r="B35" s="364" t="s">
        <v>372</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P38" sqref="P38"/>
    </sheetView>
  </sheetViews>
  <sheetFormatPr baseColWidth="10" defaultColWidth="9.1640625" defaultRowHeight="14" x14ac:dyDescent="0.2"/>
  <cols>
    <col min="1" max="1" width="3" style="917" customWidth="1"/>
    <col min="2" max="2" width="20.33203125" style="913" customWidth="1"/>
    <col min="3" max="3" width="15.33203125" style="913" customWidth="1"/>
    <col min="4" max="4" width="18.5" style="913" customWidth="1"/>
    <col min="5" max="5" width="14.83203125" style="913" customWidth="1"/>
    <col min="6" max="16384" width="9.1640625" style="913"/>
  </cols>
  <sheetData>
    <row r="1" spans="1:7" x14ac:dyDescent="0.2">
      <c r="A1" s="475"/>
      <c r="B1" s="476"/>
      <c r="C1" s="476"/>
      <c r="D1" s="476"/>
      <c r="E1" s="477"/>
    </row>
    <row r="2" spans="1:7" s="922" customFormat="1" ht="15" x14ac:dyDescent="0.2">
      <c r="A2" s="918">
        <v>1</v>
      </c>
      <c r="B2" s="919" t="s">
        <v>115</v>
      </c>
      <c r="C2" s="919"/>
      <c r="D2" s="920"/>
      <c r="E2" s="921"/>
    </row>
    <row r="3" spans="1:7" x14ac:dyDescent="0.2">
      <c r="A3" s="479"/>
      <c r="B3" s="1526" t="s">
        <v>452</v>
      </c>
      <c r="C3" s="1527"/>
      <c r="D3" s="1528"/>
      <c r="E3" s="480"/>
      <c r="F3" s="914"/>
    </row>
    <row r="4" spans="1:7" x14ac:dyDescent="0.2">
      <c r="A4" s="479"/>
      <c r="B4" s="474"/>
      <c r="C4" s="474"/>
      <c r="D4" s="474"/>
      <c r="E4" s="478"/>
    </row>
    <row r="5" spans="1:7" s="922" customFormat="1" ht="15" x14ac:dyDescent="0.2">
      <c r="A5" s="918">
        <v>2</v>
      </c>
      <c r="B5" s="919" t="s">
        <v>114</v>
      </c>
      <c r="C5" s="919"/>
      <c r="D5" s="920"/>
      <c r="E5" s="921"/>
    </row>
    <row r="6" spans="1:7" x14ac:dyDescent="0.2">
      <c r="A6" s="479"/>
      <c r="B6" s="481" t="s">
        <v>53</v>
      </c>
      <c r="C6" s="911">
        <v>7.4999999999999997E-2</v>
      </c>
      <c r="D6" s="474"/>
      <c r="E6" s="478"/>
    </row>
    <row r="7" spans="1:7" x14ac:dyDescent="0.2">
      <c r="A7" s="479"/>
      <c r="B7" s="481" t="s">
        <v>54</v>
      </c>
      <c r="C7" s="912" t="s">
        <v>111</v>
      </c>
      <c r="D7" s="474"/>
      <c r="E7" s="478"/>
    </row>
    <row r="8" spans="1:7" x14ac:dyDescent="0.2">
      <c r="A8" s="479"/>
      <c r="B8" s="482"/>
      <c r="C8" s="482"/>
      <c r="D8" s="482"/>
      <c r="E8" s="483"/>
    </row>
    <row r="9" spans="1:7" s="922" customFormat="1" ht="15" x14ac:dyDescent="0.2">
      <c r="A9" s="918">
        <v>3</v>
      </c>
      <c r="B9" s="923" t="s">
        <v>201</v>
      </c>
      <c r="C9" s="923"/>
      <c r="D9" s="920"/>
      <c r="E9" s="921"/>
    </row>
    <row r="10" spans="1:7" x14ac:dyDescent="0.2">
      <c r="A10" s="479"/>
      <c r="B10" s="474"/>
      <c r="C10" s="474"/>
      <c r="D10" s="474"/>
      <c r="E10" s="478"/>
    </row>
    <row r="11" spans="1:7" x14ac:dyDescent="0.2">
      <c r="A11" s="479"/>
      <c r="B11" s="474"/>
      <c r="C11" s="474"/>
      <c r="D11" s="474"/>
      <c r="E11" s="478"/>
    </row>
    <row r="12" spans="1:7" x14ac:dyDescent="0.2">
      <c r="A12" s="907"/>
      <c r="B12" s="474"/>
      <c r="C12" s="474"/>
      <c r="D12" s="474"/>
      <c r="E12" s="478"/>
    </row>
    <row r="13" spans="1:7" x14ac:dyDescent="0.2">
      <c r="A13" s="907"/>
      <c r="B13" s="905"/>
      <c r="C13" s="474"/>
      <c r="D13" s="484"/>
      <c r="E13" s="478"/>
    </row>
    <row r="14" spans="1:7" x14ac:dyDescent="0.2">
      <c r="A14" s="479"/>
      <c r="B14" s="905"/>
      <c r="C14" s="481" t="s">
        <v>245</v>
      </c>
      <c r="D14" s="909">
        <v>44033.658958333333</v>
      </c>
      <c r="E14" s="478"/>
    </row>
    <row r="15" spans="1:7" x14ac:dyDescent="0.2">
      <c r="A15" s="479"/>
      <c r="B15" s="905"/>
      <c r="C15" s="481" t="s">
        <v>246</v>
      </c>
      <c r="D15" s="909">
        <v>44033.65896990741</v>
      </c>
      <c r="E15" s="478"/>
      <c r="G15" s="915"/>
    </row>
    <row r="16" spans="1:7" x14ac:dyDescent="0.2">
      <c r="A16" s="479"/>
      <c r="B16" s="905"/>
      <c r="C16" s="481" t="s">
        <v>247</v>
      </c>
      <c r="D16" s="909">
        <v>44033.65898148148</v>
      </c>
      <c r="E16" s="478"/>
      <c r="G16" s="915"/>
    </row>
    <row r="17" spans="1:7" x14ac:dyDescent="0.2">
      <c r="A17" s="479"/>
      <c r="B17" s="905"/>
      <c r="C17" s="481" t="s">
        <v>248</v>
      </c>
      <c r="D17" s="909">
        <v>44033.658993055556</v>
      </c>
      <c r="E17" s="478"/>
      <c r="G17" s="915"/>
    </row>
    <row r="18" spans="1:7" x14ac:dyDescent="0.2">
      <c r="A18" s="838"/>
      <c r="B18" s="906"/>
      <c r="C18" s="908" t="s">
        <v>200</v>
      </c>
      <c r="D18" s="910">
        <v>44033.659004629626</v>
      </c>
      <c r="E18" s="839"/>
      <c r="G18" s="915"/>
    </row>
    <row r="19" spans="1:7" x14ac:dyDescent="0.2">
      <c r="A19" s="838"/>
      <c r="B19" s="906"/>
      <c r="C19" s="908" t="s">
        <v>199</v>
      </c>
      <c r="D19" s="910">
        <v>44033.659004629626</v>
      </c>
      <c r="E19" s="839"/>
      <c r="G19" s="916"/>
    </row>
    <row r="20" spans="1:7" x14ac:dyDescent="0.2">
      <c r="A20" s="837"/>
      <c r="B20" s="840"/>
      <c r="C20" s="840"/>
      <c r="D20" s="840"/>
      <c r="E20" s="841"/>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A1:CB297"/>
  <sheetViews>
    <sheetView showGridLines="0" tabSelected="1" topLeftCell="A15" zoomScaleNormal="100" workbookViewId="0">
      <selection activeCell="D36" sqref="D36"/>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241</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81">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4"/>
      <c r="I6" s="603"/>
      <c r="J6" s="1529" t="s">
        <v>76</v>
      </c>
      <c r="K6" s="1530"/>
      <c r="L6" s="1537" t="s">
        <v>83</v>
      </c>
      <c r="M6" s="1530"/>
      <c r="N6" s="1529" t="s">
        <v>109</v>
      </c>
      <c r="O6" s="1530"/>
    </row>
    <row r="7" spans="1:27" ht="27" customHeight="1" thickBot="1" x14ac:dyDescent="0.25">
      <c r="B7" s="505"/>
      <c r="C7" s="602" t="s">
        <v>75</v>
      </c>
      <c r="D7" s="600"/>
      <c r="E7" s="601"/>
      <c r="F7" s="605" t="s">
        <v>211</v>
      </c>
      <c r="G7" s="605" t="s">
        <v>210</v>
      </c>
      <c r="H7" s="835" t="s">
        <v>264</v>
      </c>
      <c r="I7" s="604" t="s">
        <v>81</v>
      </c>
      <c r="J7" s="606" t="s">
        <v>283</v>
      </c>
      <c r="K7" s="607" t="s">
        <v>284</v>
      </c>
      <c r="L7" s="506" t="s">
        <v>113</v>
      </c>
      <c r="M7" s="507" t="s">
        <v>84</v>
      </c>
      <c r="N7" s="508" t="s">
        <v>95</v>
      </c>
      <c r="O7" s="509" t="s">
        <v>112</v>
      </c>
      <c r="P7" s="510"/>
    </row>
    <row r="8" spans="1:27" ht="15" thickTop="1" x14ac:dyDescent="0.2">
      <c r="B8" s="511" t="s">
        <v>69</v>
      </c>
      <c r="C8" s="1382" t="s">
        <v>183</v>
      </c>
      <c r="D8" s="1383"/>
      <c r="E8" s="1384"/>
      <c r="F8" s="1385" t="s">
        <v>5</v>
      </c>
      <c r="G8" s="1385" t="s">
        <v>229</v>
      </c>
      <c r="H8" s="894" t="b">
        <f>IF(AND(F8="Electricity",G8="N/A"),TRUE,FALSE)</f>
        <v>0</v>
      </c>
      <c r="I8" s="512"/>
      <c r="J8" s="513"/>
      <c r="K8" s="514"/>
      <c r="L8" s="515"/>
      <c r="M8" s="516"/>
      <c r="N8" s="1416">
        <v>0</v>
      </c>
      <c r="O8" s="1417">
        <v>350</v>
      </c>
      <c r="P8" s="517"/>
    </row>
    <row r="9" spans="1:27" x14ac:dyDescent="0.2">
      <c r="B9" s="518" t="s">
        <v>65</v>
      </c>
      <c r="C9" s="1386" t="s">
        <v>329</v>
      </c>
      <c r="D9" s="1387"/>
      <c r="E9" s="1388"/>
      <c r="F9" s="1389" t="s">
        <v>5</v>
      </c>
      <c r="G9" s="1389" t="s">
        <v>229</v>
      </c>
      <c r="H9" s="895" t="b">
        <f t="shared" ref="H9:H13" si="0">IF(AND(F9="Electricity",G9="N/A"),TRUE,FALSE)</f>
        <v>0</v>
      </c>
      <c r="I9" s="1397">
        <v>2021</v>
      </c>
      <c r="J9" s="1398">
        <v>0</v>
      </c>
      <c r="K9" s="1399">
        <v>0.5</v>
      </c>
      <c r="L9" s="1400">
        <v>5000</v>
      </c>
      <c r="M9" s="1401">
        <v>100</v>
      </c>
      <c r="N9" s="1402">
        <v>0</v>
      </c>
      <c r="O9" s="1403">
        <v>350</v>
      </c>
      <c r="R9" s="539"/>
    </row>
    <row r="10" spans="1:27" x14ac:dyDescent="0.2">
      <c r="B10" s="518" t="s">
        <v>66</v>
      </c>
      <c r="C10" s="1386" t="s">
        <v>322</v>
      </c>
      <c r="D10" s="1387"/>
      <c r="E10" s="1388"/>
      <c r="F10" s="1389" t="s">
        <v>5</v>
      </c>
      <c r="G10" s="1389" t="s">
        <v>229</v>
      </c>
      <c r="H10" s="895" t="b">
        <f t="shared" si="0"/>
        <v>0</v>
      </c>
      <c r="I10" s="1397">
        <v>2021</v>
      </c>
      <c r="J10" s="1398">
        <v>0</v>
      </c>
      <c r="K10" s="1399">
        <v>0.5</v>
      </c>
      <c r="L10" s="1400">
        <v>5000</v>
      </c>
      <c r="M10" s="1401">
        <v>100</v>
      </c>
      <c r="N10" s="1402">
        <v>0</v>
      </c>
      <c r="O10" s="1403">
        <v>350</v>
      </c>
    </row>
    <row r="11" spans="1:27" x14ac:dyDescent="0.2">
      <c r="B11" s="542" t="s">
        <v>67</v>
      </c>
      <c r="C11" s="1386" t="s">
        <v>324</v>
      </c>
      <c r="D11" s="1390"/>
      <c r="E11" s="1391"/>
      <c r="F11" s="1392" t="s">
        <v>6</v>
      </c>
      <c r="G11" s="1392" t="s">
        <v>229</v>
      </c>
      <c r="H11" s="896" t="b">
        <f t="shared" si="0"/>
        <v>1</v>
      </c>
      <c r="I11" s="1397">
        <v>2021</v>
      </c>
      <c r="J11" s="1398">
        <v>0</v>
      </c>
      <c r="K11" s="1404">
        <v>0.5</v>
      </c>
      <c r="L11" s="1405">
        <v>5000</v>
      </c>
      <c r="M11" s="1406">
        <v>100</v>
      </c>
      <c r="N11" s="1407">
        <v>0</v>
      </c>
      <c r="O11" s="1408">
        <v>350</v>
      </c>
      <c r="P11" s="497"/>
    </row>
    <row r="12" spans="1:27" x14ac:dyDescent="0.2">
      <c r="B12" s="542" t="s">
        <v>205</v>
      </c>
      <c r="C12" s="1386" t="s">
        <v>450</v>
      </c>
      <c r="D12" s="1390"/>
      <c r="E12" s="1391"/>
      <c r="F12" s="1392" t="s">
        <v>207</v>
      </c>
      <c r="G12" s="1392" t="s">
        <v>229</v>
      </c>
      <c r="H12" s="896" t="b">
        <f t="shared" si="0"/>
        <v>0</v>
      </c>
      <c r="I12" s="1397">
        <v>2021</v>
      </c>
      <c r="J12" s="1398">
        <v>0</v>
      </c>
      <c r="K12" s="1404">
        <v>0.5</v>
      </c>
      <c r="L12" s="1405">
        <v>5000</v>
      </c>
      <c r="M12" s="1406">
        <v>100</v>
      </c>
      <c r="N12" s="1407">
        <v>0</v>
      </c>
      <c r="O12" s="1408">
        <v>350</v>
      </c>
    </row>
    <row r="13" spans="1:27" ht="15" thickBot="1" x14ac:dyDescent="0.25">
      <c r="B13" s="519" t="s">
        <v>206</v>
      </c>
      <c r="C13" s="1393"/>
      <c r="D13" s="1394"/>
      <c r="E13" s="1395"/>
      <c r="F13" s="1396" t="s">
        <v>5</v>
      </c>
      <c r="G13" s="1396" t="s">
        <v>229</v>
      </c>
      <c r="H13" s="897" t="b">
        <f t="shared" si="0"/>
        <v>0</v>
      </c>
      <c r="I13" s="1409">
        <v>2020</v>
      </c>
      <c r="J13" s="1410">
        <v>0</v>
      </c>
      <c r="K13" s="1411">
        <v>0</v>
      </c>
      <c r="L13" s="1412">
        <v>5000</v>
      </c>
      <c r="M13" s="1413">
        <v>100</v>
      </c>
      <c r="N13" s="1414">
        <v>0</v>
      </c>
      <c r="O13" s="1415">
        <v>350</v>
      </c>
    </row>
    <row r="14" spans="1:27" ht="16" x14ac:dyDescent="0.2">
      <c r="B14" s="499"/>
      <c r="C14" s="496" t="s">
        <v>265</v>
      </c>
      <c r="D14" s="497"/>
      <c r="F14" s="497"/>
    </row>
    <row r="15" spans="1:27" ht="16" thickBot="1" x14ac:dyDescent="0.25">
      <c r="B15" s="520" t="s">
        <v>119</v>
      </c>
      <c r="C15" s="521"/>
      <c r="D15" s="497"/>
      <c r="F15" s="497"/>
    </row>
    <row r="16" spans="1:27" ht="15" thickBot="1" x14ac:dyDescent="0.25">
      <c r="B16" s="522"/>
      <c r="C16" s="521"/>
      <c r="D16" s="497"/>
      <c r="F16" s="497"/>
      <c r="T16" s="769" t="s">
        <v>230</v>
      </c>
      <c r="U16" s="496" t="s">
        <v>231</v>
      </c>
      <c r="Z16" s="902"/>
      <c r="AA16" s="496" t="s">
        <v>262</v>
      </c>
    </row>
    <row r="17" spans="1:31" s="232" customFormat="1" x14ac:dyDescent="0.2">
      <c r="A17" s="3"/>
      <c r="B17" s="231"/>
      <c r="C17" s="233"/>
      <c r="E17" s="2"/>
      <c r="F17" s="3"/>
      <c r="G17" s="5"/>
      <c r="H17" s="6"/>
      <c r="I17" s="833"/>
      <c r="J17" s="833"/>
      <c r="K17" s="6"/>
      <c r="L17" s="6"/>
      <c r="M17" s="6"/>
      <c r="N17" s="6"/>
      <c r="O17" s="6"/>
      <c r="P17" s="6"/>
      <c r="U17" s="496" t="s">
        <v>232</v>
      </c>
      <c r="AA17" s="496" t="s">
        <v>263</v>
      </c>
    </row>
    <row r="18" spans="1:31" s="232" customFormat="1" ht="15" thickBot="1" x14ac:dyDescent="0.25">
      <c r="A18" s="3"/>
      <c r="B18" s="230"/>
      <c r="C18" s="229"/>
      <c r="E18" s="2"/>
      <c r="F18" s="229"/>
      <c r="G18" s="5"/>
      <c r="H18" s="6"/>
      <c r="I18" s="833"/>
      <c r="J18" s="833"/>
      <c r="K18" s="6"/>
      <c r="L18" s="6"/>
      <c r="M18" s="6"/>
      <c r="N18" s="6"/>
      <c r="O18" s="6"/>
      <c r="P18" s="6"/>
      <c r="Z18" s="1358" t="s">
        <v>420</v>
      </c>
    </row>
    <row r="19" spans="1:31" ht="17" thickBot="1" x14ac:dyDescent="0.25">
      <c r="B19" s="748"/>
      <c r="C19" s="1531" t="s">
        <v>221</v>
      </c>
      <c r="D19" s="1532"/>
      <c r="E19" s="1532"/>
      <c r="F19" s="1532"/>
      <c r="G19" s="1532"/>
      <c r="H19" s="1532"/>
      <c r="I19" s="1532" t="s">
        <v>222</v>
      </c>
      <c r="J19" s="1532"/>
      <c r="K19" s="1532"/>
      <c r="L19" s="1532"/>
      <c r="M19" s="1533"/>
      <c r="N19" s="1534" t="s">
        <v>319</v>
      </c>
      <c r="O19" s="1535"/>
      <c r="P19" s="1535"/>
      <c r="Q19" s="1535"/>
      <c r="R19" s="1535"/>
      <c r="S19" s="1536"/>
      <c r="T19" s="1534" t="s">
        <v>320</v>
      </c>
      <c r="U19" s="1535"/>
      <c r="V19" s="1535"/>
      <c r="W19" s="1535"/>
      <c r="X19" s="1535"/>
      <c r="Y19" s="1536"/>
      <c r="Z19" s="1534" t="s">
        <v>226</v>
      </c>
      <c r="AA19" s="1535"/>
      <c r="AB19" s="1535"/>
      <c r="AC19" s="1535"/>
      <c r="AD19" s="1535"/>
      <c r="AE19" s="1536"/>
    </row>
    <row r="20" spans="1: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4"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ht="15" thickBot="1" x14ac:dyDescent="0.25">
      <c r="B21" s="761" t="s">
        <v>3</v>
      </c>
      <c r="C21" s="762"/>
      <c r="D21" s="1517" t="str">
        <f>INDEX($C$9:$C$13,MATCH(D20,$B$9:$B$13,0))</f>
        <v>Adv Conv</v>
      </c>
      <c r="E21" s="1517" t="str">
        <f t="shared" ref="E21:H21" si="1">INDEX($C$9:$C$13,MATCH(E20,$B$9:$B$13,0))</f>
        <v>HEV</v>
      </c>
      <c r="F21" s="1517" t="str">
        <f t="shared" si="1"/>
        <v>BEV</v>
      </c>
      <c r="G21" s="1517" t="str">
        <f t="shared" si="1"/>
        <v>FCEV</v>
      </c>
      <c r="H21" s="1518">
        <f t="shared" si="1"/>
        <v>0</v>
      </c>
      <c r="I21" s="1433">
        <v>0</v>
      </c>
      <c r="J21" s="1434">
        <v>0</v>
      </c>
      <c r="K21" s="1434">
        <v>0</v>
      </c>
      <c r="L21" s="1434">
        <v>0</v>
      </c>
      <c r="M21" s="1435">
        <v>0</v>
      </c>
      <c r="N21" s="754"/>
      <c r="O21" s="1517" t="str">
        <f>INDEX($C$9:$C$13,MATCH(O20,$B$9:$B$13,0))</f>
        <v>Adv Conv</v>
      </c>
      <c r="P21" s="1517" t="str">
        <f t="shared" ref="P21:S21" si="2">INDEX($C$9:$C$13,MATCH(P20,$B$9:$B$13,0))</f>
        <v>HEV</v>
      </c>
      <c r="Q21" s="1517" t="str">
        <f t="shared" si="2"/>
        <v>BEV</v>
      </c>
      <c r="R21" s="1517" t="str">
        <f t="shared" si="2"/>
        <v>FCEV</v>
      </c>
      <c r="S21" s="1518">
        <f t="shared" si="2"/>
        <v>0</v>
      </c>
      <c r="T21" s="755"/>
      <c r="U21" s="1517" t="str">
        <f>INDEX($C$9:$C$13,MATCH(U20,$B$9:$B$13,0))</f>
        <v>Adv Conv</v>
      </c>
      <c r="V21" s="1517" t="str">
        <f t="shared" ref="V21:Y21" si="3">INDEX($C$9:$C$13,MATCH(V20,$B$9:$B$13,0))</f>
        <v>HEV</v>
      </c>
      <c r="W21" s="1517" t="str">
        <f t="shared" si="3"/>
        <v>BEV</v>
      </c>
      <c r="X21" s="1517" t="str">
        <f t="shared" si="3"/>
        <v>FCEV</v>
      </c>
      <c r="Y21" s="1518">
        <f t="shared" si="3"/>
        <v>0</v>
      </c>
      <c r="Z21" s="754"/>
      <c r="AA21" s="1517" t="str">
        <f>INDEX($C$9:$C$13,MATCH(AA20,$B$9:$B$13,0))</f>
        <v>Adv Conv</v>
      </c>
      <c r="AB21" s="1517" t="str">
        <f t="shared" ref="AB21:AE21" si="4">INDEX($C$9:$C$13,MATCH(AB20,$B$9:$B$13,0))</f>
        <v>HEV</v>
      </c>
      <c r="AC21" s="1517" t="str">
        <f t="shared" si="4"/>
        <v>BEV</v>
      </c>
      <c r="AD21" s="1517" t="str">
        <f t="shared" si="4"/>
        <v>FCEV</v>
      </c>
      <c r="AE21" s="1518">
        <f t="shared" si="4"/>
        <v>0</v>
      </c>
    </row>
    <row r="22" spans="1:31" x14ac:dyDescent="0.2">
      <c r="B22" s="527">
        <v>2007</v>
      </c>
      <c r="C22" s="1418">
        <v>156000</v>
      </c>
      <c r="D22" s="1419">
        <f t="shared" ref="D22:H24" si="5">D23</f>
        <v>1000000</v>
      </c>
      <c r="E22" s="1419">
        <f t="shared" si="5"/>
        <v>1000000</v>
      </c>
      <c r="F22" s="1419">
        <f t="shared" si="5"/>
        <v>1000000</v>
      </c>
      <c r="G22" s="1419">
        <f t="shared" si="5"/>
        <v>1000000</v>
      </c>
      <c r="H22" s="1420">
        <f t="shared" si="5"/>
        <v>1000000</v>
      </c>
      <c r="I22" s="1359">
        <f>D22*I$21</f>
        <v>0</v>
      </c>
      <c r="J22" s="528">
        <f t="shared" ref="J22:K37" si="6">E22*J$21</f>
        <v>0</v>
      </c>
      <c r="K22" s="528">
        <f t="shared" si="6"/>
        <v>0</v>
      </c>
      <c r="L22" s="528">
        <f t="shared" ref="L22:M37" si="7">G22*L$21</f>
        <v>0</v>
      </c>
      <c r="M22" s="1364">
        <f t="shared" si="7"/>
        <v>0</v>
      </c>
      <c r="N22" s="1436">
        <v>5.9278738513698928</v>
      </c>
      <c r="O22" s="1437">
        <f t="shared" ref="O22:W24" si="8">O23</f>
        <v>1</v>
      </c>
      <c r="P22" s="1437">
        <f t="shared" si="8"/>
        <v>1</v>
      </c>
      <c r="Q22" s="1437">
        <f t="shared" si="8"/>
        <v>1</v>
      </c>
      <c r="R22" s="1437">
        <f t="shared" si="8"/>
        <v>1</v>
      </c>
      <c r="S22" s="1438">
        <f t="shared" si="8"/>
        <v>1</v>
      </c>
      <c r="T22" s="1439">
        <f t="shared" si="8"/>
        <v>1</v>
      </c>
      <c r="U22" s="1440">
        <f t="shared" si="8"/>
        <v>1</v>
      </c>
      <c r="V22" s="1440">
        <f t="shared" si="8"/>
        <v>1</v>
      </c>
      <c r="W22" s="1440">
        <f t="shared" si="8"/>
        <v>1</v>
      </c>
      <c r="X22" s="1440">
        <f t="shared" ref="X22:AE24" si="9">X23</f>
        <v>1</v>
      </c>
      <c r="Y22" s="1441">
        <f t="shared" si="9"/>
        <v>1</v>
      </c>
      <c r="Z22" s="1439">
        <f t="shared" si="9"/>
        <v>0</v>
      </c>
      <c r="AA22" s="1440">
        <f t="shared" si="9"/>
        <v>0</v>
      </c>
      <c r="AB22" s="1440">
        <f t="shared" si="9"/>
        <v>0</v>
      </c>
      <c r="AC22" s="1440">
        <f t="shared" si="9"/>
        <v>0</v>
      </c>
      <c r="AD22" s="1440">
        <f t="shared" si="9"/>
        <v>0</v>
      </c>
      <c r="AE22" s="1441">
        <f t="shared" si="9"/>
        <v>0</v>
      </c>
    </row>
    <row r="23" spans="1:31" x14ac:dyDescent="0.2">
      <c r="B23" s="523">
        <v>2008</v>
      </c>
      <c r="C23" s="1421">
        <v>156000</v>
      </c>
      <c r="D23" s="1422">
        <f t="shared" si="5"/>
        <v>1000000</v>
      </c>
      <c r="E23" s="1422">
        <f t="shared" si="5"/>
        <v>1000000</v>
      </c>
      <c r="F23" s="1422">
        <f t="shared" si="5"/>
        <v>1000000</v>
      </c>
      <c r="G23" s="1422">
        <f t="shared" si="5"/>
        <v>1000000</v>
      </c>
      <c r="H23" s="1423">
        <f t="shared" si="5"/>
        <v>1000000</v>
      </c>
      <c r="I23" s="1360">
        <f t="shared" ref="I23:I65" si="10">D23*I$21</f>
        <v>0</v>
      </c>
      <c r="J23" s="524">
        <f t="shared" ref="J23:J65" si="11">E23*J$21</f>
        <v>0</v>
      </c>
      <c r="K23" s="524">
        <f t="shared" si="6"/>
        <v>0</v>
      </c>
      <c r="L23" s="524">
        <f t="shared" si="7"/>
        <v>0</v>
      </c>
      <c r="M23" s="1365">
        <f t="shared" si="7"/>
        <v>0</v>
      </c>
      <c r="N23" s="1442">
        <v>5.9278738513698928</v>
      </c>
      <c r="O23" s="1443">
        <f t="shared" si="8"/>
        <v>1</v>
      </c>
      <c r="P23" s="1443">
        <f t="shared" si="8"/>
        <v>1</v>
      </c>
      <c r="Q23" s="1443">
        <f t="shared" si="8"/>
        <v>1</v>
      </c>
      <c r="R23" s="1443">
        <f t="shared" si="8"/>
        <v>1</v>
      </c>
      <c r="S23" s="1444">
        <f t="shared" si="8"/>
        <v>1</v>
      </c>
      <c r="T23" s="1445">
        <f t="shared" si="8"/>
        <v>1</v>
      </c>
      <c r="U23" s="1446">
        <f t="shared" si="8"/>
        <v>1</v>
      </c>
      <c r="V23" s="1446">
        <f t="shared" si="8"/>
        <v>1</v>
      </c>
      <c r="W23" s="1446">
        <f t="shared" si="8"/>
        <v>1</v>
      </c>
      <c r="X23" s="1446">
        <f t="shared" si="9"/>
        <v>1</v>
      </c>
      <c r="Y23" s="1447">
        <f t="shared" si="9"/>
        <v>1</v>
      </c>
      <c r="Z23" s="1445">
        <f t="shared" si="9"/>
        <v>0</v>
      </c>
      <c r="AA23" s="1446">
        <f t="shared" si="9"/>
        <v>0</v>
      </c>
      <c r="AB23" s="1446">
        <f t="shared" si="9"/>
        <v>0</v>
      </c>
      <c r="AC23" s="1446">
        <f t="shared" si="9"/>
        <v>0</v>
      </c>
      <c r="AD23" s="1446">
        <f t="shared" si="9"/>
        <v>0</v>
      </c>
      <c r="AE23" s="1447">
        <f t="shared" si="9"/>
        <v>0</v>
      </c>
    </row>
    <row r="24" spans="1:31" x14ac:dyDescent="0.2">
      <c r="B24" s="523">
        <v>2009</v>
      </c>
      <c r="C24" s="1421">
        <v>156000</v>
      </c>
      <c r="D24" s="1422">
        <f t="shared" si="5"/>
        <v>1000000</v>
      </c>
      <c r="E24" s="1422">
        <f t="shared" si="5"/>
        <v>1000000</v>
      </c>
      <c r="F24" s="1422">
        <f t="shared" si="5"/>
        <v>1000000</v>
      </c>
      <c r="G24" s="1422">
        <f t="shared" si="5"/>
        <v>1000000</v>
      </c>
      <c r="H24" s="1423">
        <f t="shared" si="5"/>
        <v>1000000</v>
      </c>
      <c r="I24" s="1360">
        <f t="shared" si="10"/>
        <v>0</v>
      </c>
      <c r="J24" s="524">
        <f t="shared" si="11"/>
        <v>0</v>
      </c>
      <c r="K24" s="524">
        <f t="shared" si="6"/>
        <v>0</v>
      </c>
      <c r="L24" s="524">
        <f t="shared" si="7"/>
        <v>0</v>
      </c>
      <c r="M24" s="1365">
        <f t="shared" si="7"/>
        <v>0</v>
      </c>
      <c r="N24" s="1442">
        <v>5.9278738513698928</v>
      </c>
      <c r="O24" s="1443">
        <f t="shared" si="8"/>
        <v>1</v>
      </c>
      <c r="P24" s="1443">
        <f t="shared" si="8"/>
        <v>1</v>
      </c>
      <c r="Q24" s="1443">
        <f t="shared" si="8"/>
        <v>1</v>
      </c>
      <c r="R24" s="1443">
        <f t="shared" si="8"/>
        <v>1</v>
      </c>
      <c r="S24" s="1444">
        <f t="shared" si="8"/>
        <v>1</v>
      </c>
      <c r="T24" s="1445">
        <f t="shared" si="8"/>
        <v>1</v>
      </c>
      <c r="U24" s="1446">
        <f t="shared" si="8"/>
        <v>1</v>
      </c>
      <c r="V24" s="1446">
        <f t="shared" si="8"/>
        <v>1</v>
      </c>
      <c r="W24" s="1446">
        <f t="shared" si="8"/>
        <v>1</v>
      </c>
      <c r="X24" s="1446">
        <f t="shared" si="9"/>
        <v>1</v>
      </c>
      <c r="Y24" s="1447">
        <f t="shared" si="9"/>
        <v>1</v>
      </c>
      <c r="Z24" s="1445">
        <f t="shared" si="9"/>
        <v>0</v>
      </c>
      <c r="AA24" s="1446">
        <f t="shared" si="9"/>
        <v>0</v>
      </c>
      <c r="AB24" s="1446">
        <f t="shared" si="9"/>
        <v>0</v>
      </c>
      <c r="AC24" s="1446">
        <f t="shared" si="9"/>
        <v>0</v>
      </c>
      <c r="AD24" s="1446">
        <f t="shared" si="9"/>
        <v>0</v>
      </c>
      <c r="AE24" s="1447">
        <f t="shared" si="9"/>
        <v>0</v>
      </c>
    </row>
    <row r="25" spans="1:31" ht="15" thickBot="1" x14ac:dyDescent="0.25">
      <c r="B25" s="525">
        <v>2010</v>
      </c>
      <c r="C25" s="1424">
        <v>156000</v>
      </c>
      <c r="D25" s="1425">
        <v>1000000</v>
      </c>
      <c r="E25" s="1425">
        <v>1000000</v>
      </c>
      <c r="F25" s="1425">
        <v>1000000</v>
      </c>
      <c r="G25" s="1425">
        <v>1000000</v>
      </c>
      <c r="H25" s="1426">
        <v>1000000</v>
      </c>
      <c r="I25" s="1361">
        <f t="shared" si="10"/>
        <v>0</v>
      </c>
      <c r="J25" s="526">
        <f t="shared" si="11"/>
        <v>0</v>
      </c>
      <c r="K25" s="526">
        <f t="shared" si="6"/>
        <v>0</v>
      </c>
      <c r="L25" s="526">
        <f t="shared" si="7"/>
        <v>0</v>
      </c>
      <c r="M25" s="1366">
        <f t="shared" si="7"/>
        <v>0</v>
      </c>
      <c r="N25" s="1448">
        <v>5.6529804659012148</v>
      </c>
      <c r="O25" s="1449">
        <v>1</v>
      </c>
      <c r="P25" s="1449">
        <v>1</v>
      </c>
      <c r="Q25" s="1449">
        <v>1</v>
      </c>
      <c r="R25" s="1449">
        <v>1</v>
      </c>
      <c r="S25" s="1450">
        <v>1</v>
      </c>
      <c r="T25" s="1451">
        <v>1</v>
      </c>
      <c r="U25" s="1452">
        <v>1</v>
      </c>
      <c r="V25" s="1452">
        <v>1</v>
      </c>
      <c r="W25" s="1452">
        <v>1</v>
      </c>
      <c r="X25" s="1452">
        <v>1</v>
      </c>
      <c r="Y25" s="1453">
        <v>1</v>
      </c>
      <c r="Z25" s="1451">
        <v>0</v>
      </c>
      <c r="AA25" s="1452">
        <v>0</v>
      </c>
      <c r="AB25" s="1452">
        <v>0</v>
      </c>
      <c r="AC25" s="1452">
        <v>0</v>
      </c>
      <c r="AD25" s="1452">
        <v>0</v>
      </c>
      <c r="AE25" s="1453">
        <v>0</v>
      </c>
    </row>
    <row r="26" spans="1:31" x14ac:dyDescent="0.2">
      <c r="B26" s="527">
        <v>2011</v>
      </c>
      <c r="C26" s="1427">
        <v>156000</v>
      </c>
      <c r="D26" s="1428">
        <v>1000000</v>
      </c>
      <c r="E26" s="1428">
        <v>1000000</v>
      </c>
      <c r="F26" s="1428">
        <v>1000000</v>
      </c>
      <c r="G26" s="1428">
        <v>1000000</v>
      </c>
      <c r="H26" s="1429">
        <v>1000000</v>
      </c>
      <c r="I26" s="1359">
        <f t="shared" si="10"/>
        <v>0</v>
      </c>
      <c r="J26" s="528">
        <f t="shared" si="11"/>
        <v>0</v>
      </c>
      <c r="K26" s="528">
        <f t="shared" si="6"/>
        <v>0</v>
      </c>
      <c r="L26" s="528">
        <f t="shared" si="7"/>
        <v>0</v>
      </c>
      <c r="M26" s="1364">
        <f t="shared" si="7"/>
        <v>0</v>
      </c>
      <c r="N26" s="1454">
        <v>5.7697883792198912</v>
      </c>
      <c r="O26" s="1455">
        <v>1</v>
      </c>
      <c r="P26" s="1455">
        <v>1</v>
      </c>
      <c r="Q26" s="1455">
        <v>1</v>
      </c>
      <c r="R26" s="1455">
        <v>1</v>
      </c>
      <c r="S26" s="1456">
        <v>1</v>
      </c>
      <c r="T26" s="1457">
        <v>1</v>
      </c>
      <c r="U26" s="1458">
        <v>1</v>
      </c>
      <c r="V26" s="1458">
        <v>1</v>
      </c>
      <c r="W26" s="1458">
        <v>1</v>
      </c>
      <c r="X26" s="1458">
        <v>1</v>
      </c>
      <c r="Y26" s="1459">
        <v>1</v>
      </c>
      <c r="Z26" s="1457">
        <v>0</v>
      </c>
      <c r="AA26" s="1458">
        <v>0</v>
      </c>
      <c r="AB26" s="1458">
        <v>0</v>
      </c>
      <c r="AC26" s="1458">
        <v>0</v>
      </c>
      <c r="AD26" s="1458">
        <v>0</v>
      </c>
      <c r="AE26" s="1459">
        <v>0</v>
      </c>
    </row>
    <row r="27" spans="1:31" x14ac:dyDescent="0.2">
      <c r="B27" s="523">
        <v>2012</v>
      </c>
      <c r="C27" s="1421">
        <v>156000</v>
      </c>
      <c r="D27" s="1422">
        <v>1000000</v>
      </c>
      <c r="E27" s="1422">
        <v>1000000</v>
      </c>
      <c r="F27" s="1422">
        <v>1000000</v>
      </c>
      <c r="G27" s="1422">
        <v>1000000</v>
      </c>
      <c r="H27" s="1423">
        <v>1000000</v>
      </c>
      <c r="I27" s="1360">
        <f t="shared" si="10"/>
        <v>0</v>
      </c>
      <c r="J27" s="524">
        <f t="shared" si="11"/>
        <v>0</v>
      </c>
      <c r="K27" s="524">
        <f t="shared" si="6"/>
        <v>0</v>
      </c>
      <c r="L27" s="524">
        <f t="shared" si="7"/>
        <v>0</v>
      </c>
      <c r="M27" s="1365">
        <f t="shared" si="7"/>
        <v>0</v>
      </c>
      <c r="N27" s="1442">
        <v>5.8156338758937807</v>
      </c>
      <c r="O27" s="1443">
        <v>1</v>
      </c>
      <c r="P27" s="1443">
        <v>1</v>
      </c>
      <c r="Q27" s="1443">
        <v>1</v>
      </c>
      <c r="R27" s="1443">
        <v>1</v>
      </c>
      <c r="S27" s="1444">
        <v>1</v>
      </c>
      <c r="T27" s="1445">
        <v>1</v>
      </c>
      <c r="U27" s="1446">
        <v>1</v>
      </c>
      <c r="V27" s="1446">
        <v>1</v>
      </c>
      <c r="W27" s="1446">
        <v>1</v>
      </c>
      <c r="X27" s="1446">
        <v>1</v>
      </c>
      <c r="Y27" s="1447">
        <v>1</v>
      </c>
      <c r="Z27" s="1445">
        <v>0</v>
      </c>
      <c r="AA27" s="1446">
        <v>0</v>
      </c>
      <c r="AB27" s="1446">
        <v>0</v>
      </c>
      <c r="AC27" s="1446">
        <v>0</v>
      </c>
      <c r="AD27" s="1446">
        <v>0</v>
      </c>
      <c r="AE27" s="1447">
        <v>0</v>
      </c>
    </row>
    <row r="28" spans="1:31" x14ac:dyDescent="0.2">
      <c r="B28" s="523">
        <v>2013</v>
      </c>
      <c r="C28" s="1421">
        <v>156000</v>
      </c>
      <c r="D28" s="1422">
        <v>1000000</v>
      </c>
      <c r="E28" s="1422">
        <v>1000000</v>
      </c>
      <c r="F28" s="1422">
        <v>1000000</v>
      </c>
      <c r="G28" s="1422">
        <v>1000000</v>
      </c>
      <c r="H28" s="1423">
        <v>1000000</v>
      </c>
      <c r="I28" s="1360">
        <f t="shared" si="10"/>
        <v>0</v>
      </c>
      <c r="J28" s="524">
        <f t="shared" si="11"/>
        <v>0</v>
      </c>
      <c r="K28" s="524">
        <f t="shared" si="6"/>
        <v>0</v>
      </c>
      <c r="L28" s="524">
        <f t="shared" si="7"/>
        <v>0</v>
      </c>
      <c r="M28" s="1365">
        <f t="shared" si="7"/>
        <v>0</v>
      </c>
      <c r="N28" s="1442">
        <v>5.9244625288706905</v>
      </c>
      <c r="O28" s="1443">
        <v>1</v>
      </c>
      <c r="P28" s="1443">
        <v>1</v>
      </c>
      <c r="Q28" s="1443">
        <v>1</v>
      </c>
      <c r="R28" s="1443">
        <v>1</v>
      </c>
      <c r="S28" s="1444">
        <v>1</v>
      </c>
      <c r="T28" s="1445">
        <v>1</v>
      </c>
      <c r="U28" s="1446">
        <v>1</v>
      </c>
      <c r="V28" s="1446">
        <v>1</v>
      </c>
      <c r="W28" s="1446">
        <v>1</v>
      </c>
      <c r="X28" s="1446">
        <v>1</v>
      </c>
      <c r="Y28" s="1447">
        <v>1</v>
      </c>
      <c r="Z28" s="1445">
        <v>0</v>
      </c>
      <c r="AA28" s="1446">
        <v>0</v>
      </c>
      <c r="AB28" s="1446">
        <v>0</v>
      </c>
      <c r="AC28" s="1446">
        <v>0</v>
      </c>
      <c r="AD28" s="1446">
        <v>0</v>
      </c>
      <c r="AE28" s="1447">
        <v>0</v>
      </c>
    </row>
    <row r="29" spans="1:31" x14ac:dyDescent="0.2">
      <c r="B29" s="523">
        <v>2014</v>
      </c>
      <c r="C29" s="1421">
        <v>156000</v>
      </c>
      <c r="D29" s="1422">
        <v>1000000</v>
      </c>
      <c r="E29" s="1422">
        <v>1000000</v>
      </c>
      <c r="F29" s="1422">
        <v>1000000</v>
      </c>
      <c r="G29" s="1422">
        <v>1000000</v>
      </c>
      <c r="H29" s="1423">
        <v>1000000</v>
      </c>
      <c r="I29" s="1360">
        <f t="shared" si="10"/>
        <v>0</v>
      </c>
      <c r="J29" s="524">
        <f t="shared" si="11"/>
        <v>0</v>
      </c>
      <c r="K29" s="524">
        <f t="shared" si="6"/>
        <v>0</v>
      </c>
      <c r="L29" s="524">
        <f t="shared" si="7"/>
        <v>0</v>
      </c>
      <c r="M29" s="1365">
        <f t="shared" si="7"/>
        <v>0</v>
      </c>
      <c r="N29" s="1442">
        <v>6.0583595281689906</v>
      </c>
      <c r="O29" s="1443">
        <v>1</v>
      </c>
      <c r="P29" s="1443">
        <v>1</v>
      </c>
      <c r="Q29" s="1443">
        <v>1</v>
      </c>
      <c r="R29" s="1443">
        <v>1</v>
      </c>
      <c r="S29" s="1444">
        <v>1</v>
      </c>
      <c r="T29" s="1445">
        <v>1</v>
      </c>
      <c r="U29" s="1446">
        <v>1</v>
      </c>
      <c r="V29" s="1446">
        <v>1</v>
      </c>
      <c r="W29" s="1446">
        <v>1</v>
      </c>
      <c r="X29" s="1446">
        <v>1</v>
      </c>
      <c r="Y29" s="1447">
        <v>1</v>
      </c>
      <c r="Z29" s="1445">
        <v>0</v>
      </c>
      <c r="AA29" s="1446">
        <v>0</v>
      </c>
      <c r="AB29" s="1446">
        <v>0</v>
      </c>
      <c r="AC29" s="1446">
        <v>0</v>
      </c>
      <c r="AD29" s="1446">
        <v>0</v>
      </c>
      <c r="AE29" s="1447">
        <v>0</v>
      </c>
    </row>
    <row r="30" spans="1:31" ht="15" thickBot="1" x14ac:dyDescent="0.25">
      <c r="B30" s="525">
        <v>2015</v>
      </c>
      <c r="C30" s="1424">
        <v>156000</v>
      </c>
      <c r="D30" s="1425">
        <v>1000000</v>
      </c>
      <c r="E30" s="1425">
        <v>1000000</v>
      </c>
      <c r="F30" s="1425">
        <v>1000000</v>
      </c>
      <c r="G30" s="1425">
        <v>1000000</v>
      </c>
      <c r="H30" s="1426">
        <v>1000000</v>
      </c>
      <c r="I30" s="1361">
        <f t="shared" si="10"/>
        <v>0</v>
      </c>
      <c r="J30" s="526">
        <f t="shared" si="11"/>
        <v>0</v>
      </c>
      <c r="K30" s="526">
        <f t="shared" si="6"/>
        <v>0</v>
      </c>
      <c r="L30" s="526">
        <f t="shared" si="7"/>
        <v>0</v>
      </c>
      <c r="M30" s="1366">
        <f t="shared" si="7"/>
        <v>0</v>
      </c>
      <c r="N30" s="1448">
        <v>6.1703756815216178</v>
      </c>
      <c r="O30" s="1449">
        <v>1</v>
      </c>
      <c r="P30" s="1449">
        <v>1</v>
      </c>
      <c r="Q30" s="1460">
        <v>1</v>
      </c>
      <c r="R30" s="1460">
        <v>1</v>
      </c>
      <c r="S30" s="1461">
        <v>1</v>
      </c>
      <c r="T30" s="1451">
        <v>1</v>
      </c>
      <c r="U30" s="1452">
        <v>1</v>
      </c>
      <c r="V30" s="1452">
        <v>1</v>
      </c>
      <c r="W30" s="1452">
        <v>1</v>
      </c>
      <c r="X30" s="1452">
        <v>1</v>
      </c>
      <c r="Y30" s="1453">
        <v>1</v>
      </c>
      <c r="Z30" s="1451">
        <v>0</v>
      </c>
      <c r="AA30" s="1452">
        <v>0</v>
      </c>
      <c r="AB30" s="1452">
        <v>0</v>
      </c>
      <c r="AC30" s="1452">
        <v>0</v>
      </c>
      <c r="AD30" s="1452">
        <v>0</v>
      </c>
      <c r="AE30" s="1453">
        <v>0</v>
      </c>
    </row>
    <row r="31" spans="1:31" x14ac:dyDescent="0.2">
      <c r="B31" s="527">
        <v>2016</v>
      </c>
      <c r="C31" s="1427">
        <v>156000</v>
      </c>
      <c r="D31" s="1428">
        <v>1000000</v>
      </c>
      <c r="E31" s="1428">
        <v>1000000</v>
      </c>
      <c r="F31" s="1428">
        <v>1000000</v>
      </c>
      <c r="G31" s="1428">
        <v>1000000</v>
      </c>
      <c r="H31" s="1429">
        <v>1000000</v>
      </c>
      <c r="I31" s="1359">
        <f t="shared" si="10"/>
        <v>0</v>
      </c>
      <c r="J31" s="528">
        <f t="shared" si="11"/>
        <v>0</v>
      </c>
      <c r="K31" s="528">
        <f t="shared" si="6"/>
        <v>0</v>
      </c>
      <c r="L31" s="528">
        <f t="shared" si="7"/>
        <v>0</v>
      </c>
      <c r="M31" s="1364">
        <f t="shared" si="7"/>
        <v>0</v>
      </c>
      <c r="N31" s="1454">
        <v>6.2992037959414615</v>
      </c>
      <c r="O31" s="1443">
        <v>1</v>
      </c>
      <c r="P31" s="1443">
        <v>1</v>
      </c>
      <c r="Q31" s="1462">
        <v>1</v>
      </c>
      <c r="R31" s="1462">
        <v>1</v>
      </c>
      <c r="S31" s="1463">
        <v>1</v>
      </c>
      <c r="T31" s="1457">
        <v>1</v>
      </c>
      <c r="U31" s="1458">
        <v>1</v>
      </c>
      <c r="V31" s="1458">
        <v>1</v>
      </c>
      <c r="W31" s="1458">
        <v>1</v>
      </c>
      <c r="X31" s="1458">
        <v>1</v>
      </c>
      <c r="Y31" s="1459">
        <v>1</v>
      </c>
      <c r="Z31" s="1457">
        <v>0</v>
      </c>
      <c r="AA31" s="1458">
        <v>0</v>
      </c>
      <c r="AB31" s="1458">
        <v>0</v>
      </c>
      <c r="AC31" s="1458">
        <v>0</v>
      </c>
      <c r="AD31" s="1458">
        <v>0</v>
      </c>
      <c r="AE31" s="1459">
        <v>0</v>
      </c>
    </row>
    <row r="32" spans="1:31" x14ac:dyDescent="0.2">
      <c r="B32" s="523">
        <v>2017</v>
      </c>
      <c r="C32" s="1421">
        <v>156000</v>
      </c>
      <c r="D32" s="1422">
        <v>1000000</v>
      </c>
      <c r="E32" s="1422">
        <v>1000000</v>
      </c>
      <c r="F32" s="1422">
        <v>1000000</v>
      </c>
      <c r="G32" s="1422">
        <v>1000000</v>
      </c>
      <c r="H32" s="1423">
        <v>1000000</v>
      </c>
      <c r="I32" s="1360">
        <f t="shared" si="10"/>
        <v>0</v>
      </c>
      <c r="J32" s="524">
        <f t="shared" si="11"/>
        <v>0</v>
      </c>
      <c r="K32" s="524">
        <f t="shared" si="6"/>
        <v>0</v>
      </c>
      <c r="L32" s="524">
        <f t="shared" si="7"/>
        <v>0</v>
      </c>
      <c r="M32" s="1365">
        <f t="shared" si="7"/>
        <v>0</v>
      </c>
      <c r="N32" s="1442">
        <v>6.429880170141046</v>
      </c>
      <c r="O32" s="1443">
        <v>1</v>
      </c>
      <c r="P32" s="1443">
        <v>1</v>
      </c>
      <c r="Q32" s="1462">
        <v>1</v>
      </c>
      <c r="R32" s="1462">
        <v>1</v>
      </c>
      <c r="S32" s="1463">
        <v>1</v>
      </c>
      <c r="T32" s="1445">
        <v>1</v>
      </c>
      <c r="U32" s="1446">
        <v>1</v>
      </c>
      <c r="V32" s="1446">
        <v>1</v>
      </c>
      <c r="W32" s="1446">
        <v>1</v>
      </c>
      <c r="X32" s="1446">
        <v>1</v>
      </c>
      <c r="Y32" s="1447">
        <v>1</v>
      </c>
      <c r="Z32" s="1445">
        <v>0</v>
      </c>
      <c r="AA32" s="1446">
        <v>0</v>
      </c>
      <c r="AB32" s="1446">
        <v>0</v>
      </c>
      <c r="AC32" s="1446">
        <v>0</v>
      </c>
      <c r="AD32" s="1446">
        <v>0</v>
      </c>
      <c r="AE32" s="1447">
        <v>0</v>
      </c>
    </row>
    <row r="33" spans="2:80" x14ac:dyDescent="0.2">
      <c r="B33" s="523">
        <v>2018</v>
      </c>
      <c r="C33" s="1421">
        <f>C32+1900</f>
        <v>157900</v>
      </c>
      <c r="D33" s="1422">
        <v>1000000</v>
      </c>
      <c r="E33" s="1422">
        <v>1000000</v>
      </c>
      <c r="F33" s="1422">
        <v>1000000</v>
      </c>
      <c r="G33" s="1422">
        <v>1000000</v>
      </c>
      <c r="H33" s="1423">
        <v>1000000</v>
      </c>
      <c r="I33" s="1360">
        <f t="shared" si="10"/>
        <v>0</v>
      </c>
      <c r="J33" s="524">
        <f t="shared" si="11"/>
        <v>0</v>
      </c>
      <c r="K33" s="524">
        <f t="shared" si="6"/>
        <v>0</v>
      </c>
      <c r="L33" s="524">
        <f t="shared" si="7"/>
        <v>0</v>
      </c>
      <c r="M33" s="1365">
        <f t="shared" si="7"/>
        <v>0</v>
      </c>
      <c r="N33" s="1442">
        <v>6.3927777584473002</v>
      </c>
      <c r="O33" s="1443">
        <v>1</v>
      </c>
      <c r="P33" s="1443">
        <v>1</v>
      </c>
      <c r="Q33" s="1462">
        <v>1</v>
      </c>
      <c r="R33" s="1462">
        <v>1</v>
      </c>
      <c r="S33" s="1463">
        <v>1</v>
      </c>
      <c r="T33" s="1445">
        <v>1</v>
      </c>
      <c r="U33" s="1446">
        <v>1</v>
      </c>
      <c r="V33" s="1446">
        <v>1</v>
      </c>
      <c r="W33" s="1446">
        <v>1</v>
      </c>
      <c r="X33" s="1446">
        <v>1</v>
      </c>
      <c r="Y33" s="1447">
        <v>1</v>
      </c>
      <c r="Z33" s="1445">
        <v>0</v>
      </c>
      <c r="AA33" s="1446">
        <v>0</v>
      </c>
      <c r="AB33" s="1446">
        <v>0</v>
      </c>
      <c r="AC33" s="1446">
        <v>0</v>
      </c>
      <c r="AD33" s="1446">
        <v>0</v>
      </c>
      <c r="AE33" s="1447">
        <v>0</v>
      </c>
    </row>
    <row r="34" spans="2:80" x14ac:dyDescent="0.2">
      <c r="B34" s="523">
        <v>2019</v>
      </c>
      <c r="C34" s="1421">
        <f>C32+3700</f>
        <v>159700</v>
      </c>
      <c r="D34" s="1422">
        <v>1000000</v>
      </c>
      <c r="E34" s="1422">
        <v>1000000</v>
      </c>
      <c r="F34" s="1422">
        <v>1000000</v>
      </c>
      <c r="G34" s="1422">
        <v>1000000</v>
      </c>
      <c r="H34" s="1423">
        <v>1000000</v>
      </c>
      <c r="I34" s="1360">
        <f t="shared" si="10"/>
        <v>0</v>
      </c>
      <c r="J34" s="524">
        <f t="shared" si="11"/>
        <v>0</v>
      </c>
      <c r="K34" s="524">
        <f t="shared" si="6"/>
        <v>0</v>
      </c>
      <c r="L34" s="524">
        <f t="shared" si="7"/>
        <v>0</v>
      </c>
      <c r="M34" s="1365">
        <f t="shared" si="7"/>
        <v>0</v>
      </c>
      <c r="N34" s="1442">
        <v>6.4333520263174488</v>
      </c>
      <c r="O34" s="1443">
        <v>1</v>
      </c>
      <c r="P34" s="1443">
        <v>1</v>
      </c>
      <c r="Q34" s="1462">
        <v>1</v>
      </c>
      <c r="R34" s="1462">
        <v>1</v>
      </c>
      <c r="S34" s="1463">
        <v>1</v>
      </c>
      <c r="T34" s="1445">
        <v>1</v>
      </c>
      <c r="U34" s="1446">
        <v>1</v>
      </c>
      <c r="V34" s="1446">
        <v>1</v>
      </c>
      <c r="W34" s="1446">
        <v>1</v>
      </c>
      <c r="X34" s="1446">
        <v>1</v>
      </c>
      <c r="Y34" s="1447">
        <v>1</v>
      </c>
      <c r="Z34" s="1445">
        <v>0</v>
      </c>
      <c r="AA34" s="1446">
        <v>0</v>
      </c>
      <c r="AB34" s="1446">
        <v>0</v>
      </c>
      <c r="AC34" s="1446">
        <v>0</v>
      </c>
      <c r="AD34" s="1446">
        <v>0</v>
      </c>
      <c r="AE34" s="1447">
        <v>0</v>
      </c>
      <c r="BP34"/>
      <c r="BQ34"/>
      <c r="BR34"/>
      <c r="BS34"/>
      <c r="BT34"/>
      <c r="BU34"/>
      <c r="BV34"/>
      <c r="BW34"/>
      <c r="BX34"/>
      <c r="BY34"/>
      <c r="BZ34"/>
      <c r="CA34"/>
      <c r="CB34"/>
    </row>
    <row r="35" spans="2:80" ht="15" thickBot="1" x14ac:dyDescent="0.25">
      <c r="B35" s="525">
        <v>2020</v>
      </c>
      <c r="C35" s="1424">
        <f>C32+5500</f>
        <v>161500</v>
      </c>
      <c r="D35" s="1425">
        <v>1000000</v>
      </c>
      <c r="E35" s="1425">
        <v>1000000</v>
      </c>
      <c r="F35" s="1425">
        <v>1000000</v>
      </c>
      <c r="G35" s="1425">
        <v>1000000</v>
      </c>
      <c r="H35" s="1426">
        <v>1000000</v>
      </c>
      <c r="I35" s="1361">
        <f t="shared" si="10"/>
        <v>0</v>
      </c>
      <c r="J35" s="526">
        <f t="shared" si="11"/>
        <v>0</v>
      </c>
      <c r="K35" s="526">
        <f t="shared" si="6"/>
        <v>0</v>
      </c>
      <c r="L35" s="526">
        <f t="shared" si="7"/>
        <v>0</v>
      </c>
      <c r="M35" s="1366">
        <f t="shared" si="7"/>
        <v>0</v>
      </c>
      <c r="N35" s="1448">
        <v>6.4864337636120455</v>
      </c>
      <c r="O35" s="1449">
        <v>1</v>
      </c>
      <c r="P35" s="1449">
        <v>1</v>
      </c>
      <c r="Q35" s="1460">
        <v>1</v>
      </c>
      <c r="R35" s="1460">
        <v>1</v>
      </c>
      <c r="S35" s="1461">
        <v>1</v>
      </c>
      <c r="T35" s="1451">
        <v>1</v>
      </c>
      <c r="U35" s="1452">
        <v>1</v>
      </c>
      <c r="V35" s="1452">
        <v>1</v>
      </c>
      <c r="W35" s="1452">
        <v>1</v>
      </c>
      <c r="X35" s="1452">
        <v>1</v>
      </c>
      <c r="Y35" s="1453">
        <v>1</v>
      </c>
      <c r="Z35" s="1451">
        <v>0</v>
      </c>
      <c r="AA35" s="1452">
        <v>0</v>
      </c>
      <c r="AB35" s="1452">
        <v>0</v>
      </c>
      <c r="AC35" s="1452">
        <v>0</v>
      </c>
      <c r="AD35" s="1452">
        <v>0</v>
      </c>
      <c r="AE35" s="1453">
        <v>0</v>
      </c>
      <c r="AF35" s="496">
        <v>7.2892680928012563</v>
      </c>
      <c r="BP35">
        <f>AF35/N35</f>
        <v>1.123771298443375</v>
      </c>
      <c r="BQ35"/>
      <c r="BR35"/>
      <c r="BS35"/>
      <c r="BT35"/>
      <c r="BU35"/>
      <c r="BV35"/>
      <c r="BW35"/>
      <c r="BX35"/>
      <c r="BY35"/>
      <c r="BZ35"/>
      <c r="CA35"/>
      <c r="CB35"/>
    </row>
    <row r="36" spans="2:80" x14ac:dyDescent="0.2">
      <c r="B36" s="527">
        <v>2021</v>
      </c>
      <c r="C36" s="1427">
        <v>163300</v>
      </c>
      <c r="D36" s="1428">
        <v>1</v>
      </c>
      <c r="E36" s="1428">
        <v>9691</v>
      </c>
      <c r="F36" s="1428">
        <v>803302</v>
      </c>
      <c r="G36" s="1428">
        <v>197134</v>
      </c>
      <c r="H36" s="1429">
        <v>1000000</v>
      </c>
      <c r="I36" s="1359">
        <f t="shared" si="10"/>
        <v>0</v>
      </c>
      <c r="J36" s="528">
        <f t="shared" si="11"/>
        <v>0</v>
      </c>
      <c r="K36" s="528">
        <f t="shared" si="6"/>
        <v>0</v>
      </c>
      <c r="L36" s="528">
        <f t="shared" si="7"/>
        <v>0</v>
      </c>
      <c r="M36" s="1364">
        <f t="shared" si="7"/>
        <v>0</v>
      </c>
      <c r="N36" s="1454">
        <v>6.4888939494054592</v>
      </c>
      <c r="O36" s="1455">
        <v>6.5022154848345242</v>
      </c>
      <c r="P36" s="1455">
        <v>6.9282427260624955</v>
      </c>
      <c r="Q36" s="1462">
        <v>13.466656528420819</v>
      </c>
      <c r="R36" s="1462">
        <v>8.6465875654449835</v>
      </c>
      <c r="S36" s="1463">
        <v>1</v>
      </c>
      <c r="T36" s="1457">
        <v>1</v>
      </c>
      <c r="U36" s="1458">
        <v>1</v>
      </c>
      <c r="V36" s="1458">
        <v>1</v>
      </c>
      <c r="W36" s="1458">
        <v>1</v>
      </c>
      <c r="X36" s="1458">
        <v>1</v>
      </c>
      <c r="Y36" s="1459">
        <v>1</v>
      </c>
      <c r="Z36" s="1457">
        <v>0</v>
      </c>
      <c r="AA36" s="1458">
        <v>0</v>
      </c>
      <c r="AB36" s="1458">
        <v>0</v>
      </c>
      <c r="AC36" s="1458">
        <v>477.73950363038142</v>
      </c>
      <c r="AD36" s="1458">
        <v>0</v>
      </c>
      <c r="AE36" s="1459">
        <v>0</v>
      </c>
      <c r="AF36" s="496">
        <v>7.295170630607748</v>
      </c>
      <c r="BP36">
        <f t="shared" ref="BP36:BP65" si="12">AF36/N36</f>
        <v>1.1242548710903439</v>
      </c>
      <c r="BQ36"/>
      <c r="BR36"/>
      <c r="BS36"/>
      <c r="BT36"/>
      <c r="BU36"/>
      <c r="BV36"/>
      <c r="BW36"/>
      <c r="BX36"/>
      <c r="BY36"/>
      <c r="BZ36"/>
      <c r="CA36"/>
      <c r="CB36"/>
    </row>
    <row r="37" spans="2:80" x14ac:dyDescent="0.2">
      <c r="B37" s="523">
        <v>2022</v>
      </c>
      <c r="C37" s="1421">
        <v>163300</v>
      </c>
      <c r="D37" s="1422">
        <v>257.33623308312247</v>
      </c>
      <c r="E37" s="1422">
        <v>9515.5028997497866</v>
      </c>
      <c r="F37" s="1422">
        <v>746184.50289974979</v>
      </c>
      <c r="G37" s="1422">
        <v>182735.66956641641</v>
      </c>
      <c r="H37" s="1423">
        <v>1000000</v>
      </c>
      <c r="I37" s="1360">
        <f t="shared" si="10"/>
        <v>0</v>
      </c>
      <c r="J37" s="524">
        <f t="shared" si="11"/>
        <v>0</v>
      </c>
      <c r="K37" s="524">
        <f t="shared" si="6"/>
        <v>0</v>
      </c>
      <c r="L37" s="524">
        <f t="shared" si="7"/>
        <v>0</v>
      </c>
      <c r="M37" s="1365">
        <f t="shared" si="7"/>
        <v>0</v>
      </c>
      <c r="N37" s="1442">
        <v>6.618661358461285</v>
      </c>
      <c r="O37" s="1443">
        <v>6.6684443795976591</v>
      </c>
      <c r="P37" s="1443">
        <v>7.1163350034027939</v>
      </c>
      <c r="Q37" s="1464">
        <v>13.701270876526285</v>
      </c>
      <c r="R37" s="1464">
        <v>8.8503649261107586</v>
      </c>
      <c r="S37" s="1465">
        <v>1</v>
      </c>
      <c r="T37" s="1445">
        <v>1</v>
      </c>
      <c r="U37" s="1446">
        <v>1</v>
      </c>
      <c r="V37" s="1446">
        <v>1</v>
      </c>
      <c r="W37" s="1446">
        <v>1</v>
      </c>
      <c r="X37" s="1446">
        <v>1</v>
      </c>
      <c r="Y37" s="1447">
        <v>1</v>
      </c>
      <c r="Z37" s="1445">
        <v>0</v>
      </c>
      <c r="AA37" s="1446">
        <v>0</v>
      </c>
      <c r="AB37" s="1446">
        <v>0</v>
      </c>
      <c r="AC37" s="1446">
        <v>483.34573117598865</v>
      </c>
      <c r="AD37" s="1446">
        <v>0</v>
      </c>
      <c r="AE37" s="1447">
        <v>0</v>
      </c>
      <c r="AF37" s="496">
        <v>7.387146020152362</v>
      </c>
      <c r="BP37">
        <f t="shared" si="12"/>
        <v>1.116108774882197</v>
      </c>
      <c r="BQ37"/>
      <c r="BR37"/>
      <c r="BS37"/>
      <c r="BT37"/>
      <c r="BU37"/>
      <c r="BV37"/>
      <c r="BW37"/>
      <c r="BX37"/>
      <c r="BY37"/>
      <c r="BZ37"/>
      <c r="CA37"/>
      <c r="CB37"/>
    </row>
    <row r="38" spans="2:80" x14ac:dyDescent="0.2">
      <c r="B38" s="523">
        <v>2023</v>
      </c>
      <c r="C38" s="1421">
        <v>162800</v>
      </c>
      <c r="D38" s="1422">
        <v>490.70348051800948</v>
      </c>
      <c r="E38" s="1422">
        <v>9316.0368138513295</v>
      </c>
      <c r="F38" s="1422">
        <v>689043.03681385121</v>
      </c>
      <c r="G38" s="1422">
        <v>168313.37014718464</v>
      </c>
      <c r="H38" s="1423">
        <v>1000000</v>
      </c>
      <c r="I38" s="1360">
        <f t="shared" si="10"/>
        <v>0</v>
      </c>
      <c r="J38" s="524">
        <f t="shared" si="11"/>
        <v>0</v>
      </c>
      <c r="K38" s="524">
        <f t="shared" ref="K38:K65" si="13">F38*K$21</f>
        <v>0</v>
      </c>
      <c r="L38" s="524">
        <f t="shared" ref="L38:L65" si="14">G38*L$21</f>
        <v>0</v>
      </c>
      <c r="M38" s="1365">
        <f t="shared" ref="M38:M65" si="15">H38*M$21</f>
        <v>0</v>
      </c>
      <c r="N38" s="1442">
        <v>6.7394727631646916</v>
      </c>
      <c r="O38" s="1443">
        <v>6.8191902701014886</v>
      </c>
      <c r="P38" s="1443">
        <v>7.2869078625014438</v>
      </c>
      <c r="Q38" s="1464">
        <v>13.914032616177685</v>
      </c>
      <c r="R38" s="1464">
        <v>9.0351619178843876</v>
      </c>
      <c r="S38" s="1465">
        <v>1</v>
      </c>
      <c r="T38" s="1445">
        <v>1</v>
      </c>
      <c r="U38" s="1446">
        <v>1</v>
      </c>
      <c r="V38" s="1446">
        <v>1</v>
      </c>
      <c r="W38" s="1446">
        <v>1</v>
      </c>
      <c r="X38" s="1446">
        <v>1</v>
      </c>
      <c r="Y38" s="1447">
        <v>1</v>
      </c>
      <c r="Z38" s="1445">
        <v>0</v>
      </c>
      <c r="AA38" s="1446">
        <v>0</v>
      </c>
      <c r="AB38" s="1446">
        <v>0</v>
      </c>
      <c r="AC38" s="1446">
        <v>488.95195872159587</v>
      </c>
      <c r="AD38" s="1446">
        <v>0</v>
      </c>
      <c r="AE38" s="1447">
        <v>0</v>
      </c>
      <c r="AF38" s="496">
        <v>7.4855391580542259</v>
      </c>
      <c r="BP38">
        <f t="shared" si="12"/>
        <v>1.1107010030468911</v>
      </c>
      <c r="BQ38"/>
      <c r="BR38"/>
      <c r="BS38"/>
      <c r="BT38"/>
      <c r="BU38"/>
      <c r="BV38"/>
      <c r="BW38"/>
      <c r="BX38"/>
      <c r="BY38"/>
      <c r="BZ38"/>
      <c r="CA38"/>
      <c r="CB38"/>
    </row>
    <row r="39" spans="2:80" x14ac:dyDescent="0.2">
      <c r="B39" s="523">
        <v>2024</v>
      </c>
      <c r="C39" s="1421">
        <v>167400</v>
      </c>
      <c r="D39" s="1422">
        <v>809.90017938357482</v>
      </c>
      <c r="E39" s="1422">
        <v>9202.4001793835487</v>
      </c>
      <c r="F39" s="1422">
        <v>631987.40017938346</v>
      </c>
      <c r="G39" s="1422">
        <v>153976.90017938352</v>
      </c>
      <c r="H39" s="1423">
        <v>1000000</v>
      </c>
      <c r="I39" s="1360">
        <f t="shared" si="10"/>
        <v>0</v>
      </c>
      <c r="J39" s="524">
        <f t="shared" si="11"/>
        <v>0</v>
      </c>
      <c r="K39" s="524">
        <f t="shared" si="13"/>
        <v>0</v>
      </c>
      <c r="L39" s="524">
        <f t="shared" si="14"/>
        <v>0</v>
      </c>
      <c r="M39" s="1365">
        <f t="shared" si="15"/>
        <v>0</v>
      </c>
      <c r="N39" s="1442">
        <v>6.8995357521942369</v>
      </c>
      <c r="O39" s="1443">
        <v>7.0253785469281151</v>
      </c>
      <c r="P39" s="1443">
        <v>7.5202152102068727</v>
      </c>
      <c r="Q39" s="1464">
        <v>14.205045368344503</v>
      </c>
      <c r="R39" s="1464">
        <v>9.2879248500558678</v>
      </c>
      <c r="S39" s="1465">
        <v>1</v>
      </c>
      <c r="T39" s="1445">
        <v>1</v>
      </c>
      <c r="U39" s="1446">
        <v>1</v>
      </c>
      <c r="V39" s="1446">
        <v>1</v>
      </c>
      <c r="W39" s="1446">
        <v>1</v>
      </c>
      <c r="X39" s="1446">
        <v>1</v>
      </c>
      <c r="Y39" s="1447">
        <v>1</v>
      </c>
      <c r="Z39" s="1445">
        <v>0</v>
      </c>
      <c r="AA39" s="1446">
        <v>0</v>
      </c>
      <c r="AB39" s="1446">
        <v>0</v>
      </c>
      <c r="AC39" s="1446">
        <v>494.5581862672031</v>
      </c>
      <c r="AD39" s="1446">
        <v>0</v>
      </c>
      <c r="AE39" s="1447">
        <v>0</v>
      </c>
      <c r="AF39" s="496">
        <v>7.6353712468712809</v>
      </c>
      <c r="BP39">
        <f t="shared" si="12"/>
        <v>1.1066500009718812</v>
      </c>
      <c r="BQ39"/>
      <c r="BR39"/>
      <c r="BS39"/>
      <c r="BT39"/>
      <c r="BU39"/>
      <c r="BV39"/>
      <c r="BW39"/>
      <c r="BX39"/>
      <c r="BY39"/>
      <c r="BZ39"/>
      <c r="CA39"/>
      <c r="CB39"/>
    </row>
    <row r="40" spans="2:80" ht="15" thickBot="1" x14ac:dyDescent="0.25">
      <c r="B40" s="525">
        <v>2025</v>
      </c>
      <c r="C40" s="1424">
        <v>167100</v>
      </c>
      <c r="D40" s="1425">
        <v>1129.09687824914</v>
      </c>
      <c r="E40" s="1425">
        <v>9088.7635449157679</v>
      </c>
      <c r="F40" s="1425">
        <v>574931.76354491571</v>
      </c>
      <c r="G40" s="1425">
        <v>139640.4302115824</v>
      </c>
      <c r="H40" s="1426">
        <v>1000000</v>
      </c>
      <c r="I40" s="1361">
        <f t="shared" si="10"/>
        <v>0</v>
      </c>
      <c r="J40" s="526">
        <f t="shared" si="11"/>
        <v>0</v>
      </c>
      <c r="K40" s="526">
        <f t="shared" si="13"/>
        <v>0</v>
      </c>
      <c r="L40" s="526">
        <f t="shared" si="14"/>
        <v>0</v>
      </c>
      <c r="M40" s="1366">
        <f t="shared" si="15"/>
        <v>0</v>
      </c>
      <c r="N40" s="1448">
        <v>7.0826454244148485</v>
      </c>
      <c r="O40" s="1449">
        <v>7.2315668237547417</v>
      </c>
      <c r="P40" s="1449">
        <v>7.7535225579123015</v>
      </c>
      <c r="Q40" s="1460">
        <v>14.496058120511323</v>
      </c>
      <c r="R40" s="1460">
        <v>9.5406877822273479</v>
      </c>
      <c r="S40" s="1461">
        <v>1</v>
      </c>
      <c r="T40" s="1451">
        <v>1</v>
      </c>
      <c r="U40" s="1452">
        <v>1</v>
      </c>
      <c r="V40" s="1452">
        <v>1</v>
      </c>
      <c r="W40" s="1452">
        <v>1</v>
      </c>
      <c r="X40" s="1452">
        <v>1</v>
      </c>
      <c r="Y40" s="1453">
        <v>1</v>
      </c>
      <c r="Z40" s="1451">
        <v>0</v>
      </c>
      <c r="AA40" s="1452">
        <v>0</v>
      </c>
      <c r="AB40" s="1452">
        <v>0</v>
      </c>
      <c r="AC40" s="1452">
        <v>500.16441381281032</v>
      </c>
      <c r="AD40" s="1452">
        <v>0</v>
      </c>
      <c r="AE40" s="1453">
        <v>0</v>
      </c>
      <c r="AF40" s="496">
        <v>7.8149715088268348</v>
      </c>
      <c r="BP40">
        <f t="shared" si="12"/>
        <v>1.1033972535018566</v>
      </c>
      <c r="BQ40"/>
      <c r="BR40"/>
      <c r="BS40"/>
      <c r="BT40"/>
      <c r="BU40"/>
      <c r="BV40"/>
      <c r="BW40"/>
      <c r="BX40"/>
      <c r="BY40"/>
      <c r="BZ40"/>
      <c r="CA40"/>
      <c r="CB40"/>
    </row>
    <row r="41" spans="2:80" x14ac:dyDescent="0.2">
      <c r="B41" s="527">
        <v>2026</v>
      </c>
      <c r="C41" s="1427">
        <v>166900</v>
      </c>
      <c r="D41" s="1428">
        <v>1362.4641256840271</v>
      </c>
      <c r="E41" s="1428">
        <v>8889.2974590173108</v>
      </c>
      <c r="F41" s="1428">
        <v>517790.29745901714</v>
      </c>
      <c r="G41" s="1428">
        <v>125218.13079235062</v>
      </c>
      <c r="H41" s="1429">
        <v>1000000</v>
      </c>
      <c r="I41" s="1359">
        <f t="shared" si="10"/>
        <v>0</v>
      </c>
      <c r="J41" s="528">
        <f t="shared" si="11"/>
        <v>0</v>
      </c>
      <c r="K41" s="528">
        <f t="shared" si="13"/>
        <v>0</v>
      </c>
      <c r="L41" s="528">
        <f t="shared" si="14"/>
        <v>0</v>
      </c>
      <c r="M41" s="1364">
        <f t="shared" si="15"/>
        <v>0</v>
      </c>
      <c r="N41" s="1454">
        <v>7.294435606504738</v>
      </c>
      <c r="O41" s="1455">
        <v>7.3823127142585712</v>
      </c>
      <c r="P41" s="1455">
        <v>7.9240954170109541</v>
      </c>
      <c r="Q41" s="1462">
        <v>14.70881986016272</v>
      </c>
      <c r="R41" s="1462">
        <v>9.7254847740009769</v>
      </c>
      <c r="S41" s="1463">
        <v>1</v>
      </c>
      <c r="T41" s="1457">
        <v>1</v>
      </c>
      <c r="U41" s="1458">
        <v>1</v>
      </c>
      <c r="V41" s="1458">
        <v>1</v>
      </c>
      <c r="W41" s="1458">
        <v>1</v>
      </c>
      <c r="X41" s="1458">
        <v>1</v>
      </c>
      <c r="Y41" s="1459">
        <v>1</v>
      </c>
      <c r="Z41" s="1457">
        <v>0</v>
      </c>
      <c r="AA41" s="1458">
        <v>0</v>
      </c>
      <c r="AB41" s="1458">
        <v>0</v>
      </c>
      <c r="AC41" s="1458">
        <v>505.77064135841755</v>
      </c>
      <c r="AD41" s="1458">
        <v>0</v>
      </c>
      <c r="AE41" s="1459">
        <v>0</v>
      </c>
      <c r="AF41" s="496">
        <v>8.0156870895877077</v>
      </c>
      <c r="BP41">
        <f t="shared" si="12"/>
        <v>1.0988769415470336</v>
      </c>
      <c r="BQ41"/>
      <c r="BR41"/>
      <c r="BS41"/>
      <c r="BT41"/>
      <c r="BU41"/>
      <c r="BV41"/>
      <c r="BW41"/>
      <c r="BX41"/>
      <c r="BY41"/>
      <c r="BZ41"/>
      <c r="CA41"/>
      <c r="CB41"/>
    </row>
    <row r="42" spans="2:80" x14ac:dyDescent="0.2">
      <c r="B42" s="523">
        <v>2027</v>
      </c>
      <c r="C42" s="1421">
        <v>169800</v>
      </c>
      <c r="D42" s="1422">
        <v>1619.8003587671496</v>
      </c>
      <c r="E42" s="1422">
        <v>8713.8003587671556</v>
      </c>
      <c r="F42" s="1422">
        <v>460672.80035876716</v>
      </c>
      <c r="G42" s="1422">
        <v>110819.80035876716</v>
      </c>
      <c r="H42" s="1423">
        <v>1000000</v>
      </c>
      <c r="I42" s="1360">
        <f t="shared" si="10"/>
        <v>0</v>
      </c>
      <c r="J42" s="524">
        <f t="shared" si="11"/>
        <v>0</v>
      </c>
      <c r="K42" s="524">
        <f t="shared" si="13"/>
        <v>0</v>
      </c>
      <c r="L42" s="524">
        <f t="shared" si="14"/>
        <v>0</v>
      </c>
      <c r="M42" s="1365">
        <f t="shared" si="15"/>
        <v>0</v>
      </c>
      <c r="N42" s="1442">
        <v>7.5037759176853553</v>
      </c>
      <c r="O42" s="1443">
        <v>7.5485416090217061</v>
      </c>
      <c r="P42" s="1443">
        <v>8.1121876943512508</v>
      </c>
      <c r="Q42" s="1464">
        <v>14.943434208268188</v>
      </c>
      <c r="R42" s="1464">
        <v>9.929262134666752</v>
      </c>
      <c r="S42" s="1465">
        <v>1</v>
      </c>
      <c r="T42" s="1445">
        <v>1</v>
      </c>
      <c r="U42" s="1446">
        <v>1</v>
      </c>
      <c r="V42" s="1446">
        <v>1</v>
      </c>
      <c r="W42" s="1446">
        <v>1</v>
      </c>
      <c r="X42" s="1446">
        <v>1</v>
      </c>
      <c r="Y42" s="1447">
        <v>1</v>
      </c>
      <c r="Z42" s="1445">
        <v>0</v>
      </c>
      <c r="AA42" s="1446">
        <v>0</v>
      </c>
      <c r="AB42" s="1446">
        <v>0</v>
      </c>
      <c r="AC42" s="1446">
        <v>511.37686890402466</v>
      </c>
      <c r="AD42" s="1446">
        <v>0</v>
      </c>
      <c r="AE42" s="1447">
        <v>0</v>
      </c>
      <c r="AF42" s="496">
        <v>8.2058097340255856</v>
      </c>
      <c r="BP42">
        <f t="shared" si="12"/>
        <v>1.0935574068364213</v>
      </c>
      <c r="BQ42"/>
      <c r="BR42"/>
      <c r="BS42"/>
      <c r="BT42"/>
      <c r="BU42"/>
      <c r="BV42"/>
      <c r="BW42"/>
      <c r="BX42"/>
      <c r="BY42"/>
      <c r="BZ42"/>
      <c r="CA42"/>
      <c r="CB42"/>
    </row>
    <row r="43" spans="2:80" x14ac:dyDescent="0.2">
      <c r="B43" s="523">
        <v>2028</v>
      </c>
      <c r="C43" s="1421">
        <v>169500</v>
      </c>
      <c r="D43" s="1422">
        <v>1915.8597325756068</v>
      </c>
      <c r="E43" s="1422">
        <v>8907.2347325755982</v>
      </c>
      <c r="F43" s="1422">
        <v>434030.1097325756</v>
      </c>
      <c r="G43" s="1422">
        <v>108817.9847325756</v>
      </c>
      <c r="H43" s="1423">
        <v>1000000</v>
      </c>
      <c r="I43" s="1360">
        <f t="shared" si="10"/>
        <v>0</v>
      </c>
      <c r="J43" s="524">
        <f t="shared" si="11"/>
        <v>0</v>
      </c>
      <c r="K43" s="524">
        <f t="shared" si="13"/>
        <v>0</v>
      </c>
      <c r="L43" s="524">
        <f t="shared" si="14"/>
        <v>0</v>
      </c>
      <c r="M43" s="1365">
        <f t="shared" si="15"/>
        <v>0</v>
      </c>
      <c r="N43" s="1442">
        <v>7.6179189540571528</v>
      </c>
      <c r="O43" s="1443">
        <v>7.6973841760217194</v>
      </c>
      <c r="P43" s="1443">
        <v>8.2884736204744751</v>
      </c>
      <c r="Q43" s="1464">
        <v>15.355608228069167</v>
      </c>
      <c r="R43" s="1464">
        <v>10.151119501597355</v>
      </c>
      <c r="S43" s="1465">
        <v>1</v>
      </c>
      <c r="T43" s="1445">
        <v>1</v>
      </c>
      <c r="U43" s="1446">
        <v>1</v>
      </c>
      <c r="V43" s="1446">
        <v>1</v>
      </c>
      <c r="W43" s="1446">
        <v>1</v>
      </c>
      <c r="X43" s="1446">
        <v>1</v>
      </c>
      <c r="Y43" s="1447">
        <v>1</v>
      </c>
      <c r="Z43" s="1445">
        <v>0</v>
      </c>
      <c r="AA43" s="1446">
        <v>0</v>
      </c>
      <c r="AB43" s="1446">
        <v>0</v>
      </c>
      <c r="AC43" s="1446">
        <v>512.31411949577057</v>
      </c>
      <c r="AD43" s="1446">
        <v>0</v>
      </c>
      <c r="AE43" s="1447">
        <v>0</v>
      </c>
      <c r="AF43" s="496">
        <v>8.3620977323245125</v>
      </c>
      <c r="BP43">
        <f t="shared" si="12"/>
        <v>1.0976879358726999</v>
      </c>
      <c r="BQ43"/>
      <c r="BR43"/>
      <c r="BS43"/>
      <c r="BT43"/>
      <c r="BU43"/>
      <c r="BV43"/>
      <c r="BW43"/>
      <c r="BX43"/>
      <c r="BY43"/>
      <c r="BZ43"/>
      <c r="CA43"/>
      <c r="CB43"/>
    </row>
    <row r="44" spans="2:80" x14ac:dyDescent="0.2">
      <c r="B44" s="523">
        <v>2029</v>
      </c>
      <c r="C44" s="1421">
        <v>169300</v>
      </c>
      <c r="D44" s="1422">
        <v>2140.2460314010395</v>
      </c>
      <c r="E44" s="1422">
        <v>9028.9960314010386</v>
      </c>
      <c r="F44" s="1422">
        <v>407315.7460314011</v>
      </c>
      <c r="G44" s="1422">
        <v>106744.49603140104</v>
      </c>
      <c r="H44" s="1423">
        <v>1000000</v>
      </c>
      <c r="I44" s="1360">
        <f t="shared" si="10"/>
        <v>0</v>
      </c>
      <c r="J44" s="524">
        <f t="shared" si="11"/>
        <v>0</v>
      </c>
      <c r="K44" s="524">
        <f t="shared" si="13"/>
        <v>0</v>
      </c>
      <c r="L44" s="524">
        <f t="shared" si="14"/>
        <v>0</v>
      </c>
      <c r="M44" s="1365">
        <f t="shared" si="15"/>
        <v>0</v>
      </c>
      <c r="N44" s="1442">
        <v>7.7555629328580205</v>
      </c>
      <c r="O44" s="1443">
        <v>7.8101934152198584</v>
      </c>
      <c r="P44" s="1443">
        <v>8.4220824503147877</v>
      </c>
      <c r="Q44" s="1464">
        <v>15.667998954244853</v>
      </c>
      <c r="R44" s="1464">
        <v>10.319267372723104</v>
      </c>
      <c r="S44" s="1465">
        <v>1</v>
      </c>
      <c r="T44" s="1445">
        <v>1</v>
      </c>
      <c r="U44" s="1446">
        <v>1</v>
      </c>
      <c r="V44" s="1446">
        <v>1</v>
      </c>
      <c r="W44" s="1446">
        <v>1</v>
      </c>
      <c r="X44" s="1446">
        <v>1</v>
      </c>
      <c r="Y44" s="1447">
        <v>1</v>
      </c>
      <c r="Z44" s="1445">
        <v>0</v>
      </c>
      <c r="AA44" s="1446">
        <v>0</v>
      </c>
      <c r="AB44" s="1446">
        <v>0</v>
      </c>
      <c r="AC44" s="1446">
        <v>513.25137008751653</v>
      </c>
      <c r="AD44" s="1446">
        <v>0</v>
      </c>
      <c r="AE44" s="1447">
        <v>0</v>
      </c>
      <c r="AF44" s="496">
        <v>8.3620977323245125</v>
      </c>
      <c r="BP44">
        <f t="shared" si="12"/>
        <v>1.078206418375742</v>
      </c>
      <c r="BQ44"/>
      <c r="BR44"/>
      <c r="BS44"/>
      <c r="BT44"/>
      <c r="BU44"/>
      <c r="BV44"/>
      <c r="BW44"/>
      <c r="BX44"/>
      <c r="BY44"/>
      <c r="BZ44"/>
      <c r="CA44"/>
      <c r="CB44"/>
    </row>
    <row r="45" spans="2:80" ht="15" thickBot="1" x14ac:dyDescent="0.25">
      <c r="B45" s="525">
        <v>2030</v>
      </c>
      <c r="C45" s="1424">
        <v>169300</v>
      </c>
      <c r="D45" s="1425">
        <v>2395.8740131392728</v>
      </c>
      <c r="E45" s="1425">
        <v>9181.9990131392842</v>
      </c>
      <c r="F45" s="1425">
        <v>380632.62401313928</v>
      </c>
      <c r="G45" s="1425">
        <v>104702.24901313928</v>
      </c>
      <c r="H45" s="1426">
        <v>1000000</v>
      </c>
      <c r="I45" s="1361">
        <f t="shared" si="10"/>
        <v>0</v>
      </c>
      <c r="J45" s="526">
        <f t="shared" si="11"/>
        <v>0</v>
      </c>
      <c r="K45" s="526">
        <f t="shared" si="13"/>
        <v>0</v>
      </c>
      <c r="L45" s="526">
        <f t="shared" si="14"/>
        <v>0</v>
      </c>
      <c r="M45" s="1366">
        <f t="shared" si="15"/>
        <v>0</v>
      </c>
      <c r="N45" s="1448">
        <v>7.8652683559393761</v>
      </c>
      <c r="O45" s="1449">
        <v>7.9387092750945314</v>
      </c>
      <c r="P45" s="1449">
        <v>8.5742938629245078</v>
      </c>
      <c r="Q45" s="1460">
        <v>16.023884368211938</v>
      </c>
      <c r="R45" s="1460">
        <v>10.510826755601892</v>
      </c>
      <c r="S45" s="1461">
        <v>1</v>
      </c>
      <c r="T45" s="1451">
        <v>1</v>
      </c>
      <c r="U45" s="1452">
        <v>1</v>
      </c>
      <c r="V45" s="1452">
        <v>1</v>
      </c>
      <c r="W45" s="1452">
        <v>1</v>
      </c>
      <c r="X45" s="1452">
        <v>1</v>
      </c>
      <c r="Y45" s="1453">
        <v>1</v>
      </c>
      <c r="Z45" s="1451">
        <v>0</v>
      </c>
      <c r="AA45" s="1452">
        <v>0</v>
      </c>
      <c r="AB45" s="1452">
        <v>0</v>
      </c>
      <c r="AC45" s="1452">
        <v>514.1886206792625</v>
      </c>
      <c r="AD45" s="1452">
        <v>0</v>
      </c>
      <c r="AE45" s="1453">
        <v>0</v>
      </c>
      <c r="AF45" s="496">
        <v>8.3620977323245125</v>
      </c>
      <c r="BP45">
        <f t="shared" si="12"/>
        <v>1.0631675047692379</v>
      </c>
      <c r="BQ45"/>
      <c r="BR45"/>
      <c r="BS45"/>
      <c r="BT45"/>
      <c r="BU45"/>
      <c r="BV45"/>
      <c r="BW45"/>
      <c r="BX45"/>
      <c r="BY45"/>
      <c r="BZ45"/>
      <c r="CA45"/>
      <c r="CB45"/>
    </row>
    <row r="46" spans="2:80" x14ac:dyDescent="0.2">
      <c r="B46" s="527">
        <v>2031</v>
      </c>
      <c r="C46" s="1427">
        <v>169300</v>
      </c>
      <c r="D46" s="1428">
        <v>2606.4962623391102</v>
      </c>
      <c r="E46" s="1428">
        <v>9289.9962623391184</v>
      </c>
      <c r="F46" s="1428">
        <v>353904.49626233912</v>
      </c>
      <c r="G46" s="1428">
        <v>102614.99626233912</v>
      </c>
      <c r="H46" s="1429">
        <v>1000000</v>
      </c>
      <c r="I46" s="1359">
        <f t="shared" si="10"/>
        <v>0</v>
      </c>
      <c r="J46" s="528">
        <f t="shared" si="11"/>
        <v>0</v>
      </c>
      <c r="K46" s="528">
        <f t="shared" si="13"/>
        <v>0</v>
      </c>
      <c r="L46" s="528">
        <f t="shared" si="14"/>
        <v>0</v>
      </c>
      <c r="M46" s="1364">
        <f t="shared" si="15"/>
        <v>0</v>
      </c>
      <c r="N46" s="1454">
        <v>7.9599764527524544</v>
      </c>
      <c r="O46" s="1455">
        <v>8.0445986979996231</v>
      </c>
      <c r="P46" s="1455">
        <v>8.6997070115937056</v>
      </c>
      <c r="Q46" s="1462">
        <v>16.31711277707964</v>
      </c>
      <c r="R46" s="1462">
        <v>10.668660290893733</v>
      </c>
      <c r="S46" s="1463">
        <v>1</v>
      </c>
      <c r="T46" s="1457">
        <v>1</v>
      </c>
      <c r="U46" s="1458">
        <v>1</v>
      </c>
      <c r="V46" s="1458">
        <v>1</v>
      </c>
      <c r="W46" s="1458">
        <v>1</v>
      </c>
      <c r="X46" s="1458">
        <v>1</v>
      </c>
      <c r="Y46" s="1459">
        <v>1</v>
      </c>
      <c r="Z46" s="1457">
        <v>0</v>
      </c>
      <c r="AA46" s="1458">
        <v>0</v>
      </c>
      <c r="AB46" s="1458">
        <v>0</v>
      </c>
      <c r="AC46" s="1458">
        <v>515.12587127100846</v>
      </c>
      <c r="AD46" s="1458">
        <v>0</v>
      </c>
      <c r="AE46" s="1459">
        <v>0</v>
      </c>
      <c r="AF46" s="496">
        <v>8.3620977323245125</v>
      </c>
      <c r="BP46">
        <f t="shared" si="12"/>
        <v>1.0505178981318481</v>
      </c>
      <c r="BQ46"/>
      <c r="BR46"/>
      <c r="BS46"/>
      <c r="BT46"/>
      <c r="BU46"/>
      <c r="BV46"/>
      <c r="BW46"/>
      <c r="BX46"/>
      <c r="BY46"/>
      <c r="BZ46"/>
      <c r="CA46"/>
      <c r="CB46"/>
    </row>
    <row r="47" spans="2:80" x14ac:dyDescent="0.2">
      <c r="B47" s="523">
        <v>2032</v>
      </c>
      <c r="C47" s="1421">
        <v>169300</v>
      </c>
      <c r="D47" s="1428">
        <v>2738.4367830923757</v>
      </c>
      <c r="E47" s="1428">
        <v>9319.3117830923875</v>
      </c>
      <c r="F47" s="1428">
        <v>327097.68678309239</v>
      </c>
      <c r="G47" s="1428">
        <v>100449.06178309239</v>
      </c>
      <c r="H47" s="1429">
        <v>1000000</v>
      </c>
      <c r="I47" s="1360">
        <f t="shared" si="10"/>
        <v>0</v>
      </c>
      <c r="J47" s="529">
        <f t="shared" si="11"/>
        <v>0</v>
      </c>
      <c r="K47" s="524">
        <f t="shared" si="13"/>
        <v>0</v>
      </c>
      <c r="L47" s="529">
        <f t="shared" si="14"/>
        <v>0</v>
      </c>
      <c r="M47" s="1365">
        <f t="shared" si="15"/>
        <v>0</v>
      </c>
      <c r="N47" s="1454">
        <v>8.0214709255018093</v>
      </c>
      <c r="O47" s="1443">
        <v>8.1109312229509865</v>
      </c>
      <c r="P47" s="1443">
        <v>8.7782698234883831</v>
      </c>
      <c r="Q47" s="1464">
        <v>16.500800441192215</v>
      </c>
      <c r="R47" s="1464">
        <v>10.767532271028065</v>
      </c>
      <c r="S47" s="1465">
        <v>1</v>
      </c>
      <c r="T47" s="1457">
        <v>1</v>
      </c>
      <c r="U47" s="1458">
        <v>1</v>
      </c>
      <c r="V47" s="1458">
        <v>1</v>
      </c>
      <c r="W47" s="1458">
        <v>1</v>
      </c>
      <c r="X47" s="1458">
        <v>1</v>
      </c>
      <c r="Y47" s="1459">
        <v>1</v>
      </c>
      <c r="Z47" s="1457">
        <v>0</v>
      </c>
      <c r="AA47" s="1458">
        <v>0</v>
      </c>
      <c r="AB47" s="1458">
        <v>0</v>
      </c>
      <c r="AC47" s="1458">
        <v>516.06312186275443</v>
      </c>
      <c r="AD47" s="1458">
        <v>0</v>
      </c>
      <c r="AE47" s="1459">
        <v>0</v>
      </c>
      <c r="AF47" s="496">
        <v>8.3620977323245125</v>
      </c>
      <c r="BP47">
        <f t="shared" si="12"/>
        <v>1.0424643821546227</v>
      </c>
      <c r="BQ47"/>
      <c r="BR47"/>
      <c r="BS47"/>
      <c r="BT47"/>
      <c r="BU47"/>
      <c r="BV47"/>
      <c r="BW47"/>
      <c r="BX47"/>
      <c r="BY47"/>
      <c r="BZ47"/>
      <c r="CA47"/>
      <c r="CB47"/>
    </row>
    <row r="48" spans="2:80" x14ac:dyDescent="0.2">
      <c r="B48" s="523">
        <v>2033</v>
      </c>
      <c r="C48" s="1421">
        <v>169300</v>
      </c>
      <c r="D48" s="1428">
        <v>2807.4565583071735</v>
      </c>
      <c r="E48" s="1428">
        <v>9285.7065583071671</v>
      </c>
      <c r="F48" s="1428">
        <v>300227.95655830717</v>
      </c>
      <c r="G48" s="1428">
        <v>98220.206558307167</v>
      </c>
      <c r="H48" s="1429">
        <v>1000000</v>
      </c>
      <c r="I48" s="1360">
        <f t="shared" si="10"/>
        <v>0</v>
      </c>
      <c r="J48" s="524">
        <f t="shared" si="11"/>
        <v>0</v>
      </c>
      <c r="K48" s="524">
        <f t="shared" si="13"/>
        <v>0</v>
      </c>
      <c r="L48" s="524">
        <f t="shared" si="14"/>
        <v>0</v>
      </c>
      <c r="M48" s="1365">
        <f t="shared" si="15"/>
        <v>0</v>
      </c>
      <c r="N48" s="1454">
        <v>8.0395269119106274</v>
      </c>
      <c r="O48" s="1443">
        <v>8.1456306157943317</v>
      </c>
      <c r="P48" s="1443">
        <v>8.8193670359766774</v>
      </c>
      <c r="Q48" s="1464">
        <v>16.596889809449976</v>
      </c>
      <c r="R48" s="1464">
        <v>10.819253469375269</v>
      </c>
      <c r="S48" s="1465">
        <v>1</v>
      </c>
      <c r="T48" s="1457">
        <v>1</v>
      </c>
      <c r="U48" s="1458">
        <v>1</v>
      </c>
      <c r="V48" s="1458">
        <v>1</v>
      </c>
      <c r="W48" s="1458">
        <v>1</v>
      </c>
      <c r="X48" s="1458">
        <v>1</v>
      </c>
      <c r="Y48" s="1459">
        <v>1</v>
      </c>
      <c r="Z48" s="1457">
        <v>0</v>
      </c>
      <c r="AA48" s="1458">
        <v>0</v>
      </c>
      <c r="AB48" s="1458">
        <v>0</v>
      </c>
      <c r="AC48" s="1458">
        <v>517.00037245450039</v>
      </c>
      <c r="AD48" s="1458">
        <v>0</v>
      </c>
      <c r="AE48" s="1459">
        <v>0</v>
      </c>
      <c r="AF48" s="496">
        <v>8.3620977323245125</v>
      </c>
      <c r="BP48">
        <f t="shared" si="12"/>
        <v>1.0401231097237815</v>
      </c>
      <c r="BQ48"/>
      <c r="BR48"/>
      <c r="BS48"/>
      <c r="BT48"/>
      <c r="BU48"/>
      <c r="BV48"/>
      <c r="BW48"/>
      <c r="BX48"/>
      <c r="BY48"/>
      <c r="BZ48"/>
      <c r="CA48"/>
      <c r="CB48"/>
    </row>
    <row r="49" spans="2:80" x14ac:dyDescent="0.2">
      <c r="B49" s="523">
        <v>2034</v>
      </c>
      <c r="C49" s="1421">
        <v>169300</v>
      </c>
      <c r="D49" s="1428">
        <v>2840.1806577630468</v>
      </c>
      <c r="E49" s="1428">
        <v>9215.8056577630341</v>
      </c>
      <c r="F49" s="1428">
        <v>273321.93065776303</v>
      </c>
      <c r="G49" s="1428">
        <v>95955.055657763034</v>
      </c>
      <c r="H49" s="1429">
        <v>1000000</v>
      </c>
      <c r="I49" s="1360">
        <f t="shared" si="10"/>
        <v>0</v>
      </c>
      <c r="J49" s="524">
        <f t="shared" si="11"/>
        <v>0</v>
      </c>
      <c r="K49" s="524">
        <f t="shared" si="13"/>
        <v>0</v>
      </c>
      <c r="L49" s="524">
        <f t="shared" si="14"/>
        <v>0</v>
      </c>
      <c r="M49" s="1365">
        <f t="shared" si="15"/>
        <v>0</v>
      </c>
      <c r="N49" s="1454">
        <v>8.0572116034836725</v>
      </c>
      <c r="O49" s="1443">
        <v>8.1620825149627976</v>
      </c>
      <c r="P49" s="1443">
        <v>8.8388523105177885</v>
      </c>
      <c r="Q49" s="1464">
        <v>16.642448318351715</v>
      </c>
      <c r="R49" s="1464">
        <v>10.843775856378469</v>
      </c>
      <c r="S49" s="1465">
        <v>1</v>
      </c>
      <c r="T49" s="1457">
        <v>1</v>
      </c>
      <c r="U49" s="1458">
        <v>1</v>
      </c>
      <c r="V49" s="1458">
        <v>1</v>
      </c>
      <c r="W49" s="1458">
        <v>1</v>
      </c>
      <c r="X49" s="1458">
        <v>1</v>
      </c>
      <c r="Y49" s="1459">
        <v>1</v>
      </c>
      <c r="Z49" s="1457">
        <v>0</v>
      </c>
      <c r="AA49" s="1458">
        <v>0</v>
      </c>
      <c r="AB49" s="1458">
        <v>0</v>
      </c>
      <c r="AC49" s="1458">
        <v>517.93762304624636</v>
      </c>
      <c r="AD49" s="1458">
        <v>0</v>
      </c>
      <c r="AE49" s="1459">
        <v>0</v>
      </c>
      <c r="AF49" s="496">
        <v>8.3620977323245125</v>
      </c>
      <c r="BP49">
        <f t="shared" si="12"/>
        <v>1.0378401541184568</v>
      </c>
      <c r="BQ49"/>
      <c r="BR49"/>
      <c r="BS49"/>
      <c r="BT49"/>
      <c r="BU49"/>
      <c r="BV49"/>
      <c r="BW49"/>
      <c r="BX49"/>
      <c r="BY49"/>
      <c r="BZ49"/>
      <c r="CA49"/>
      <c r="CB49"/>
    </row>
    <row r="50" spans="2:80" ht="15" thickBot="1" x14ac:dyDescent="0.25">
      <c r="B50" s="530">
        <v>2035</v>
      </c>
      <c r="C50" s="1430">
        <v>169300</v>
      </c>
      <c r="D50" s="1431">
        <v>2866.58647871119</v>
      </c>
      <c r="E50" s="1431">
        <v>9139.5864787111932</v>
      </c>
      <c r="F50" s="1431">
        <v>246409.58647871116</v>
      </c>
      <c r="G50" s="1431">
        <v>93683.586478711193</v>
      </c>
      <c r="H50" s="1432">
        <v>1000000</v>
      </c>
      <c r="I50" s="1362">
        <f t="shared" si="10"/>
        <v>0</v>
      </c>
      <c r="J50" s="531">
        <f t="shared" si="11"/>
        <v>0</v>
      </c>
      <c r="K50" s="531">
        <f t="shared" si="13"/>
        <v>0</v>
      </c>
      <c r="L50" s="531">
        <f t="shared" si="14"/>
        <v>0</v>
      </c>
      <c r="M50" s="1367">
        <f t="shared" si="15"/>
        <v>0</v>
      </c>
      <c r="N50" s="1466">
        <v>8.0685847555815613</v>
      </c>
      <c r="O50" s="1449">
        <v>8.1753579269962202</v>
      </c>
      <c r="P50" s="1449">
        <v>8.8545754222065227</v>
      </c>
      <c r="Q50" s="1460">
        <v>16.67921051650924</v>
      </c>
      <c r="R50" s="1460">
        <v>10.86356352880321</v>
      </c>
      <c r="S50" s="1461">
        <v>1</v>
      </c>
      <c r="T50" s="1467">
        <v>1</v>
      </c>
      <c r="U50" s="1468">
        <v>1</v>
      </c>
      <c r="V50" s="1468">
        <v>1</v>
      </c>
      <c r="W50" s="1468">
        <v>1</v>
      </c>
      <c r="X50" s="1468">
        <v>1</v>
      </c>
      <c r="Y50" s="1469">
        <v>1</v>
      </c>
      <c r="Z50" s="1467">
        <v>0</v>
      </c>
      <c r="AA50" s="1468">
        <v>0</v>
      </c>
      <c r="AB50" s="1468">
        <v>0</v>
      </c>
      <c r="AC50" s="1468">
        <v>518.87487363799198</v>
      </c>
      <c r="AD50" s="1468">
        <v>0</v>
      </c>
      <c r="AE50" s="1469">
        <v>0</v>
      </c>
      <c r="AF50" s="496">
        <v>8.3620977323245125</v>
      </c>
      <c r="BP50">
        <f t="shared" si="12"/>
        <v>1.0363772564376805</v>
      </c>
      <c r="BQ50"/>
      <c r="BR50"/>
      <c r="BS50"/>
      <c r="BT50"/>
      <c r="BU50"/>
      <c r="BV50"/>
      <c r="BW50"/>
      <c r="BX50"/>
      <c r="BY50"/>
      <c r="BZ50"/>
      <c r="CA50"/>
      <c r="CB50"/>
    </row>
    <row r="51" spans="2:80" x14ac:dyDescent="0.2">
      <c r="B51" s="532">
        <v>2036</v>
      </c>
      <c r="C51" s="1418">
        <v>169300</v>
      </c>
      <c r="D51" s="1419">
        <v>3449.553791228615</v>
      </c>
      <c r="E51" s="1419">
        <v>9566.5537912286236</v>
      </c>
      <c r="F51" s="1419">
        <v>233540.68712456198</v>
      </c>
      <c r="G51" s="1419">
        <v>89764.287124561961</v>
      </c>
      <c r="H51" s="1420">
        <v>1000000</v>
      </c>
      <c r="I51" s="1363">
        <f t="shared" si="10"/>
        <v>0</v>
      </c>
      <c r="J51" s="533">
        <f t="shared" si="11"/>
        <v>0</v>
      </c>
      <c r="K51" s="533">
        <f t="shared" si="13"/>
        <v>0</v>
      </c>
      <c r="L51" s="533">
        <f t="shared" si="14"/>
        <v>0</v>
      </c>
      <c r="M51" s="1368">
        <f t="shared" si="15"/>
        <v>0</v>
      </c>
      <c r="N51" s="1436">
        <v>8.0827348383128879</v>
      </c>
      <c r="O51" s="1437">
        <v>8.2656894200220226</v>
      </c>
      <c r="P51" s="1437">
        <v>8.997573231603015</v>
      </c>
      <c r="Q51" s="1470">
        <v>16.926966688541036</v>
      </c>
      <c r="R51" s="1470">
        <v>11.043101585310085</v>
      </c>
      <c r="S51" s="1471">
        <v>1</v>
      </c>
      <c r="T51" s="1439">
        <v>1</v>
      </c>
      <c r="U51" s="1440">
        <v>1</v>
      </c>
      <c r="V51" s="1440">
        <v>1</v>
      </c>
      <c r="W51" s="1440">
        <v>1</v>
      </c>
      <c r="X51" s="1440">
        <v>1</v>
      </c>
      <c r="Y51" s="1441">
        <v>1</v>
      </c>
      <c r="Z51" s="1439">
        <v>0</v>
      </c>
      <c r="AA51" s="1440">
        <v>0</v>
      </c>
      <c r="AB51" s="1440">
        <v>0</v>
      </c>
      <c r="AC51" s="1440">
        <v>520.71166458645655</v>
      </c>
      <c r="AD51" s="1440">
        <v>0</v>
      </c>
      <c r="AE51" s="1441">
        <v>0</v>
      </c>
      <c r="AF51" s="496">
        <v>8.3650405987967709</v>
      </c>
      <c r="BP51">
        <f t="shared" si="12"/>
        <v>1.0349270099949004</v>
      </c>
    </row>
    <row r="52" spans="2:80" x14ac:dyDescent="0.2">
      <c r="B52" s="523">
        <v>2037</v>
      </c>
      <c r="C52" s="1421">
        <v>169300</v>
      </c>
      <c r="D52" s="1422">
        <v>3805.0133195880057</v>
      </c>
      <c r="E52" s="1422">
        <v>9766.0133195880044</v>
      </c>
      <c r="F52" s="1422">
        <v>220444.27998625475</v>
      </c>
      <c r="G52" s="1422">
        <v>85617.479986254679</v>
      </c>
      <c r="H52" s="1423">
        <v>1000000</v>
      </c>
      <c r="I52" s="1360">
        <f t="shared" si="10"/>
        <v>0</v>
      </c>
      <c r="J52" s="524">
        <f t="shared" si="11"/>
        <v>0</v>
      </c>
      <c r="K52" s="524">
        <f t="shared" si="13"/>
        <v>0</v>
      </c>
      <c r="L52" s="524">
        <f t="shared" si="14"/>
        <v>0</v>
      </c>
      <c r="M52" s="1365">
        <f t="shared" si="15"/>
        <v>0</v>
      </c>
      <c r="N52" s="1442">
        <v>8.0946677445201622</v>
      </c>
      <c r="O52" s="1443">
        <v>8.3207683056087536</v>
      </c>
      <c r="P52" s="1443">
        <v>9.0847649708190676</v>
      </c>
      <c r="Q52" s="1464">
        <v>17.078033978537537</v>
      </c>
      <c r="R52" s="1464">
        <v>11.152573439937591</v>
      </c>
      <c r="S52" s="1465">
        <v>1</v>
      </c>
      <c r="T52" s="1445">
        <v>1</v>
      </c>
      <c r="U52" s="1446">
        <v>1</v>
      </c>
      <c r="V52" s="1446">
        <v>1</v>
      </c>
      <c r="W52" s="1446">
        <v>1</v>
      </c>
      <c r="X52" s="1446">
        <v>1</v>
      </c>
      <c r="Y52" s="1447">
        <v>1</v>
      </c>
      <c r="Z52" s="1445">
        <v>0</v>
      </c>
      <c r="AA52" s="1446">
        <v>0</v>
      </c>
      <c r="AB52" s="1446">
        <v>0</v>
      </c>
      <c r="AC52" s="1446">
        <v>522.54845553492112</v>
      </c>
      <c r="AD52" s="1446">
        <v>0</v>
      </c>
      <c r="AE52" s="1447">
        <v>0</v>
      </c>
      <c r="AF52" s="496">
        <v>8.3663329725739288</v>
      </c>
      <c r="BP52">
        <f t="shared" si="12"/>
        <v>1.033561010362368</v>
      </c>
    </row>
    <row r="53" spans="2:80" x14ac:dyDescent="0.2">
      <c r="B53" s="523">
        <v>2038</v>
      </c>
      <c r="C53" s="1421">
        <v>169300</v>
      </c>
      <c r="D53" s="1422">
        <v>4355.744167905732</v>
      </c>
      <c r="E53" s="1422">
        <v>10160.744167905737</v>
      </c>
      <c r="F53" s="1422">
        <v>207543.14416790579</v>
      </c>
      <c r="G53" s="1422">
        <v>81665.944167905749</v>
      </c>
      <c r="H53" s="1423">
        <v>1000000</v>
      </c>
      <c r="I53" s="1360">
        <f t="shared" si="10"/>
        <v>0</v>
      </c>
      <c r="J53" s="524">
        <f t="shared" si="11"/>
        <v>0</v>
      </c>
      <c r="K53" s="524">
        <f t="shared" si="13"/>
        <v>0</v>
      </c>
      <c r="L53" s="524">
        <f t="shared" si="14"/>
        <v>0</v>
      </c>
      <c r="M53" s="1365">
        <f t="shared" si="15"/>
        <v>0</v>
      </c>
      <c r="N53" s="1442">
        <v>8.1005862254693923</v>
      </c>
      <c r="O53" s="1443">
        <v>8.406104719359087</v>
      </c>
      <c r="P53" s="1443">
        <v>9.2198554007377318</v>
      </c>
      <c r="Q53" s="1464">
        <v>17.312089926219759</v>
      </c>
      <c r="R53" s="1464">
        <v>11.322183543355511</v>
      </c>
      <c r="S53" s="1465">
        <v>1</v>
      </c>
      <c r="T53" s="1445">
        <v>1</v>
      </c>
      <c r="U53" s="1446">
        <v>1</v>
      </c>
      <c r="V53" s="1446">
        <v>1</v>
      </c>
      <c r="W53" s="1446">
        <v>1</v>
      </c>
      <c r="X53" s="1446">
        <v>1</v>
      </c>
      <c r="Y53" s="1447">
        <v>1</v>
      </c>
      <c r="Z53" s="1445">
        <v>0</v>
      </c>
      <c r="AA53" s="1446">
        <v>0</v>
      </c>
      <c r="AB53" s="1446">
        <v>0</v>
      </c>
      <c r="AC53" s="1446">
        <v>524.38524648338569</v>
      </c>
      <c r="AD53" s="1446">
        <v>0</v>
      </c>
      <c r="AE53" s="1447">
        <v>0</v>
      </c>
      <c r="AF53" s="496">
        <v>8.3656573093164184</v>
      </c>
      <c r="BP53">
        <f t="shared" si="12"/>
        <v>1.0327224569270808</v>
      </c>
    </row>
    <row r="54" spans="2:80" x14ac:dyDescent="0.2">
      <c r="B54" s="523">
        <v>2039</v>
      </c>
      <c r="C54" s="1421">
        <v>169300</v>
      </c>
      <c r="D54" s="1422">
        <v>5178.7716970118445</v>
      </c>
      <c r="E54" s="1422">
        <v>10827.771697011834</v>
      </c>
      <c r="F54" s="1422">
        <v>194914.30503034528</v>
      </c>
      <c r="G54" s="1422">
        <v>77986.705030345183</v>
      </c>
      <c r="H54" s="1423">
        <v>1000000</v>
      </c>
      <c r="I54" s="1360">
        <f t="shared" si="10"/>
        <v>0</v>
      </c>
      <c r="J54" s="524">
        <f t="shared" si="11"/>
        <v>0</v>
      </c>
      <c r="K54" s="524">
        <f t="shared" si="13"/>
        <v>0</v>
      </c>
      <c r="L54" s="524">
        <f t="shared" si="14"/>
        <v>0</v>
      </c>
      <c r="M54" s="1365">
        <f t="shared" si="15"/>
        <v>0</v>
      </c>
      <c r="N54" s="1442">
        <v>8.1041670415640823</v>
      </c>
      <c r="O54" s="1443">
        <v>8.5336338344726723</v>
      </c>
      <c r="P54" s="1443">
        <v>9.4217383043038936</v>
      </c>
      <c r="Q54" s="1464">
        <v>17.661869657792653</v>
      </c>
      <c r="R54" s="1464">
        <v>11.575653609094317</v>
      </c>
      <c r="S54" s="1465">
        <v>1</v>
      </c>
      <c r="T54" s="1445">
        <v>1</v>
      </c>
      <c r="U54" s="1446">
        <v>1</v>
      </c>
      <c r="V54" s="1446">
        <v>1</v>
      </c>
      <c r="W54" s="1446">
        <v>1</v>
      </c>
      <c r="X54" s="1446">
        <v>1</v>
      </c>
      <c r="Y54" s="1447">
        <v>1</v>
      </c>
      <c r="Z54" s="1445">
        <v>0</v>
      </c>
      <c r="AA54" s="1446">
        <v>0</v>
      </c>
      <c r="AB54" s="1446">
        <v>0</v>
      </c>
      <c r="AC54" s="1446">
        <v>526.22203743185025</v>
      </c>
      <c r="AD54" s="1446">
        <v>0</v>
      </c>
      <c r="AE54" s="1447">
        <v>0</v>
      </c>
      <c r="AF54" s="496">
        <v>8.3655254318154437</v>
      </c>
      <c r="BP54">
        <f t="shared" si="12"/>
        <v>1.0322498769967259</v>
      </c>
    </row>
    <row r="55" spans="2:80" ht="15" thickBot="1" x14ac:dyDescent="0.25">
      <c r="B55" s="525">
        <v>2040</v>
      </c>
      <c r="C55" s="1424">
        <v>169300</v>
      </c>
      <c r="D55" s="1425">
        <v>6344.6932983699062</v>
      </c>
      <c r="E55" s="1425">
        <v>11837.693298369908</v>
      </c>
      <c r="F55" s="1425">
        <v>182628.35996503668</v>
      </c>
      <c r="G55" s="1425">
        <v>74650.359965036594</v>
      </c>
      <c r="H55" s="1426">
        <v>1000000</v>
      </c>
      <c r="I55" s="1361">
        <f t="shared" si="10"/>
        <v>0</v>
      </c>
      <c r="J55" s="526">
        <f t="shared" si="11"/>
        <v>0</v>
      </c>
      <c r="K55" s="526">
        <f t="shared" si="13"/>
        <v>0</v>
      </c>
      <c r="L55" s="526">
        <f t="shared" si="14"/>
        <v>0</v>
      </c>
      <c r="M55" s="1366">
        <f t="shared" si="15"/>
        <v>0</v>
      </c>
      <c r="N55" s="1448">
        <v>8.1043325932001693</v>
      </c>
      <c r="O55" s="1449">
        <v>8.7142948024897429</v>
      </c>
      <c r="P55" s="1449">
        <v>9.7077307284799375</v>
      </c>
      <c r="Q55" s="1460">
        <v>18.157376466903877</v>
      </c>
      <c r="R55" s="1460">
        <v>11.934725711170284</v>
      </c>
      <c r="S55" s="1461">
        <v>1</v>
      </c>
      <c r="T55" s="1451">
        <v>1</v>
      </c>
      <c r="U55" s="1452">
        <v>1</v>
      </c>
      <c r="V55" s="1452">
        <v>1</v>
      </c>
      <c r="W55" s="1452">
        <v>1</v>
      </c>
      <c r="X55" s="1452">
        <v>1</v>
      </c>
      <c r="Y55" s="1453">
        <v>1</v>
      </c>
      <c r="Z55" s="1451">
        <v>0</v>
      </c>
      <c r="AA55" s="1452">
        <v>0</v>
      </c>
      <c r="AB55" s="1452">
        <v>0</v>
      </c>
      <c r="AC55" s="1452">
        <v>528.05882838031482</v>
      </c>
      <c r="AD55" s="1452">
        <v>0</v>
      </c>
      <c r="AE55" s="1453">
        <v>0</v>
      </c>
      <c r="AF55" s="496">
        <v>8.3656160126612118</v>
      </c>
      <c r="BP55">
        <f t="shared" si="12"/>
        <v>1.0322399675058089</v>
      </c>
    </row>
    <row r="56" spans="2:80" x14ac:dyDescent="0.2">
      <c r="B56" s="532">
        <v>2041</v>
      </c>
      <c r="C56" s="1418">
        <v>169300</v>
      </c>
      <c r="D56" s="1419">
        <v>7877.1390548150921</v>
      </c>
      <c r="E56" s="1419">
        <v>13214.139054815081</v>
      </c>
      <c r="F56" s="1419">
        <v>170708.93905481527</v>
      </c>
      <c r="G56" s="1419">
        <v>71680.539054815104</v>
      </c>
      <c r="H56" s="1420">
        <v>1000000</v>
      </c>
      <c r="I56" s="1363">
        <f t="shared" si="10"/>
        <v>0</v>
      </c>
      <c r="J56" s="533">
        <f t="shared" si="11"/>
        <v>0</v>
      </c>
      <c r="K56" s="533">
        <f t="shared" si="13"/>
        <v>0</v>
      </c>
      <c r="L56" s="533">
        <f t="shared" si="14"/>
        <v>0</v>
      </c>
      <c r="M56" s="1368">
        <f t="shared" si="15"/>
        <v>0</v>
      </c>
      <c r="N56" s="1436">
        <v>8.1043630004564644</v>
      </c>
      <c r="O56" s="1455">
        <v>8.9517491334418082</v>
      </c>
      <c r="P56" s="1455">
        <v>10.083628967515526</v>
      </c>
      <c r="Q56" s="1455">
        <v>18.808652938690415</v>
      </c>
      <c r="R56" s="1455">
        <v>12.406677271586721</v>
      </c>
      <c r="S56" s="1456">
        <v>1</v>
      </c>
      <c r="T56" s="1439">
        <v>1</v>
      </c>
      <c r="U56" s="1440">
        <v>1</v>
      </c>
      <c r="V56" s="1440">
        <v>1</v>
      </c>
      <c r="W56" s="1440">
        <v>1</v>
      </c>
      <c r="X56" s="1440">
        <v>1</v>
      </c>
      <c r="Y56" s="1441">
        <v>1</v>
      </c>
      <c r="Z56" s="1439">
        <v>0</v>
      </c>
      <c r="AA56" s="1440">
        <v>0</v>
      </c>
      <c r="AB56" s="1440">
        <v>0</v>
      </c>
      <c r="AC56" s="1440">
        <v>529.89561932877939</v>
      </c>
      <c r="AD56" s="1440">
        <v>0</v>
      </c>
      <c r="AE56" s="1441">
        <v>0</v>
      </c>
      <c r="AF56" s="496">
        <v>8.3659200351098004</v>
      </c>
      <c r="BP56">
        <f t="shared" si="12"/>
        <v>1.0322736080107227</v>
      </c>
    </row>
    <row r="57" spans="2:80" x14ac:dyDescent="0.2">
      <c r="B57" s="523">
        <v>2042</v>
      </c>
      <c r="C57" s="1421">
        <v>169300</v>
      </c>
      <c r="D57" s="1422">
        <v>9704.4668056312712</v>
      </c>
      <c r="E57" s="1422">
        <v>14885.466805631266</v>
      </c>
      <c r="F57" s="1422">
        <v>159084.40013896482</v>
      </c>
      <c r="G57" s="1422">
        <v>69005.600138964626</v>
      </c>
      <c r="H57" s="1423">
        <v>1000000</v>
      </c>
      <c r="I57" s="1360">
        <f t="shared" si="10"/>
        <v>0</v>
      </c>
      <c r="J57" s="524">
        <f t="shared" si="11"/>
        <v>0</v>
      </c>
      <c r="K57" s="524">
        <f t="shared" si="13"/>
        <v>0</v>
      </c>
      <c r="L57" s="524">
        <f t="shared" si="14"/>
        <v>0</v>
      </c>
      <c r="M57" s="1365">
        <f t="shared" si="15"/>
        <v>0</v>
      </c>
      <c r="N57" s="1442">
        <v>8.1043847804208973</v>
      </c>
      <c r="O57" s="1443">
        <v>9.2348957875241897</v>
      </c>
      <c r="P57" s="1443">
        <v>10.531859699848946</v>
      </c>
      <c r="Q57" s="1443">
        <v>19.585251761417982</v>
      </c>
      <c r="R57" s="1443">
        <v>12.969444455849404</v>
      </c>
      <c r="S57" s="1444">
        <v>1</v>
      </c>
      <c r="T57" s="1445">
        <v>1</v>
      </c>
      <c r="U57" s="1446">
        <v>1</v>
      </c>
      <c r="V57" s="1446">
        <v>1</v>
      </c>
      <c r="W57" s="1446">
        <v>1</v>
      </c>
      <c r="X57" s="1446">
        <v>1</v>
      </c>
      <c r="Y57" s="1447">
        <v>1</v>
      </c>
      <c r="Z57" s="1445">
        <v>0</v>
      </c>
      <c r="AA57" s="1446">
        <v>0</v>
      </c>
      <c r="AB57" s="1446">
        <v>0</v>
      </c>
      <c r="AC57" s="1446">
        <v>531.73241027724396</v>
      </c>
      <c r="AD57" s="1446">
        <v>0</v>
      </c>
      <c r="AE57" s="1447">
        <v>0</v>
      </c>
      <c r="AF57" s="496">
        <v>8.3664082609692709</v>
      </c>
      <c r="BP57">
        <f t="shared" si="12"/>
        <v>1.0323310760344679</v>
      </c>
    </row>
    <row r="58" spans="2:80" x14ac:dyDescent="0.2">
      <c r="B58" s="523">
        <v>2043</v>
      </c>
      <c r="C58" s="1421">
        <v>169300</v>
      </c>
      <c r="D58" s="1422">
        <v>11646.598614745648</v>
      </c>
      <c r="E58" s="1422">
        <v>16671.598614745657</v>
      </c>
      <c r="F58" s="1422">
        <v>147574.66528141254</v>
      </c>
      <c r="G58" s="1422">
        <v>66445.465281412355</v>
      </c>
      <c r="H58" s="1423">
        <v>1000000</v>
      </c>
      <c r="I58" s="1360">
        <f t="shared" si="10"/>
        <v>0</v>
      </c>
      <c r="J58" s="524">
        <f t="shared" si="11"/>
        <v>0</v>
      </c>
      <c r="K58" s="524">
        <f t="shared" si="13"/>
        <v>0</v>
      </c>
      <c r="L58" s="524">
        <f t="shared" si="14"/>
        <v>0</v>
      </c>
      <c r="M58" s="1365">
        <f t="shared" si="15"/>
        <v>0</v>
      </c>
      <c r="N58" s="1442">
        <v>8.1044016873015927</v>
      </c>
      <c r="O58" s="1443">
        <v>9.535831469857083</v>
      </c>
      <c r="P58" s="1443">
        <v>11.008251065710132</v>
      </c>
      <c r="Q58" s="1443">
        <v>20.410641336914953</v>
      </c>
      <c r="R58" s="1443">
        <v>13.56756816364847</v>
      </c>
      <c r="S58" s="1444">
        <v>1</v>
      </c>
      <c r="T58" s="1445">
        <v>1</v>
      </c>
      <c r="U58" s="1446">
        <v>1</v>
      </c>
      <c r="V58" s="1446">
        <v>1</v>
      </c>
      <c r="W58" s="1446">
        <v>1</v>
      </c>
      <c r="X58" s="1446">
        <v>1</v>
      </c>
      <c r="Y58" s="1447">
        <v>1</v>
      </c>
      <c r="Z58" s="1445">
        <v>0</v>
      </c>
      <c r="AA58" s="1446">
        <v>0</v>
      </c>
      <c r="AB58" s="1446">
        <v>0</v>
      </c>
      <c r="AC58" s="1446">
        <v>533.56920122570853</v>
      </c>
      <c r="AD58" s="1446">
        <v>0</v>
      </c>
      <c r="AE58" s="1447">
        <v>0</v>
      </c>
      <c r="AF58" s="496">
        <v>8.3661803732050721</v>
      </c>
      <c r="BP58">
        <f t="shared" si="12"/>
        <v>1.0323008034403882</v>
      </c>
    </row>
    <row r="59" spans="2:80" x14ac:dyDescent="0.2">
      <c r="B59" s="523">
        <v>2044</v>
      </c>
      <c r="C59" s="1421">
        <v>169300</v>
      </c>
      <c r="D59" s="1422">
        <v>13473.926365561829</v>
      </c>
      <c r="E59" s="1422">
        <v>18342.926365561842</v>
      </c>
      <c r="F59" s="1422">
        <v>135950.12636556209</v>
      </c>
      <c r="G59" s="1422">
        <v>63770.526365561876</v>
      </c>
      <c r="H59" s="1423">
        <v>1000000</v>
      </c>
      <c r="I59" s="1360">
        <f t="shared" si="10"/>
        <v>0</v>
      </c>
      <c r="J59" s="524">
        <f t="shared" si="11"/>
        <v>0</v>
      </c>
      <c r="K59" s="524">
        <f t="shared" si="13"/>
        <v>0</v>
      </c>
      <c r="L59" s="524">
        <f t="shared" si="14"/>
        <v>0</v>
      </c>
      <c r="M59" s="1365">
        <f t="shared" si="15"/>
        <v>0</v>
      </c>
      <c r="N59" s="1442">
        <v>8.1044204062362173</v>
      </c>
      <c r="O59" s="1443">
        <v>9.8189781239394645</v>
      </c>
      <c r="P59" s="1443">
        <v>11.456481798043551</v>
      </c>
      <c r="Q59" s="1443">
        <v>21.187240159642524</v>
      </c>
      <c r="R59" s="1443">
        <v>14.130335347911153</v>
      </c>
      <c r="S59" s="1444">
        <v>1</v>
      </c>
      <c r="T59" s="1445">
        <v>1</v>
      </c>
      <c r="U59" s="1446">
        <v>1</v>
      </c>
      <c r="V59" s="1446">
        <v>1</v>
      </c>
      <c r="W59" s="1446">
        <v>1</v>
      </c>
      <c r="X59" s="1446">
        <v>1</v>
      </c>
      <c r="Y59" s="1447">
        <v>1</v>
      </c>
      <c r="Z59" s="1445">
        <v>0</v>
      </c>
      <c r="AA59" s="1446">
        <v>0</v>
      </c>
      <c r="AB59" s="1446">
        <v>0</v>
      </c>
      <c r="AC59" s="1446">
        <v>535.40599217417309</v>
      </c>
      <c r="AD59" s="1446">
        <v>0</v>
      </c>
      <c r="AE59" s="1447">
        <v>0</v>
      </c>
      <c r="AF59" s="496">
        <v>8.3657548368233083</v>
      </c>
      <c r="BP59">
        <f t="shared" si="12"/>
        <v>1.0322459124141683</v>
      </c>
    </row>
    <row r="60" spans="2:80" ht="15" thickBot="1" x14ac:dyDescent="0.25">
      <c r="B60" s="525">
        <v>2045</v>
      </c>
      <c r="C60" s="1424">
        <v>169300</v>
      </c>
      <c r="D60" s="1425">
        <v>15006.372122007013</v>
      </c>
      <c r="E60" s="1425">
        <v>19719.372122007015</v>
      </c>
      <c r="F60" s="1425">
        <v>124030.70545534056</v>
      </c>
      <c r="G60" s="1425">
        <v>60800.705455340387</v>
      </c>
      <c r="H60" s="1426">
        <v>1000000</v>
      </c>
      <c r="I60" s="1361">
        <f t="shared" si="10"/>
        <v>0</v>
      </c>
      <c r="J60" s="526">
        <f t="shared" si="11"/>
        <v>0</v>
      </c>
      <c r="K60" s="526">
        <f t="shared" si="13"/>
        <v>0</v>
      </c>
      <c r="L60" s="526">
        <f t="shared" si="14"/>
        <v>0</v>
      </c>
      <c r="M60" s="1366">
        <f t="shared" si="15"/>
        <v>0</v>
      </c>
      <c r="N60" s="1448">
        <v>8.1044311458601701</v>
      </c>
      <c r="O60" s="1449">
        <v>10.05643245489153</v>
      </c>
      <c r="P60" s="1449">
        <v>11.832380037079142</v>
      </c>
      <c r="Q60" s="1449">
        <v>21.838516631429059</v>
      </c>
      <c r="R60" s="1449">
        <v>14.602286908327589</v>
      </c>
      <c r="S60" s="1450">
        <v>1</v>
      </c>
      <c r="T60" s="1451">
        <v>1</v>
      </c>
      <c r="U60" s="1452">
        <v>1</v>
      </c>
      <c r="V60" s="1452">
        <v>1</v>
      </c>
      <c r="W60" s="1452">
        <v>1</v>
      </c>
      <c r="X60" s="1452">
        <v>1</v>
      </c>
      <c r="Y60" s="1453">
        <v>1</v>
      </c>
      <c r="Z60" s="1451">
        <v>0</v>
      </c>
      <c r="AA60" s="1452">
        <v>0</v>
      </c>
      <c r="AB60" s="1452">
        <v>0</v>
      </c>
      <c r="AC60" s="1452">
        <v>537.24278312263766</v>
      </c>
      <c r="AD60" s="1452">
        <v>0</v>
      </c>
      <c r="AE60" s="1453">
        <v>0</v>
      </c>
      <c r="AF60" s="496">
        <v>8.3652909009785148</v>
      </c>
      <c r="BP60">
        <f t="shared" si="12"/>
        <v>1.0321872998145705</v>
      </c>
    </row>
    <row r="61" spans="2:80" x14ac:dyDescent="0.2">
      <c r="B61" s="532">
        <v>2046</v>
      </c>
      <c r="C61" s="1418">
        <v>169300</v>
      </c>
      <c r="D61" s="1419">
        <v>16172.293723365065</v>
      </c>
      <c r="E61" s="1419">
        <v>20729.293723365059</v>
      </c>
      <c r="F61" s="1419">
        <v>111744.76039003197</v>
      </c>
      <c r="G61" s="1419">
        <v>57464.360390031768</v>
      </c>
      <c r="H61" s="1420">
        <v>1000000</v>
      </c>
      <c r="I61" s="1363">
        <f t="shared" si="10"/>
        <v>0</v>
      </c>
      <c r="J61" s="533">
        <f t="shared" si="11"/>
        <v>0</v>
      </c>
      <c r="K61" s="533">
        <f t="shared" si="13"/>
        <v>0</v>
      </c>
      <c r="L61" s="533">
        <f t="shared" si="14"/>
        <v>0</v>
      </c>
      <c r="M61" s="1368">
        <f t="shared" si="15"/>
        <v>0</v>
      </c>
      <c r="N61" s="1436">
        <v>8.1044333679487188</v>
      </c>
      <c r="O61" s="1437">
        <v>10.237093422908599</v>
      </c>
      <c r="P61" s="1437">
        <v>12.118372461255182</v>
      </c>
      <c r="Q61" s="1437">
        <v>22.334023440540282</v>
      </c>
      <c r="R61" s="1437">
        <v>14.961359010403559</v>
      </c>
      <c r="S61" s="1438">
        <v>1</v>
      </c>
      <c r="T61" s="1439">
        <v>1</v>
      </c>
      <c r="U61" s="1440">
        <v>1</v>
      </c>
      <c r="V61" s="1440">
        <v>1</v>
      </c>
      <c r="W61" s="1440">
        <v>1</v>
      </c>
      <c r="X61" s="1440">
        <v>1</v>
      </c>
      <c r="Y61" s="1441">
        <v>1</v>
      </c>
      <c r="Z61" s="1439">
        <v>0</v>
      </c>
      <c r="AA61" s="1440">
        <v>0</v>
      </c>
      <c r="AB61" s="1440">
        <v>0</v>
      </c>
      <c r="AC61" s="1440">
        <v>539.07957407110223</v>
      </c>
      <c r="AD61" s="1440">
        <v>0</v>
      </c>
      <c r="AE61" s="1441">
        <v>0</v>
      </c>
      <c r="AF61" s="496">
        <v>8.3647838880815932</v>
      </c>
      <c r="BP61">
        <f t="shared" si="12"/>
        <v>1.0321244568636352</v>
      </c>
    </row>
    <row r="62" spans="2:80" x14ac:dyDescent="0.2">
      <c r="B62" s="523">
        <v>2047</v>
      </c>
      <c r="C62" s="1421">
        <v>169300</v>
      </c>
      <c r="D62" s="1422">
        <v>16995.321252471189</v>
      </c>
      <c r="E62" s="1422">
        <v>21396.321252471185</v>
      </c>
      <c r="F62" s="1422">
        <v>99115.921252471424</v>
      </c>
      <c r="G62" s="1422">
        <v>53785.121252471232</v>
      </c>
      <c r="H62" s="1423">
        <v>1000000</v>
      </c>
      <c r="I62" s="1360">
        <f t="shared" si="10"/>
        <v>0</v>
      </c>
      <c r="J62" s="524">
        <f t="shared" si="11"/>
        <v>0</v>
      </c>
      <c r="K62" s="524">
        <f t="shared" si="13"/>
        <v>0</v>
      </c>
      <c r="L62" s="524">
        <f t="shared" si="14"/>
        <v>0</v>
      </c>
      <c r="M62" s="1365">
        <f t="shared" si="15"/>
        <v>0</v>
      </c>
      <c r="N62" s="1442">
        <v>8.1044320169487083</v>
      </c>
      <c r="O62" s="1443">
        <v>10.364622538022186</v>
      </c>
      <c r="P62" s="1443">
        <v>12.320255364821348</v>
      </c>
      <c r="Q62" s="1443">
        <v>22.683803172113176</v>
      </c>
      <c r="R62" s="1443">
        <v>15.214829076142365</v>
      </c>
      <c r="S62" s="1444">
        <v>1</v>
      </c>
      <c r="T62" s="1445">
        <v>1</v>
      </c>
      <c r="U62" s="1446">
        <v>1</v>
      </c>
      <c r="V62" s="1446">
        <v>1</v>
      </c>
      <c r="W62" s="1446">
        <v>1</v>
      </c>
      <c r="X62" s="1446">
        <v>1</v>
      </c>
      <c r="Y62" s="1447">
        <v>1</v>
      </c>
      <c r="Z62" s="1445">
        <v>0</v>
      </c>
      <c r="AA62" s="1446">
        <v>0</v>
      </c>
      <c r="AB62" s="1446">
        <v>0</v>
      </c>
      <c r="AC62" s="1446">
        <v>540.9163650195668</v>
      </c>
      <c r="AD62" s="1446">
        <v>0</v>
      </c>
      <c r="AE62" s="1447">
        <v>0</v>
      </c>
      <c r="AF62" s="496">
        <v>8.3642395706199331</v>
      </c>
      <c r="BP62">
        <f t="shared" si="12"/>
        <v>1.0320574659800825</v>
      </c>
    </row>
    <row r="63" spans="2:80" x14ac:dyDescent="0.2">
      <c r="B63" s="523">
        <v>2048</v>
      </c>
      <c r="C63" s="1421">
        <v>169300</v>
      </c>
      <c r="D63" s="1422">
        <v>17546.052100788915</v>
      </c>
      <c r="E63" s="1422">
        <v>21791.052100788918</v>
      </c>
      <c r="F63" s="1422">
        <v>86214.785434122488</v>
      </c>
      <c r="G63" s="1422">
        <v>49833.585434122302</v>
      </c>
      <c r="H63" s="1423">
        <v>1000000</v>
      </c>
      <c r="I63" s="1360">
        <f t="shared" si="10"/>
        <v>0</v>
      </c>
      <c r="J63" s="524">
        <f t="shared" si="11"/>
        <v>0</v>
      </c>
      <c r="K63" s="524">
        <f t="shared" si="13"/>
        <v>0</v>
      </c>
      <c r="L63" s="524">
        <f t="shared" si="14"/>
        <v>0</v>
      </c>
      <c r="M63" s="1365">
        <f t="shared" si="15"/>
        <v>0</v>
      </c>
      <c r="N63" s="1442">
        <v>8.1044267226986744</v>
      </c>
      <c r="O63" s="1443">
        <v>10.449958951772519</v>
      </c>
      <c r="P63" s="1443">
        <v>12.455345794740012</v>
      </c>
      <c r="Q63" s="1443">
        <v>22.917859119795398</v>
      </c>
      <c r="R63" s="1443">
        <v>15.384439179560285</v>
      </c>
      <c r="S63" s="1444">
        <v>1</v>
      </c>
      <c r="T63" s="1445">
        <v>1</v>
      </c>
      <c r="U63" s="1446">
        <v>1</v>
      </c>
      <c r="V63" s="1446">
        <v>1</v>
      </c>
      <c r="W63" s="1446">
        <v>1</v>
      </c>
      <c r="X63" s="1446">
        <v>1</v>
      </c>
      <c r="Y63" s="1447">
        <v>1</v>
      </c>
      <c r="Z63" s="1445">
        <v>0</v>
      </c>
      <c r="AA63" s="1446">
        <v>0</v>
      </c>
      <c r="AB63" s="1446">
        <v>0</v>
      </c>
      <c r="AC63" s="1446">
        <v>542.75315596803136</v>
      </c>
      <c r="AD63" s="1446">
        <v>0</v>
      </c>
      <c r="AE63" s="1447">
        <v>0</v>
      </c>
      <c r="AF63" s="496">
        <v>8.3636577473296541</v>
      </c>
      <c r="BP63">
        <f t="shared" si="12"/>
        <v>1.0319863493743404</v>
      </c>
    </row>
    <row r="64" spans="2:80" x14ac:dyDescent="0.2">
      <c r="B64" s="523">
        <v>2049</v>
      </c>
      <c r="C64" s="1421">
        <v>169300</v>
      </c>
      <c r="D64" s="1422">
        <v>17901.511629148295</v>
      </c>
      <c r="E64" s="1422">
        <v>21990.511629148299</v>
      </c>
      <c r="F64" s="1422">
        <v>73118.378295815201</v>
      </c>
      <c r="G64" s="1422">
        <v>45686.77829581502</v>
      </c>
      <c r="H64" s="1423">
        <v>1000000</v>
      </c>
      <c r="I64" s="1360">
        <f t="shared" si="10"/>
        <v>0</v>
      </c>
      <c r="J64" s="524">
        <f t="shared" si="11"/>
        <v>0</v>
      </c>
      <c r="K64" s="524">
        <f t="shared" si="13"/>
        <v>0</v>
      </c>
      <c r="L64" s="524">
        <f t="shared" si="14"/>
        <v>0</v>
      </c>
      <c r="M64" s="1365">
        <f t="shared" si="15"/>
        <v>0</v>
      </c>
      <c r="N64" s="1442">
        <v>8.1044227545263041</v>
      </c>
      <c r="O64" s="1443">
        <v>10.505037837359248</v>
      </c>
      <c r="P64" s="1443">
        <v>12.542537533956063</v>
      </c>
      <c r="Q64" s="1443">
        <v>23.068926409791899</v>
      </c>
      <c r="R64" s="1443">
        <v>15.493911034187787</v>
      </c>
      <c r="S64" s="1444">
        <v>1</v>
      </c>
      <c r="T64" s="1445">
        <v>1</v>
      </c>
      <c r="U64" s="1446">
        <v>1</v>
      </c>
      <c r="V64" s="1446">
        <v>1</v>
      </c>
      <c r="W64" s="1446">
        <v>1</v>
      </c>
      <c r="X64" s="1446">
        <v>1</v>
      </c>
      <c r="Y64" s="1447">
        <v>1</v>
      </c>
      <c r="Z64" s="1445">
        <v>0</v>
      </c>
      <c r="AA64" s="1446">
        <v>0</v>
      </c>
      <c r="AB64" s="1446">
        <v>0</v>
      </c>
      <c r="AC64" s="1446">
        <v>544.58994691649593</v>
      </c>
      <c r="AD64" s="1446">
        <v>0</v>
      </c>
      <c r="AE64" s="1447">
        <v>0</v>
      </c>
      <c r="AF64" s="496">
        <v>8.3630552503225122</v>
      </c>
      <c r="BP64">
        <f t="shared" si="12"/>
        <v>1.0319125129117632</v>
      </c>
    </row>
    <row r="65" spans="2:69" ht="15" thickBot="1" x14ac:dyDescent="0.25">
      <c r="B65" s="525">
        <v>2050</v>
      </c>
      <c r="C65" s="1424">
        <v>169300</v>
      </c>
      <c r="D65" s="1425">
        <v>18484.478941665719</v>
      </c>
      <c r="E65" s="1425">
        <v>22417.47894166573</v>
      </c>
      <c r="F65" s="1425">
        <v>60249.47894166573</v>
      </c>
      <c r="G65" s="1425">
        <v>41767.47894166573</v>
      </c>
      <c r="H65" s="1426">
        <v>1000000</v>
      </c>
      <c r="I65" s="1361">
        <f t="shared" si="10"/>
        <v>0</v>
      </c>
      <c r="J65" s="526">
        <f t="shared" si="11"/>
        <v>0</v>
      </c>
      <c r="K65" s="526">
        <f t="shared" si="13"/>
        <v>0</v>
      </c>
      <c r="L65" s="526">
        <f t="shared" si="14"/>
        <v>0</v>
      </c>
      <c r="M65" s="1366">
        <f t="shared" si="15"/>
        <v>0</v>
      </c>
      <c r="N65" s="1448">
        <v>8.1044081378346959</v>
      </c>
      <c r="O65" s="1449">
        <v>10.595369330385051</v>
      </c>
      <c r="P65" s="1449">
        <v>12.685535343352553</v>
      </c>
      <c r="Q65" s="1460">
        <v>23.316682581823692</v>
      </c>
      <c r="R65" s="1460">
        <v>15.673449090694662</v>
      </c>
      <c r="S65" s="1461">
        <v>1</v>
      </c>
      <c r="T65" s="1451">
        <v>1</v>
      </c>
      <c r="U65" s="1452">
        <v>1</v>
      </c>
      <c r="V65" s="1452">
        <v>1</v>
      </c>
      <c r="W65" s="1452">
        <v>1</v>
      </c>
      <c r="X65" s="1452">
        <v>1</v>
      </c>
      <c r="Y65" s="1453">
        <v>1</v>
      </c>
      <c r="Z65" s="1451">
        <v>0</v>
      </c>
      <c r="AA65" s="1452">
        <v>0</v>
      </c>
      <c r="AB65" s="1452">
        <v>0</v>
      </c>
      <c r="AC65" s="1452">
        <v>546.42673786496016</v>
      </c>
      <c r="AD65" s="1452">
        <v>0</v>
      </c>
      <c r="AE65" s="1453">
        <v>0</v>
      </c>
      <c r="AF65" s="496">
        <v>8.3627706611109911</v>
      </c>
      <c r="BP65">
        <f t="shared" si="12"/>
        <v>1.0318792586555647</v>
      </c>
      <c r="BQ65" s="496">
        <f>O65/N65</f>
        <v>1.307358804021916</v>
      </c>
    </row>
    <row r="66" spans="2:69" ht="15" thickBot="1" x14ac:dyDescent="0.25">
      <c r="C66" s="497"/>
      <c r="D66" s="497"/>
      <c r="F66" s="497"/>
    </row>
    <row r="67" spans="2:69" ht="15" thickBot="1" x14ac:dyDescent="0.25">
      <c r="B67" s="1472"/>
      <c r="C67" s="537" t="s">
        <v>202</v>
      </c>
      <c r="D67" s="497"/>
      <c r="F67" s="497"/>
    </row>
    <row r="68" spans="2:69" x14ac:dyDescent="0.2">
      <c r="F68" s="534"/>
      <c r="G68" s="535"/>
      <c r="H68" s="534"/>
      <c r="I68" s="534"/>
      <c r="J68" s="534"/>
      <c r="K68" s="534"/>
      <c r="L68" s="534"/>
      <c r="M68" s="534"/>
      <c r="N68" s="534"/>
      <c r="O68" s="1288"/>
      <c r="P68" s="1288"/>
      <c r="Q68" s="1288"/>
      <c r="R68" s="1288"/>
      <c r="S68" s="1288"/>
    </row>
    <row r="69" spans="2:69" x14ac:dyDescent="0.2">
      <c r="D69" s="537"/>
      <c r="F69" s="534"/>
      <c r="G69" s="535"/>
      <c r="H69" s="534"/>
      <c r="I69" s="534"/>
      <c r="J69" s="534"/>
      <c r="K69" s="534"/>
      <c r="L69" s="534"/>
      <c r="M69" s="534"/>
      <c r="N69" s="534"/>
      <c r="O69" s="1288"/>
      <c r="P69" s="1288"/>
      <c r="Q69" s="1288"/>
      <c r="R69" s="1288"/>
      <c r="S69" s="1288"/>
    </row>
    <row r="70" spans="2:69" x14ac:dyDescent="0.2">
      <c r="B70" s="538"/>
      <c r="F70" s="534"/>
      <c r="G70" s="535"/>
      <c r="H70" s="534"/>
      <c r="I70" s="534"/>
      <c r="J70" s="534"/>
      <c r="K70" s="534"/>
      <c r="L70" s="534"/>
      <c r="M70" s="534"/>
      <c r="N70" s="534"/>
      <c r="O70" s="1288"/>
      <c r="P70" s="1288"/>
      <c r="Q70" s="1288"/>
      <c r="R70" s="1288"/>
      <c r="S70" s="1288"/>
    </row>
    <row r="71" spans="2:69" x14ac:dyDescent="0.2">
      <c r="B71" s="538"/>
      <c r="C71" s="538"/>
      <c r="D71" s="538"/>
      <c r="F71" s="534"/>
      <c r="G71" s="535"/>
      <c r="H71" s="534"/>
      <c r="I71" s="534"/>
      <c r="J71" s="534"/>
      <c r="K71" s="534"/>
      <c r="L71" s="534"/>
      <c r="M71" s="534"/>
      <c r="N71" s="534"/>
      <c r="O71" s="1288"/>
      <c r="P71" s="1288"/>
      <c r="Q71" s="1288"/>
      <c r="R71" s="1288"/>
      <c r="S71" s="1288"/>
    </row>
    <row r="72" spans="2:69" x14ac:dyDescent="0.2">
      <c r="F72" s="534"/>
      <c r="G72" s="535"/>
      <c r="H72" s="534"/>
      <c r="I72" s="534"/>
      <c r="J72" s="534"/>
      <c r="K72" s="534"/>
      <c r="L72" s="534"/>
      <c r="M72" s="534"/>
      <c r="N72" s="534"/>
      <c r="O72" s="1288"/>
      <c r="P72" s="1288"/>
      <c r="Q72" s="1288"/>
      <c r="R72" s="1288"/>
      <c r="S72" s="1288"/>
    </row>
    <row r="73" spans="2:69" x14ac:dyDescent="0.2">
      <c r="F73" s="534"/>
      <c r="G73" s="535"/>
      <c r="H73" s="534"/>
      <c r="I73" s="534"/>
      <c r="J73" s="534"/>
      <c r="K73" s="534"/>
      <c r="L73" s="534"/>
      <c r="M73" s="534"/>
      <c r="N73" s="534"/>
      <c r="O73" s="1288"/>
      <c r="P73" s="1288"/>
      <c r="Q73" s="1288"/>
      <c r="R73" s="1288"/>
      <c r="S73" s="1288"/>
    </row>
    <row r="74" spans="2:69" x14ac:dyDescent="0.2">
      <c r="F74" s="534"/>
      <c r="G74" s="535"/>
      <c r="H74" s="534"/>
      <c r="I74" s="534"/>
      <c r="J74" s="534"/>
      <c r="K74" s="534"/>
      <c r="L74" s="534"/>
      <c r="M74" s="534"/>
      <c r="N74" s="534"/>
      <c r="O74" s="1288"/>
      <c r="P74" s="1288"/>
      <c r="Q74" s="1288"/>
      <c r="R74" s="1288"/>
      <c r="S74" s="1288"/>
    </row>
    <row r="75" spans="2:69" x14ac:dyDescent="0.2">
      <c r="F75" s="534"/>
      <c r="G75" s="535"/>
      <c r="H75" s="534"/>
      <c r="I75" s="534"/>
      <c r="J75" s="534"/>
      <c r="K75" s="534"/>
      <c r="L75" s="534"/>
      <c r="M75" s="534"/>
      <c r="N75" s="534"/>
      <c r="O75" s="1288"/>
      <c r="P75" s="1288"/>
      <c r="Q75" s="1288"/>
      <c r="R75" s="1288"/>
      <c r="S75" s="1288"/>
    </row>
    <row r="76" spans="2:69" x14ac:dyDescent="0.2">
      <c r="F76" s="534"/>
      <c r="G76" s="535"/>
      <c r="H76" s="534"/>
      <c r="I76" s="534"/>
      <c r="J76" s="534"/>
      <c r="K76" s="534"/>
      <c r="L76" s="534"/>
      <c r="M76" s="534"/>
      <c r="N76" s="534"/>
      <c r="O76" s="1288"/>
      <c r="P76" s="1288"/>
      <c r="Q76" s="1288"/>
      <c r="R76" s="1288"/>
      <c r="S76" s="1288"/>
    </row>
    <row r="77" spans="2:69" x14ac:dyDescent="0.2">
      <c r="F77" s="534"/>
      <c r="G77" s="535"/>
      <c r="H77" s="534"/>
      <c r="I77" s="534"/>
      <c r="J77" s="534"/>
      <c r="K77" s="534"/>
      <c r="L77" s="534"/>
      <c r="M77" s="534"/>
      <c r="N77" s="534"/>
      <c r="O77" s="1288"/>
      <c r="P77" s="1288"/>
      <c r="Q77" s="1288"/>
      <c r="R77" s="1288"/>
      <c r="S77" s="1288"/>
    </row>
    <row r="78" spans="2:69" x14ac:dyDescent="0.2">
      <c r="F78" s="534"/>
      <c r="G78" s="535"/>
      <c r="H78" s="534"/>
      <c r="I78" s="534"/>
      <c r="J78" s="534"/>
      <c r="K78" s="534"/>
      <c r="L78" s="534"/>
      <c r="M78" s="534"/>
      <c r="N78" s="534"/>
      <c r="O78" s="1288"/>
      <c r="P78" s="1288"/>
      <c r="Q78" s="1288"/>
      <c r="R78" s="1288"/>
      <c r="S78" s="1288"/>
    </row>
    <row r="79" spans="2:69" x14ac:dyDescent="0.2">
      <c r="F79" s="534"/>
      <c r="G79" s="535"/>
      <c r="H79" s="534"/>
      <c r="I79" s="534"/>
      <c r="J79" s="534"/>
      <c r="K79" s="534"/>
      <c r="L79" s="534"/>
      <c r="M79" s="534"/>
      <c r="N79" s="534"/>
      <c r="O79" s="1288"/>
      <c r="P79" s="1288"/>
      <c r="Q79" s="1288"/>
      <c r="R79" s="1288"/>
      <c r="S79" s="1288"/>
    </row>
    <row r="80" spans="2:69" x14ac:dyDescent="0.2">
      <c r="F80" s="534"/>
      <c r="G80" s="535"/>
      <c r="H80" s="534"/>
      <c r="I80" s="534"/>
      <c r="J80" s="534"/>
      <c r="K80" s="534"/>
      <c r="L80" s="534"/>
      <c r="M80" s="534"/>
      <c r="N80" s="534"/>
      <c r="O80" s="1288"/>
      <c r="P80" s="1288"/>
      <c r="Q80" s="1288"/>
      <c r="R80" s="1288"/>
      <c r="S80" s="1288"/>
    </row>
    <row r="81" spans="6:19" x14ac:dyDescent="0.2">
      <c r="F81" s="534"/>
      <c r="G81" s="535"/>
      <c r="H81" s="534"/>
      <c r="I81" s="534"/>
      <c r="J81" s="534"/>
      <c r="K81" s="534"/>
      <c r="L81" s="534"/>
      <c r="M81" s="534"/>
      <c r="N81" s="534"/>
      <c r="O81" s="1288"/>
      <c r="P81" s="1288"/>
      <c r="Q81" s="1288"/>
      <c r="R81" s="1288"/>
      <c r="S81" s="1288"/>
    </row>
    <row r="82" spans="6:19" x14ac:dyDescent="0.2">
      <c r="F82" s="534"/>
      <c r="G82" s="535"/>
      <c r="H82" s="534"/>
      <c r="I82" s="534"/>
      <c r="J82" s="534"/>
      <c r="K82" s="534"/>
      <c r="L82" s="534"/>
      <c r="M82" s="534"/>
      <c r="N82" s="534"/>
      <c r="O82" s="1288"/>
      <c r="P82" s="1288"/>
      <c r="Q82" s="1288"/>
      <c r="R82" s="1288"/>
      <c r="S82" s="1288"/>
    </row>
    <row r="83" spans="6:19" x14ac:dyDescent="0.2">
      <c r="F83" s="534"/>
      <c r="G83" s="535"/>
      <c r="H83" s="534"/>
      <c r="I83" s="534"/>
      <c r="J83" s="534"/>
      <c r="K83" s="534"/>
      <c r="L83" s="534"/>
      <c r="M83" s="534"/>
      <c r="N83" s="534"/>
      <c r="O83" s="1288"/>
      <c r="P83" s="1288"/>
      <c r="Q83" s="1288"/>
      <c r="R83" s="1288"/>
      <c r="S83" s="1288"/>
    </row>
    <row r="84" spans="6:19" x14ac:dyDescent="0.2">
      <c r="F84" s="534"/>
      <c r="G84" s="535"/>
      <c r="H84" s="534"/>
      <c r="I84" s="534"/>
      <c r="J84" s="534"/>
      <c r="K84" s="534"/>
      <c r="L84" s="534"/>
      <c r="M84" s="534"/>
      <c r="N84" s="534"/>
      <c r="O84" s="1288"/>
      <c r="P84" s="1288"/>
      <c r="Q84" s="1288"/>
      <c r="R84" s="1288"/>
      <c r="S84" s="1288"/>
    </row>
    <row r="85" spans="6:19" x14ac:dyDescent="0.2">
      <c r="F85" s="534"/>
      <c r="G85" s="535"/>
      <c r="H85" s="534"/>
      <c r="I85" s="534"/>
      <c r="J85" s="534"/>
      <c r="K85" s="534"/>
      <c r="L85" s="534"/>
      <c r="M85" s="534"/>
      <c r="N85" s="534"/>
      <c r="O85" s="1288"/>
      <c r="P85" s="1288"/>
      <c r="Q85" s="1288"/>
      <c r="R85" s="1288"/>
      <c r="S85" s="1288"/>
    </row>
    <row r="86" spans="6:19" x14ac:dyDescent="0.2">
      <c r="F86" s="534"/>
      <c r="G86" s="535"/>
      <c r="H86" s="534"/>
      <c r="I86" s="534"/>
      <c r="J86" s="534"/>
      <c r="K86" s="534"/>
      <c r="L86" s="534"/>
      <c r="M86" s="534"/>
      <c r="N86" s="534"/>
      <c r="O86" s="1288"/>
      <c r="P86" s="1288"/>
      <c r="Q86" s="1288"/>
      <c r="R86" s="1288"/>
      <c r="S86" s="1288"/>
    </row>
    <row r="87" spans="6:19" x14ac:dyDescent="0.2">
      <c r="F87" s="534"/>
      <c r="G87" s="535"/>
      <c r="H87" s="534"/>
      <c r="I87" s="534"/>
      <c r="J87" s="534"/>
      <c r="K87" s="534"/>
      <c r="L87" s="534"/>
      <c r="M87" s="534"/>
      <c r="N87" s="534"/>
      <c r="O87" s="1288"/>
      <c r="P87" s="1288"/>
      <c r="Q87" s="1288"/>
      <c r="R87" s="1288"/>
      <c r="S87" s="1288"/>
    </row>
    <row r="88" spans="6:19" x14ac:dyDescent="0.2">
      <c r="F88" s="534"/>
      <c r="G88" s="535"/>
      <c r="H88" s="534"/>
      <c r="I88" s="534"/>
      <c r="J88" s="534"/>
      <c r="K88" s="534"/>
      <c r="L88" s="534"/>
      <c r="M88" s="534"/>
      <c r="N88" s="534"/>
      <c r="O88" s="1288"/>
      <c r="P88" s="1288"/>
      <c r="Q88" s="1288"/>
      <c r="R88" s="1288"/>
      <c r="S88" s="1288"/>
    </row>
    <row r="89" spans="6:19" x14ac:dyDescent="0.2">
      <c r="F89" s="534"/>
      <c r="G89" s="535"/>
      <c r="H89" s="534"/>
      <c r="I89" s="534"/>
      <c r="J89" s="534"/>
      <c r="K89" s="534"/>
      <c r="L89" s="534"/>
      <c r="M89" s="534"/>
      <c r="N89" s="534"/>
      <c r="O89" s="1288"/>
      <c r="P89" s="1288"/>
      <c r="Q89" s="1288"/>
      <c r="R89" s="1288"/>
      <c r="S89" s="1288"/>
    </row>
    <row r="90" spans="6:19" x14ac:dyDescent="0.2">
      <c r="F90" s="534"/>
      <c r="G90" s="535"/>
      <c r="H90" s="534"/>
      <c r="I90" s="534"/>
      <c r="J90" s="534"/>
      <c r="K90" s="534"/>
      <c r="L90" s="534"/>
      <c r="M90" s="534"/>
      <c r="N90" s="534"/>
      <c r="O90" s="1288"/>
      <c r="P90" s="1288"/>
      <c r="Q90" s="1288"/>
      <c r="R90" s="1288"/>
      <c r="S90" s="1288"/>
    </row>
    <row r="91" spans="6:19" x14ac:dyDescent="0.2">
      <c r="F91" s="534"/>
      <c r="G91" s="535"/>
      <c r="H91" s="534"/>
      <c r="I91" s="534"/>
      <c r="J91" s="534"/>
      <c r="K91" s="534"/>
      <c r="L91" s="534"/>
      <c r="M91" s="534"/>
      <c r="N91" s="534"/>
      <c r="O91" s="1288"/>
      <c r="P91" s="1288"/>
      <c r="Q91" s="1288"/>
      <c r="R91" s="1288"/>
      <c r="S91" s="1288"/>
    </row>
    <row r="92" spans="6:19" x14ac:dyDescent="0.2">
      <c r="F92" s="534"/>
      <c r="G92" s="535"/>
      <c r="H92" s="534"/>
      <c r="I92" s="534"/>
      <c r="J92" s="534"/>
      <c r="K92" s="534"/>
      <c r="L92" s="534"/>
      <c r="M92" s="534"/>
      <c r="N92" s="534"/>
      <c r="O92" s="1288"/>
      <c r="P92" s="1288"/>
      <c r="Q92" s="1288"/>
      <c r="R92" s="1288"/>
      <c r="S92" s="1288"/>
    </row>
    <row r="93" spans="6:19" x14ac:dyDescent="0.2">
      <c r="F93" s="534"/>
      <c r="G93" s="535"/>
      <c r="H93" s="534"/>
      <c r="I93" s="534"/>
      <c r="J93" s="534"/>
      <c r="K93" s="534"/>
      <c r="L93" s="534"/>
      <c r="M93" s="534"/>
      <c r="N93" s="534"/>
      <c r="O93" s="1288"/>
      <c r="P93" s="1288"/>
      <c r="Q93" s="1288"/>
      <c r="R93" s="1288"/>
      <c r="S93" s="1288"/>
    </row>
    <row r="94" spans="6:19" x14ac:dyDescent="0.2">
      <c r="F94" s="534"/>
      <c r="G94" s="535"/>
      <c r="H94" s="534"/>
      <c r="I94" s="534"/>
      <c r="J94" s="534"/>
      <c r="K94" s="534"/>
      <c r="L94" s="534"/>
      <c r="M94" s="534"/>
      <c r="N94" s="534"/>
      <c r="O94" s="1288"/>
      <c r="P94" s="1288"/>
      <c r="Q94" s="1288"/>
      <c r="R94" s="1288"/>
      <c r="S94" s="1288"/>
    </row>
    <row r="95" spans="6:19" x14ac:dyDescent="0.2">
      <c r="F95" s="534"/>
      <c r="G95" s="535"/>
      <c r="H95" s="534"/>
      <c r="I95" s="534"/>
      <c r="J95" s="534"/>
      <c r="K95" s="534"/>
      <c r="L95" s="534"/>
      <c r="M95" s="534"/>
      <c r="N95" s="534"/>
      <c r="O95" s="1288"/>
      <c r="P95" s="1288"/>
      <c r="Q95" s="1288"/>
      <c r="R95" s="1288"/>
      <c r="S95" s="1288"/>
    </row>
    <row r="96" spans="6:19" x14ac:dyDescent="0.2">
      <c r="F96" s="534"/>
      <c r="G96" s="535"/>
      <c r="H96" s="534"/>
      <c r="I96" s="534"/>
      <c r="J96" s="534"/>
      <c r="K96" s="534"/>
      <c r="L96" s="534"/>
      <c r="M96" s="534"/>
      <c r="N96" s="534"/>
      <c r="O96" s="1288"/>
      <c r="P96" s="1288"/>
      <c r="Q96" s="1288"/>
      <c r="R96" s="1288"/>
      <c r="S96" s="1288"/>
    </row>
    <row r="97" spans="6:19" x14ac:dyDescent="0.2">
      <c r="F97" s="534"/>
      <c r="G97" s="535"/>
      <c r="H97" s="534"/>
      <c r="I97" s="534"/>
      <c r="J97" s="534"/>
      <c r="K97" s="534"/>
      <c r="L97" s="534"/>
      <c r="M97" s="534"/>
      <c r="N97" s="534"/>
      <c r="O97" s="1288"/>
      <c r="P97" s="1288"/>
      <c r="Q97" s="1288"/>
      <c r="R97" s="1288"/>
      <c r="S97" s="1288"/>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zoomScaleNormal="100" workbookViewId="0">
      <selection activeCell="AA21" sqref="AA21:AE21"/>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6" t="s">
        <v>228</v>
      </c>
      <c r="E3" s="1381">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4"/>
      <c r="I6" s="715"/>
      <c r="J6" s="1538" t="s">
        <v>76</v>
      </c>
      <c r="K6" s="1539"/>
      <c r="L6" s="1540" t="s">
        <v>83</v>
      </c>
      <c r="M6" s="1541"/>
      <c r="N6" s="1540" t="s">
        <v>109</v>
      </c>
      <c r="O6" s="1541"/>
      <c r="P6"/>
      <c r="R6" s="3"/>
    </row>
    <row r="7" spans="1:27" ht="27" customHeight="1" thickBot="1" x14ac:dyDescent="0.25">
      <c r="B7" s="41"/>
      <c r="C7" s="719" t="s">
        <v>75</v>
      </c>
      <c r="D7" s="717"/>
      <c r="E7" s="718"/>
      <c r="F7" s="42" t="s">
        <v>211</v>
      </c>
      <c r="G7" s="42" t="s">
        <v>210</v>
      </c>
      <c r="H7" s="835" t="s">
        <v>264</v>
      </c>
      <c r="I7" s="716" t="s">
        <v>81</v>
      </c>
      <c r="J7" s="606" t="s">
        <v>283</v>
      </c>
      <c r="K7" s="607" t="s">
        <v>284</v>
      </c>
      <c r="L7" s="43" t="s">
        <v>113</v>
      </c>
      <c r="M7" s="44" t="s">
        <v>84</v>
      </c>
      <c r="N7" s="45" t="s">
        <v>95</v>
      </c>
      <c r="O7" s="46" t="s">
        <v>112</v>
      </c>
      <c r="P7"/>
    </row>
    <row r="8" spans="1:27" ht="15" thickTop="1" x14ac:dyDescent="0.2">
      <c r="B8" s="217" t="s">
        <v>69</v>
      </c>
      <c r="C8" s="1473" t="s">
        <v>183</v>
      </c>
      <c r="D8" s="1474"/>
      <c r="E8" s="1475"/>
      <c r="F8" s="1476" t="s">
        <v>5</v>
      </c>
      <c r="G8" s="1476" t="s">
        <v>229</v>
      </c>
      <c r="H8" s="894" t="b">
        <f>IF(AND(F8="Electricity",G8="N/A"),TRUE,FALSE)</f>
        <v>0</v>
      </c>
      <c r="I8" s="220"/>
      <c r="J8" s="221"/>
      <c r="K8" s="222"/>
      <c r="L8" s="223"/>
      <c r="M8" s="224"/>
      <c r="N8" s="1505">
        <v>0</v>
      </c>
      <c r="O8" s="1506">
        <v>350</v>
      </c>
    </row>
    <row r="9" spans="1:27" x14ac:dyDescent="0.2">
      <c r="B9" s="218" t="s">
        <v>65</v>
      </c>
      <c r="C9" s="1477" t="s">
        <v>329</v>
      </c>
      <c r="D9" s="1478"/>
      <c r="E9" s="1479"/>
      <c r="F9" s="1480" t="s">
        <v>5</v>
      </c>
      <c r="G9" s="1480" t="s">
        <v>229</v>
      </c>
      <c r="H9" s="895" t="b">
        <f t="shared" ref="H9:H13" si="0">IF(AND(F9="Electricity",G9="N/A"),TRUE,FALSE)</f>
        <v>0</v>
      </c>
      <c r="I9" s="1397">
        <v>2020</v>
      </c>
      <c r="J9" s="1489">
        <v>0</v>
      </c>
      <c r="K9" s="1490">
        <v>0.5</v>
      </c>
      <c r="L9" s="1491">
        <v>5000</v>
      </c>
      <c r="M9" s="1492">
        <v>100</v>
      </c>
      <c r="N9" s="1493">
        <v>0</v>
      </c>
      <c r="O9" s="1494">
        <v>350</v>
      </c>
    </row>
    <row r="10" spans="1:27" x14ac:dyDescent="0.2">
      <c r="B10" s="218" t="s">
        <v>66</v>
      </c>
      <c r="C10" s="1477" t="s">
        <v>321</v>
      </c>
      <c r="D10" s="1478"/>
      <c r="E10" s="1479"/>
      <c r="F10" s="1480" t="s">
        <v>5</v>
      </c>
      <c r="G10" s="1480" t="s">
        <v>229</v>
      </c>
      <c r="H10" s="895" t="b">
        <f t="shared" si="0"/>
        <v>0</v>
      </c>
      <c r="I10" s="1397">
        <v>2020</v>
      </c>
      <c r="J10" s="1489">
        <v>0</v>
      </c>
      <c r="K10" s="1490">
        <v>0.5</v>
      </c>
      <c r="L10" s="1491">
        <v>5000</v>
      </c>
      <c r="M10" s="1492">
        <v>100</v>
      </c>
      <c r="N10" s="1493">
        <v>0</v>
      </c>
      <c r="O10" s="1494">
        <v>350</v>
      </c>
    </row>
    <row r="11" spans="1:27" x14ac:dyDescent="0.2">
      <c r="B11" s="543" t="s">
        <v>67</v>
      </c>
      <c r="C11" s="1481" t="s">
        <v>323</v>
      </c>
      <c r="D11" s="1482"/>
      <c r="E11" s="1483"/>
      <c r="F11" s="1484" t="s">
        <v>5</v>
      </c>
      <c r="G11" s="1484" t="s">
        <v>6</v>
      </c>
      <c r="H11" s="896" t="b">
        <f t="shared" si="0"/>
        <v>0</v>
      </c>
      <c r="I11" s="1397">
        <v>2020</v>
      </c>
      <c r="J11" s="1495">
        <v>0</v>
      </c>
      <c r="K11" s="1490">
        <v>0.5</v>
      </c>
      <c r="L11" s="1496">
        <v>5000</v>
      </c>
      <c r="M11" s="1497">
        <v>100</v>
      </c>
      <c r="N11" s="1498">
        <v>0</v>
      </c>
      <c r="O11" s="1499">
        <v>350</v>
      </c>
    </row>
    <row r="12" spans="1:27" x14ac:dyDescent="0.2">
      <c r="B12" s="543" t="s">
        <v>205</v>
      </c>
      <c r="C12" s="1481" t="s">
        <v>324</v>
      </c>
      <c r="D12" s="1482"/>
      <c r="E12" s="1483"/>
      <c r="F12" s="1484" t="s">
        <v>6</v>
      </c>
      <c r="G12" s="1484" t="s">
        <v>229</v>
      </c>
      <c r="H12" s="896" t="b">
        <f t="shared" si="0"/>
        <v>1</v>
      </c>
      <c r="I12" s="1397">
        <v>2020</v>
      </c>
      <c r="J12" s="1495">
        <v>0</v>
      </c>
      <c r="K12" s="1490">
        <v>0.5</v>
      </c>
      <c r="L12" s="1496">
        <v>5000</v>
      </c>
      <c r="M12" s="1497">
        <v>100</v>
      </c>
      <c r="N12" s="1498">
        <v>0</v>
      </c>
      <c r="O12" s="1499">
        <v>350</v>
      </c>
    </row>
    <row r="13" spans="1:27" ht="15" thickBot="1" x14ac:dyDescent="0.25">
      <c r="B13" s="219" t="s">
        <v>206</v>
      </c>
      <c r="C13" s="1485" t="s">
        <v>326</v>
      </c>
      <c r="D13" s="1486"/>
      <c r="E13" s="1487"/>
      <c r="F13" s="1488" t="s">
        <v>207</v>
      </c>
      <c r="G13" s="1488" t="s">
        <v>229</v>
      </c>
      <c r="H13" s="897" t="b">
        <f t="shared" si="0"/>
        <v>0</v>
      </c>
      <c r="I13" s="1409">
        <v>2020</v>
      </c>
      <c r="J13" s="1500">
        <v>0</v>
      </c>
      <c r="K13" s="1490">
        <v>0.5</v>
      </c>
      <c r="L13" s="1501">
        <v>5000</v>
      </c>
      <c r="M13" s="1502">
        <v>100</v>
      </c>
      <c r="N13" s="1503">
        <v>0</v>
      </c>
      <c r="O13" s="1504">
        <v>350</v>
      </c>
    </row>
    <row r="14" spans="1:27" ht="16" x14ac:dyDescent="0.2">
      <c r="B14" s="12"/>
      <c r="C14" s="496" t="s">
        <v>265</v>
      </c>
      <c r="D14" s="1"/>
      <c r="F14" s="1"/>
    </row>
    <row r="15" spans="1:27" ht="16" thickBot="1" x14ac:dyDescent="0.25">
      <c r="B15" s="47" t="s">
        <v>119</v>
      </c>
      <c r="C15" s="4"/>
      <c r="D15" s="4"/>
      <c r="G15" s="5"/>
      <c r="H15" s="6"/>
      <c r="I15" s="1542"/>
      <c r="J15" s="1542"/>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9" t="s">
        <v>230</v>
      </c>
      <c r="U16" s="496" t="s">
        <v>231</v>
      </c>
      <c r="Z16" s="902"/>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8"/>
      <c r="C19" s="1531" t="s">
        <v>221</v>
      </c>
      <c r="D19" s="1532"/>
      <c r="E19" s="1532"/>
      <c r="F19" s="1532"/>
      <c r="G19" s="1532"/>
      <c r="H19" s="1532"/>
      <c r="I19" s="1532" t="s">
        <v>222</v>
      </c>
      <c r="J19" s="1532"/>
      <c r="K19" s="1532"/>
      <c r="L19" s="1532"/>
      <c r="M19" s="1533"/>
      <c r="N19" s="1534" t="s">
        <v>223</v>
      </c>
      <c r="O19" s="1535"/>
      <c r="P19" s="1535"/>
      <c r="Q19" s="1535"/>
      <c r="R19" s="1535"/>
      <c r="S19" s="1536"/>
      <c r="T19" s="1534" t="s">
        <v>224</v>
      </c>
      <c r="U19" s="1535"/>
      <c r="V19" s="1535"/>
      <c r="W19" s="1535"/>
      <c r="X19" s="1535"/>
      <c r="Y19" s="1536"/>
      <c r="Z19" s="1534" t="s">
        <v>226</v>
      </c>
      <c r="AA19" s="1535"/>
      <c r="AB19" s="1535"/>
      <c r="AC19" s="1535"/>
      <c r="AD19" s="1535"/>
      <c r="AE19" s="1536"/>
    </row>
    <row r="20" spans="1:31" s="232" customFormat="1" ht="1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5" thickBot="1" x14ac:dyDescent="0.25">
      <c r="A21" s="3"/>
      <c r="B21" s="761" t="s">
        <v>3</v>
      </c>
      <c r="C21" s="762"/>
      <c r="D21" s="1517" t="str">
        <f>INDEX($C$9:$C$13,MATCH(D20,$B$9:$B$13,0))</f>
        <v>Adv Conv</v>
      </c>
      <c r="E21" s="1517" t="str">
        <f t="shared" ref="E21:H21" si="1">INDEX($C$9:$C$13,MATCH(E20,$B$9:$B$13,0))</f>
        <v>ISG</v>
      </c>
      <c r="F21" s="1517" t="str">
        <f t="shared" si="1"/>
        <v>PHEV</v>
      </c>
      <c r="G21" s="1517" t="str">
        <f t="shared" si="1"/>
        <v>BEV</v>
      </c>
      <c r="H21" s="1518" t="str">
        <f t="shared" si="1"/>
        <v>FCHEV</v>
      </c>
      <c r="I21" s="1433">
        <v>0</v>
      </c>
      <c r="J21" s="1434">
        <v>0</v>
      </c>
      <c r="K21" s="1434">
        <v>0</v>
      </c>
      <c r="L21" s="1434">
        <v>0</v>
      </c>
      <c r="M21" s="1435">
        <v>0</v>
      </c>
      <c r="N21" s="754"/>
      <c r="O21" s="1517" t="str">
        <f>INDEX($C$9:$C$13,MATCH(O20,$B$9:$B$13,0))</f>
        <v>Adv Conv</v>
      </c>
      <c r="P21" s="1517" t="str">
        <f t="shared" ref="P21:S21" si="2">INDEX($C$9:$C$13,MATCH(P20,$B$9:$B$13,0))</f>
        <v>ISG</v>
      </c>
      <c r="Q21" s="1517" t="str">
        <f t="shared" si="2"/>
        <v>PHEV</v>
      </c>
      <c r="R21" s="1517" t="str">
        <f t="shared" si="2"/>
        <v>BEV</v>
      </c>
      <c r="S21" s="1518" t="str">
        <f t="shared" si="2"/>
        <v>FCHEV</v>
      </c>
      <c r="T21" s="755"/>
      <c r="U21" s="1517" t="str">
        <f>INDEX($C$9:$C$13,MATCH(U20,$B$9:$B$13,0))</f>
        <v>Adv Conv</v>
      </c>
      <c r="V21" s="1517" t="str">
        <f t="shared" ref="V21:Y21" si="3">INDEX($C$9:$C$13,MATCH(V20,$B$9:$B$13,0))</f>
        <v>ISG</v>
      </c>
      <c r="W21" s="1517" t="str">
        <f t="shared" si="3"/>
        <v>PHEV</v>
      </c>
      <c r="X21" s="1517" t="str">
        <f t="shared" si="3"/>
        <v>BEV</v>
      </c>
      <c r="Y21" s="1518" t="str">
        <f t="shared" si="3"/>
        <v>FCHEV</v>
      </c>
      <c r="Z21" s="754"/>
      <c r="AA21" s="1517" t="str">
        <f>INDEX($C$9:$C$13,MATCH(AA20,$B$9:$B$13,0))</f>
        <v>Adv Conv</v>
      </c>
      <c r="AB21" s="1517" t="str">
        <f t="shared" ref="AB21:AE21" si="4">INDEX($C$9:$C$13,MATCH(AB20,$B$9:$B$13,0))</f>
        <v>ISG</v>
      </c>
      <c r="AC21" s="1517" t="str">
        <f t="shared" si="4"/>
        <v>PHEV</v>
      </c>
      <c r="AD21" s="1517" t="str">
        <f t="shared" si="4"/>
        <v>BEV</v>
      </c>
      <c r="AE21" s="1518" t="str">
        <f t="shared" si="4"/>
        <v>FCHEV</v>
      </c>
    </row>
    <row r="22" spans="1:31" s="232" customFormat="1" x14ac:dyDescent="0.2">
      <c r="A22" s="3"/>
      <c r="B22" s="527">
        <v>2007</v>
      </c>
      <c r="C22" s="1418">
        <v>136900</v>
      </c>
      <c r="D22" s="1419">
        <f t="shared" ref="D22:H24" si="5">D23</f>
        <v>1000000</v>
      </c>
      <c r="E22" s="1419">
        <f t="shared" si="5"/>
        <v>1000000</v>
      </c>
      <c r="F22" s="1419">
        <f t="shared" si="5"/>
        <v>1000000</v>
      </c>
      <c r="G22" s="1419">
        <f t="shared" si="5"/>
        <v>1000000</v>
      </c>
      <c r="H22" s="1420">
        <f t="shared" si="5"/>
        <v>1000000</v>
      </c>
      <c r="I22" s="1359">
        <v>0</v>
      </c>
      <c r="J22" s="528">
        <v>0</v>
      </c>
      <c r="K22" s="528">
        <v>0</v>
      </c>
      <c r="L22" s="528">
        <v>0</v>
      </c>
      <c r="M22" s="1364">
        <v>0</v>
      </c>
      <c r="N22" s="1508">
        <v>5.48300341765977</v>
      </c>
      <c r="O22" s="1437">
        <f t="shared" ref="O22:W24" si="6">O23</f>
        <v>1</v>
      </c>
      <c r="P22" s="1437">
        <f t="shared" si="6"/>
        <v>1</v>
      </c>
      <c r="Q22" s="1437">
        <f t="shared" si="6"/>
        <v>1</v>
      </c>
      <c r="R22" s="1437">
        <f t="shared" si="6"/>
        <v>1</v>
      </c>
      <c r="S22" s="1438">
        <f t="shared" si="6"/>
        <v>1</v>
      </c>
      <c r="T22" s="1439">
        <f t="shared" si="6"/>
        <v>1</v>
      </c>
      <c r="U22" s="1440">
        <f t="shared" si="6"/>
        <v>1</v>
      </c>
      <c r="V22" s="1440">
        <f t="shared" si="6"/>
        <v>1</v>
      </c>
      <c r="W22" s="1440">
        <f t="shared" si="6"/>
        <v>1</v>
      </c>
      <c r="X22" s="1440">
        <f t="shared" ref="X22:AE24" si="7">X23</f>
        <v>1</v>
      </c>
      <c r="Y22" s="1441">
        <f t="shared" si="7"/>
        <v>1</v>
      </c>
      <c r="Z22" s="1439">
        <f t="shared" si="7"/>
        <v>0</v>
      </c>
      <c r="AA22" s="1440">
        <f t="shared" si="7"/>
        <v>0</v>
      </c>
      <c r="AB22" s="1440">
        <f t="shared" si="7"/>
        <v>0</v>
      </c>
      <c r="AC22" s="1440">
        <f t="shared" si="7"/>
        <v>0</v>
      </c>
      <c r="AD22" s="1440">
        <f t="shared" si="7"/>
        <v>0</v>
      </c>
      <c r="AE22" s="1441">
        <f t="shared" si="7"/>
        <v>0</v>
      </c>
    </row>
    <row r="23" spans="1:31" s="232" customFormat="1" x14ac:dyDescent="0.2">
      <c r="A23" s="3"/>
      <c r="B23" s="523">
        <v>2008</v>
      </c>
      <c r="C23" s="1421">
        <v>136900</v>
      </c>
      <c r="D23" s="1422">
        <f t="shared" si="5"/>
        <v>1000000</v>
      </c>
      <c r="E23" s="1422">
        <f t="shared" si="5"/>
        <v>1000000</v>
      </c>
      <c r="F23" s="1422">
        <f t="shared" si="5"/>
        <v>1000000</v>
      </c>
      <c r="G23" s="1422">
        <f t="shared" si="5"/>
        <v>1000000</v>
      </c>
      <c r="H23" s="1423">
        <f t="shared" si="5"/>
        <v>1000000</v>
      </c>
      <c r="I23" s="1360">
        <v>0</v>
      </c>
      <c r="J23" s="524">
        <v>0</v>
      </c>
      <c r="K23" s="524">
        <v>0</v>
      </c>
      <c r="L23" s="524">
        <v>0</v>
      </c>
      <c r="M23" s="1365">
        <v>0</v>
      </c>
      <c r="N23" s="1509">
        <v>5.48300341765977</v>
      </c>
      <c r="O23" s="1443">
        <f t="shared" si="6"/>
        <v>1</v>
      </c>
      <c r="P23" s="1443">
        <f t="shared" si="6"/>
        <v>1</v>
      </c>
      <c r="Q23" s="1443">
        <f t="shared" si="6"/>
        <v>1</v>
      </c>
      <c r="R23" s="1443">
        <f t="shared" si="6"/>
        <v>1</v>
      </c>
      <c r="S23" s="1444">
        <f t="shared" si="6"/>
        <v>1</v>
      </c>
      <c r="T23" s="1445">
        <f t="shared" si="6"/>
        <v>1</v>
      </c>
      <c r="U23" s="1446">
        <f t="shared" si="6"/>
        <v>1</v>
      </c>
      <c r="V23" s="1446">
        <f t="shared" si="6"/>
        <v>1</v>
      </c>
      <c r="W23" s="1446">
        <f t="shared" si="6"/>
        <v>1</v>
      </c>
      <c r="X23" s="1446">
        <f t="shared" si="7"/>
        <v>1</v>
      </c>
      <c r="Y23" s="1447">
        <f t="shared" si="7"/>
        <v>1</v>
      </c>
      <c r="Z23" s="1445">
        <f t="shared" si="7"/>
        <v>0</v>
      </c>
      <c r="AA23" s="1446">
        <f t="shared" si="7"/>
        <v>0</v>
      </c>
      <c r="AB23" s="1446">
        <f t="shared" si="7"/>
        <v>0</v>
      </c>
      <c r="AC23" s="1446">
        <f t="shared" si="7"/>
        <v>0</v>
      </c>
      <c r="AD23" s="1446">
        <f t="shared" si="7"/>
        <v>0</v>
      </c>
      <c r="AE23" s="1447">
        <f t="shared" si="7"/>
        <v>0</v>
      </c>
    </row>
    <row r="24" spans="1:31" s="232" customFormat="1" x14ac:dyDescent="0.2">
      <c r="A24" s="3"/>
      <c r="B24" s="523">
        <v>2009</v>
      </c>
      <c r="C24" s="1421">
        <v>136900</v>
      </c>
      <c r="D24" s="1422">
        <f t="shared" si="5"/>
        <v>1000000</v>
      </c>
      <c r="E24" s="1422">
        <f t="shared" si="5"/>
        <v>1000000</v>
      </c>
      <c r="F24" s="1422">
        <f t="shared" si="5"/>
        <v>1000000</v>
      </c>
      <c r="G24" s="1422">
        <f t="shared" si="5"/>
        <v>1000000</v>
      </c>
      <c r="H24" s="1423">
        <f t="shared" si="5"/>
        <v>1000000</v>
      </c>
      <c r="I24" s="1360">
        <v>0</v>
      </c>
      <c r="J24" s="524">
        <v>0</v>
      </c>
      <c r="K24" s="524">
        <v>0</v>
      </c>
      <c r="L24" s="524">
        <v>0</v>
      </c>
      <c r="M24" s="1365">
        <v>0</v>
      </c>
      <c r="N24" s="1509">
        <v>5.48300341765977</v>
      </c>
      <c r="O24" s="1443">
        <f t="shared" si="6"/>
        <v>1</v>
      </c>
      <c r="P24" s="1443">
        <f t="shared" si="6"/>
        <v>1</v>
      </c>
      <c r="Q24" s="1443">
        <f t="shared" si="6"/>
        <v>1</v>
      </c>
      <c r="R24" s="1443">
        <f t="shared" si="6"/>
        <v>1</v>
      </c>
      <c r="S24" s="1444">
        <f t="shared" si="6"/>
        <v>1</v>
      </c>
      <c r="T24" s="1445">
        <f t="shared" si="6"/>
        <v>1</v>
      </c>
      <c r="U24" s="1446">
        <f t="shared" si="6"/>
        <v>1</v>
      </c>
      <c r="V24" s="1446">
        <f t="shared" si="6"/>
        <v>1</v>
      </c>
      <c r="W24" s="1446">
        <f t="shared" si="6"/>
        <v>1</v>
      </c>
      <c r="X24" s="1446">
        <f t="shared" si="7"/>
        <v>1</v>
      </c>
      <c r="Y24" s="1447">
        <f t="shared" si="7"/>
        <v>1</v>
      </c>
      <c r="Z24" s="1445">
        <f t="shared" si="7"/>
        <v>0</v>
      </c>
      <c r="AA24" s="1446">
        <f t="shared" si="7"/>
        <v>0</v>
      </c>
      <c r="AB24" s="1446">
        <f t="shared" si="7"/>
        <v>0</v>
      </c>
      <c r="AC24" s="1446">
        <f t="shared" si="7"/>
        <v>0</v>
      </c>
      <c r="AD24" s="1446">
        <f t="shared" si="7"/>
        <v>0</v>
      </c>
      <c r="AE24" s="1447">
        <f t="shared" si="7"/>
        <v>0</v>
      </c>
    </row>
    <row r="25" spans="1:31" s="232" customFormat="1" ht="15" thickBot="1" x14ac:dyDescent="0.25">
      <c r="A25" s="3"/>
      <c r="B25" s="525">
        <v>2010</v>
      </c>
      <c r="C25" s="1507">
        <v>136900</v>
      </c>
      <c r="D25" s="1425">
        <f t="shared" ref="D25:D33" si="8">D26</f>
        <v>1000000</v>
      </c>
      <c r="E25" s="1425">
        <f t="shared" ref="E25:E33" si="9">E26</f>
        <v>1000000</v>
      </c>
      <c r="F25" s="1425">
        <f t="shared" ref="F25:F33" si="10">F26</f>
        <v>1000000</v>
      </c>
      <c r="G25" s="1425">
        <f t="shared" ref="G25:G33" si="11">G26</f>
        <v>1000000</v>
      </c>
      <c r="H25" s="1426">
        <f t="shared" ref="H25:H33" si="12">H26</f>
        <v>1000000</v>
      </c>
      <c r="I25" s="1361">
        <v>0</v>
      </c>
      <c r="J25" s="526">
        <v>0</v>
      </c>
      <c r="K25" s="526">
        <v>0</v>
      </c>
      <c r="L25" s="526">
        <v>0</v>
      </c>
      <c r="M25" s="1366">
        <v>0</v>
      </c>
      <c r="N25" s="1510">
        <v>5.5209184022550879</v>
      </c>
      <c r="O25" s="1449">
        <v>1</v>
      </c>
      <c r="P25" s="1449">
        <v>1</v>
      </c>
      <c r="Q25" s="1449">
        <v>1</v>
      </c>
      <c r="R25" s="1449">
        <v>1</v>
      </c>
      <c r="S25" s="1450">
        <v>1</v>
      </c>
      <c r="T25" s="1451">
        <v>1</v>
      </c>
      <c r="U25" s="1452">
        <v>1</v>
      </c>
      <c r="V25" s="1452">
        <v>1</v>
      </c>
      <c r="W25" s="1452">
        <v>1</v>
      </c>
      <c r="X25" s="1452">
        <v>1</v>
      </c>
      <c r="Y25" s="1453">
        <v>1</v>
      </c>
      <c r="Z25" s="1451">
        <v>0</v>
      </c>
      <c r="AA25" s="1452">
        <v>0</v>
      </c>
      <c r="AB25" s="1452">
        <v>0</v>
      </c>
      <c r="AC25" s="1452">
        <v>0</v>
      </c>
      <c r="AD25" s="1452">
        <v>0</v>
      </c>
      <c r="AE25" s="1453">
        <v>0</v>
      </c>
    </row>
    <row r="26" spans="1:31" s="232" customFormat="1" x14ac:dyDescent="0.2">
      <c r="A26" s="3"/>
      <c r="B26" s="527">
        <v>2011</v>
      </c>
      <c r="C26" s="1427">
        <v>136900</v>
      </c>
      <c r="D26" s="1428">
        <f t="shared" si="8"/>
        <v>1000000</v>
      </c>
      <c r="E26" s="1428">
        <f t="shared" si="9"/>
        <v>1000000</v>
      </c>
      <c r="F26" s="1428">
        <f t="shared" si="10"/>
        <v>1000000</v>
      </c>
      <c r="G26" s="1428">
        <f t="shared" si="11"/>
        <v>1000000</v>
      </c>
      <c r="H26" s="1429">
        <f t="shared" si="12"/>
        <v>1000000</v>
      </c>
      <c r="I26" s="1359">
        <v>0</v>
      </c>
      <c r="J26" s="528">
        <v>0</v>
      </c>
      <c r="K26" s="528">
        <v>0</v>
      </c>
      <c r="L26" s="528">
        <v>0</v>
      </c>
      <c r="M26" s="1364">
        <v>0</v>
      </c>
      <c r="N26" s="1511">
        <v>5.6389131953913116</v>
      </c>
      <c r="O26" s="1455">
        <v>1</v>
      </c>
      <c r="P26" s="1455">
        <v>1</v>
      </c>
      <c r="Q26" s="1455">
        <v>1</v>
      </c>
      <c r="R26" s="1455">
        <v>1</v>
      </c>
      <c r="S26" s="1456">
        <v>1</v>
      </c>
      <c r="T26" s="1457">
        <v>1</v>
      </c>
      <c r="U26" s="1458">
        <v>1</v>
      </c>
      <c r="V26" s="1458">
        <v>1</v>
      </c>
      <c r="W26" s="1458">
        <v>1</v>
      </c>
      <c r="X26" s="1458">
        <v>1</v>
      </c>
      <c r="Y26" s="1459">
        <v>1</v>
      </c>
      <c r="Z26" s="1457">
        <v>0</v>
      </c>
      <c r="AA26" s="1458">
        <v>0</v>
      </c>
      <c r="AB26" s="1458">
        <v>0</v>
      </c>
      <c r="AC26" s="1458">
        <v>0</v>
      </c>
      <c r="AD26" s="1458">
        <v>0</v>
      </c>
      <c r="AE26" s="1459">
        <v>0</v>
      </c>
    </row>
    <row r="27" spans="1:31" s="232" customFormat="1" x14ac:dyDescent="0.2">
      <c r="A27" s="3"/>
      <c r="B27" s="523">
        <v>2012</v>
      </c>
      <c r="C27" s="1421">
        <v>136900</v>
      </c>
      <c r="D27" s="1422">
        <f t="shared" si="8"/>
        <v>1000000</v>
      </c>
      <c r="E27" s="1422">
        <f t="shared" si="9"/>
        <v>1000000</v>
      </c>
      <c r="F27" s="1422">
        <f t="shared" si="10"/>
        <v>1000000</v>
      </c>
      <c r="G27" s="1422">
        <f t="shared" si="11"/>
        <v>1000000</v>
      </c>
      <c r="H27" s="1423">
        <f t="shared" si="12"/>
        <v>1000000</v>
      </c>
      <c r="I27" s="1360">
        <v>0</v>
      </c>
      <c r="J27" s="524">
        <v>0</v>
      </c>
      <c r="K27" s="524">
        <v>0</v>
      </c>
      <c r="L27" s="524">
        <v>0</v>
      </c>
      <c r="M27" s="1365">
        <v>0</v>
      </c>
      <c r="N27" s="1509">
        <v>5.6839701888518306</v>
      </c>
      <c r="O27" s="1443">
        <v>1</v>
      </c>
      <c r="P27" s="1443">
        <v>1</v>
      </c>
      <c r="Q27" s="1443">
        <v>1</v>
      </c>
      <c r="R27" s="1443">
        <v>1</v>
      </c>
      <c r="S27" s="1444">
        <v>1</v>
      </c>
      <c r="T27" s="1445">
        <v>1</v>
      </c>
      <c r="U27" s="1446">
        <v>1</v>
      </c>
      <c r="V27" s="1446">
        <v>1</v>
      </c>
      <c r="W27" s="1446">
        <v>1</v>
      </c>
      <c r="X27" s="1446">
        <v>1</v>
      </c>
      <c r="Y27" s="1447">
        <v>1</v>
      </c>
      <c r="Z27" s="1445">
        <v>0</v>
      </c>
      <c r="AA27" s="1446">
        <v>0</v>
      </c>
      <c r="AB27" s="1446">
        <v>0</v>
      </c>
      <c r="AC27" s="1446">
        <v>0</v>
      </c>
      <c r="AD27" s="1446">
        <v>0</v>
      </c>
      <c r="AE27" s="1447">
        <v>0</v>
      </c>
    </row>
    <row r="28" spans="1:31" s="232" customFormat="1" x14ac:dyDescent="0.2">
      <c r="A28" s="3"/>
      <c r="B28" s="523">
        <v>2013</v>
      </c>
      <c r="C28" s="1421">
        <v>136900</v>
      </c>
      <c r="D28" s="1422">
        <f t="shared" si="8"/>
        <v>1000000</v>
      </c>
      <c r="E28" s="1422">
        <f t="shared" si="9"/>
        <v>1000000</v>
      </c>
      <c r="F28" s="1422">
        <f t="shared" si="10"/>
        <v>1000000</v>
      </c>
      <c r="G28" s="1422">
        <f t="shared" si="11"/>
        <v>1000000</v>
      </c>
      <c r="H28" s="1423">
        <f t="shared" si="12"/>
        <v>1000000</v>
      </c>
      <c r="I28" s="1360">
        <v>0</v>
      </c>
      <c r="J28" s="524">
        <v>0</v>
      </c>
      <c r="K28" s="524">
        <v>0</v>
      </c>
      <c r="L28" s="524">
        <v>0</v>
      </c>
      <c r="M28" s="1365">
        <v>0</v>
      </c>
      <c r="N28" s="1509">
        <v>5.7743160896809451</v>
      </c>
      <c r="O28" s="1443">
        <v>1</v>
      </c>
      <c r="P28" s="1443">
        <v>1</v>
      </c>
      <c r="Q28" s="1443">
        <v>1</v>
      </c>
      <c r="R28" s="1443">
        <v>1</v>
      </c>
      <c r="S28" s="1444">
        <v>1</v>
      </c>
      <c r="T28" s="1445">
        <v>1</v>
      </c>
      <c r="U28" s="1446">
        <v>1</v>
      </c>
      <c r="V28" s="1446">
        <v>1</v>
      </c>
      <c r="W28" s="1446">
        <v>1</v>
      </c>
      <c r="X28" s="1446">
        <v>1</v>
      </c>
      <c r="Y28" s="1447">
        <v>1</v>
      </c>
      <c r="Z28" s="1445">
        <v>0</v>
      </c>
      <c r="AA28" s="1446">
        <v>0</v>
      </c>
      <c r="AB28" s="1446">
        <v>0</v>
      </c>
      <c r="AC28" s="1446">
        <v>0</v>
      </c>
      <c r="AD28" s="1446">
        <v>0</v>
      </c>
      <c r="AE28" s="1447">
        <v>0</v>
      </c>
    </row>
    <row r="29" spans="1:31" s="232" customFormat="1" x14ac:dyDescent="0.2">
      <c r="A29" s="3"/>
      <c r="B29" s="523">
        <v>2014</v>
      </c>
      <c r="C29" s="1421">
        <v>136900</v>
      </c>
      <c r="D29" s="1422">
        <f t="shared" si="8"/>
        <v>1000000</v>
      </c>
      <c r="E29" s="1422">
        <f t="shared" si="9"/>
        <v>1000000</v>
      </c>
      <c r="F29" s="1422">
        <f t="shared" si="10"/>
        <v>1000000</v>
      </c>
      <c r="G29" s="1422">
        <f t="shared" si="11"/>
        <v>1000000</v>
      </c>
      <c r="H29" s="1423">
        <f t="shared" si="12"/>
        <v>1000000</v>
      </c>
      <c r="I29" s="1360">
        <v>0</v>
      </c>
      <c r="J29" s="524">
        <v>0</v>
      </c>
      <c r="K29" s="524">
        <v>0</v>
      </c>
      <c r="L29" s="524">
        <v>0</v>
      </c>
      <c r="M29" s="1365">
        <v>0</v>
      </c>
      <c r="N29" s="1509">
        <v>5.8589396926631565</v>
      </c>
      <c r="O29" s="1443">
        <v>1</v>
      </c>
      <c r="P29" s="1443">
        <v>1</v>
      </c>
      <c r="Q29" s="1443">
        <v>1</v>
      </c>
      <c r="R29" s="1443">
        <v>1</v>
      </c>
      <c r="S29" s="1444">
        <v>1</v>
      </c>
      <c r="T29" s="1445">
        <v>1</v>
      </c>
      <c r="U29" s="1446">
        <v>1</v>
      </c>
      <c r="V29" s="1446">
        <v>1</v>
      </c>
      <c r="W29" s="1446">
        <v>1</v>
      </c>
      <c r="X29" s="1446">
        <v>1</v>
      </c>
      <c r="Y29" s="1447">
        <v>1</v>
      </c>
      <c r="Z29" s="1445">
        <v>0</v>
      </c>
      <c r="AA29" s="1446">
        <v>0</v>
      </c>
      <c r="AB29" s="1446">
        <v>0</v>
      </c>
      <c r="AC29" s="1446">
        <v>0</v>
      </c>
      <c r="AD29" s="1446">
        <v>0</v>
      </c>
      <c r="AE29" s="1447">
        <v>0</v>
      </c>
    </row>
    <row r="30" spans="1:31" s="232" customFormat="1" ht="15" thickBot="1" x14ac:dyDescent="0.25">
      <c r="A30" s="3"/>
      <c r="B30" s="525">
        <v>2015</v>
      </c>
      <c r="C30" s="1424">
        <v>136900</v>
      </c>
      <c r="D30" s="1425">
        <f t="shared" si="8"/>
        <v>1000000</v>
      </c>
      <c r="E30" s="1425">
        <f t="shared" si="9"/>
        <v>1000000</v>
      </c>
      <c r="F30" s="1425">
        <f t="shared" si="10"/>
        <v>1000000</v>
      </c>
      <c r="G30" s="1425">
        <f t="shared" si="11"/>
        <v>1000000</v>
      </c>
      <c r="H30" s="1426">
        <f t="shared" si="12"/>
        <v>1000000</v>
      </c>
      <c r="I30" s="1361">
        <v>0</v>
      </c>
      <c r="J30" s="526">
        <v>0</v>
      </c>
      <c r="K30" s="526">
        <v>0</v>
      </c>
      <c r="L30" s="526">
        <v>0</v>
      </c>
      <c r="M30" s="1366">
        <v>0</v>
      </c>
      <c r="N30" s="1510">
        <v>6.0069416599255572</v>
      </c>
      <c r="O30" s="1449">
        <v>1</v>
      </c>
      <c r="P30" s="1449">
        <v>1</v>
      </c>
      <c r="Q30" s="1460">
        <v>1</v>
      </c>
      <c r="R30" s="1460">
        <v>1</v>
      </c>
      <c r="S30" s="1461">
        <v>1</v>
      </c>
      <c r="T30" s="1451">
        <v>1</v>
      </c>
      <c r="U30" s="1452">
        <v>1</v>
      </c>
      <c r="V30" s="1452">
        <v>1</v>
      </c>
      <c r="W30" s="1452">
        <v>1</v>
      </c>
      <c r="X30" s="1452">
        <v>1</v>
      </c>
      <c r="Y30" s="1453">
        <v>1</v>
      </c>
      <c r="Z30" s="1451">
        <v>0</v>
      </c>
      <c r="AA30" s="1452">
        <v>0</v>
      </c>
      <c r="AB30" s="1452">
        <v>0</v>
      </c>
      <c r="AC30" s="1452">
        <v>0</v>
      </c>
      <c r="AD30" s="1452">
        <v>0</v>
      </c>
      <c r="AE30" s="1453">
        <v>0</v>
      </c>
    </row>
    <row r="31" spans="1:31" s="232" customFormat="1" x14ac:dyDescent="0.2">
      <c r="A31" s="3"/>
      <c r="B31" s="527">
        <v>2016</v>
      </c>
      <c r="C31" s="1427">
        <v>136900</v>
      </c>
      <c r="D31" s="1428">
        <f t="shared" si="8"/>
        <v>1000000</v>
      </c>
      <c r="E31" s="1428">
        <f t="shared" si="9"/>
        <v>1000000</v>
      </c>
      <c r="F31" s="1428">
        <f t="shared" si="10"/>
        <v>1000000</v>
      </c>
      <c r="G31" s="1428">
        <f t="shared" si="11"/>
        <v>1000000</v>
      </c>
      <c r="H31" s="1429">
        <f t="shared" si="12"/>
        <v>1000000</v>
      </c>
      <c r="I31" s="1359">
        <v>0</v>
      </c>
      <c r="J31" s="528">
        <v>0</v>
      </c>
      <c r="K31" s="528">
        <v>0</v>
      </c>
      <c r="L31" s="528">
        <v>0</v>
      </c>
      <c r="M31" s="1364">
        <v>0</v>
      </c>
      <c r="N31" s="1511">
        <v>6.1360651716134793</v>
      </c>
      <c r="O31" s="1443">
        <v>1</v>
      </c>
      <c r="P31" s="1443">
        <v>1</v>
      </c>
      <c r="Q31" s="1462">
        <v>1</v>
      </c>
      <c r="R31" s="1462">
        <v>1</v>
      </c>
      <c r="S31" s="1463">
        <v>1</v>
      </c>
      <c r="T31" s="1457">
        <v>1</v>
      </c>
      <c r="U31" s="1458">
        <v>1</v>
      </c>
      <c r="V31" s="1458">
        <v>1</v>
      </c>
      <c r="W31" s="1458">
        <v>1</v>
      </c>
      <c r="X31" s="1458">
        <v>1</v>
      </c>
      <c r="Y31" s="1459">
        <v>1</v>
      </c>
      <c r="Z31" s="1457">
        <v>0</v>
      </c>
      <c r="AA31" s="1458">
        <v>0</v>
      </c>
      <c r="AB31" s="1458">
        <v>0</v>
      </c>
      <c r="AC31" s="1458">
        <v>0</v>
      </c>
      <c r="AD31" s="1458">
        <v>0</v>
      </c>
      <c r="AE31" s="1459">
        <v>0</v>
      </c>
    </row>
    <row r="32" spans="1:31" s="232" customFormat="1" x14ac:dyDescent="0.2">
      <c r="A32" s="3"/>
      <c r="B32" s="523">
        <v>2017</v>
      </c>
      <c r="C32" s="1421">
        <v>136900</v>
      </c>
      <c r="D32" s="1422">
        <f t="shared" si="8"/>
        <v>1000000</v>
      </c>
      <c r="E32" s="1422">
        <f t="shared" si="9"/>
        <v>1000000</v>
      </c>
      <c r="F32" s="1422">
        <f t="shared" si="10"/>
        <v>1000000</v>
      </c>
      <c r="G32" s="1422">
        <f t="shared" si="11"/>
        <v>1000000</v>
      </c>
      <c r="H32" s="1423">
        <f t="shared" si="12"/>
        <v>1000000</v>
      </c>
      <c r="I32" s="1360">
        <v>0</v>
      </c>
      <c r="J32" s="524">
        <v>0</v>
      </c>
      <c r="K32" s="524">
        <v>0</v>
      </c>
      <c r="L32" s="524">
        <v>0</v>
      </c>
      <c r="M32" s="1365">
        <v>0</v>
      </c>
      <c r="N32" s="1509">
        <v>6.3119238751035152</v>
      </c>
      <c r="O32" s="1443">
        <v>1</v>
      </c>
      <c r="P32" s="1443">
        <v>1</v>
      </c>
      <c r="Q32" s="1462">
        <v>1</v>
      </c>
      <c r="R32" s="1462">
        <v>1</v>
      </c>
      <c r="S32" s="1463">
        <v>1</v>
      </c>
      <c r="T32" s="1445">
        <v>1</v>
      </c>
      <c r="U32" s="1446">
        <v>1</v>
      </c>
      <c r="V32" s="1446">
        <v>1</v>
      </c>
      <c r="W32" s="1446">
        <v>1</v>
      </c>
      <c r="X32" s="1446">
        <v>1</v>
      </c>
      <c r="Y32" s="1447">
        <v>1</v>
      </c>
      <c r="Z32" s="1445">
        <v>0</v>
      </c>
      <c r="AA32" s="1446">
        <v>0</v>
      </c>
      <c r="AB32" s="1446">
        <v>0</v>
      </c>
      <c r="AC32" s="1446">
        <v>0</v>
      </c>
      <c r="AD32" s="1446">
        <v>0</v>
      </c>
      <c r="AE32" s="1447">
        <v>0</v>
      </c>
    </row>
    <row r="33" spans="1:31" s="232" customFormat="1" x14ac:dyDescent="0.2">
      <c r="A33" s="3"/>
      <c r="B33" s="523">
        <v>2018</v>
      </c>
      <c r="C33" s="1421">
        <v>136900</v>
      </c>
      <c r="D33" s="1422">
        <f t="shared" si="8"/>
        <v>1000000</v>
      </c>
      <c r="E33" s="1422">
        <f t="shared" si="9"/>
        <v>1000000</v>
      </c>
      <c r="F33" s="1422">
        <f t="shared" si="10"/>
        <v>1000000</v>
      </c>
      <c r="G33" s="1422">
        <f t="shared" si="11"/>
        <v>1000000</v>
      </c>
      <c r="H33" s="1423">
        <f t="shared" si="12"/>
        <v>1000000</v>
      </c>
      <c r="I33" s="1360">
        <v>0</v>
      </c>
      <c r="J33" s="524">
        <v>0</v>
      </c>
      <c r="K33" s="524">
        <v>0</v>
      </c>
      <c r="L33" s="524">
        <v>0</v>
      </c>
      <c r="M33" s="1365">
        <v>0</v>
      </c>
      <c r="N33" s="1509">
        <v>6.490547110519385</v>
      </c>
      <c r="O33" s="1443">
        <v>1</v>
      </c>
      <c r="P33" s="1443">
        <v>1</v>
      </c>
      <c r="Q33" s="1462">
        <v>1</v>
      </c>
      <c r="R33" s="1462">
        <v>1</v>
      </c>
      <c r="S33" s="1463">
        <v>1</v>
      </c>
      <c r="T33" s="1445">
        <v>1</v>
      </c>
      <c r="U33" s="1446">
        <v>1</v>
      </c>
      <c r="V33" s="1446">
        <v>1</v>
      </c>
      <c r="W33" s="1446">
        <v>1</v>
      </c>
      <c r="X33" s="1446">
        <v>1</v>
      </c>
      <c r="Y33" s="1447">
        <v>1</v>
      </c>
      <c r="Z33" s="1445">
        <v>0</v>
      </c>
      <c r="AA33" s="1446">
        <v>0</v>
      </c>
      <c r="AB33" s="1446">
        <v>0</v>
      </c>
      <c r="AC33" s="1446">
        <v>0</v>
      </c>
      <c r="AD33" s="1446">
        <v>0</v>
      </c>
      <c r="AE33" s="1447">
        <v>0</v>
      </c>
    </row>
    <row r="34" spans="1:31" s="232" customFormat="1" x14ac:dyDescent="0.2">
      <c r="A34" s="3"/>
      <c r="B34" s="523">
        <v>2019</v>
      </c>
      <c r="C34" s="1421">
        <v>136900</v>
      </c>
      <c r="D34" s="1422">
        <v>1000000</v>
      </c>
      <c r="E34" s="1422">
        <v>1000000</v>
      </c>
      <c r="F34" s="1422">
        <v>1000000</v>
      </c>
      <c r="G34" s="1422">
        <v>1000000</v>
      </c>
      <c r="H34" s="1423">
        <v>1000000</v>
      </c>
      <c r="I34" s="1360">
        <v>0</v>
      </c>
      <c r="J34" s="524">
        <v>0</v>
      </c>
      <c r="K34" s="524">
        <v>0</v>
      </c>
      <c r="L34" s="524">
        <v>0</v>
      </c>
      <c r="M34" s="1365">
        <v>0</v>
      </c>
      <c r="N34" s="1509">
        <v>6.5335250359747858</v>
      </c>
      <c r="O34" s="1443">
        <v>1</v>
      </c>
      <c r="P34" s="1443">
        <v>1</v>
      </c>
      <c r="Q34" s="1462">
        <v>1</v>
      </c>
      <c r="R34" s="1462">
        <v>1</v>
      </c>
      <c r="S34" s="1463">
        <v>1</v>
      </c>
      <c r="T34" s="1445">
        <v>1</v>
      </c>
      <c r="U34" s="1446">
        <v>1</v>
      </c>
      <c r="V34" s="1446">
        <v>1</v>
      </c>
      <c r="W34" s="1446">
        <v>1</v>
      </c>
      <c r="X34" s="1446">
        <v>1</v>
      </c>
      <c r="Y34" s="1447">
        <v>1</v>
      </c>
      <c r="Z34" s="1445">
        <v>0</v>
      </c>
      <c r="AA34" s="1446">
        <v>0</v>
      </c>
      <c r="AB34" s="1446">
        <v>0</v>
      </c>
      <c r="AC34" s="1446">
        <v>0</v>
      </c>
      <c r="AD34" s="1446">
        <v>0</v>
      </c>
      <c r="AE34" s="1447">
        <v>0</v>
      </c>
    </row>
    <row r="35" spans="1:31" s="232" customFormat="1" ht="15" thickBot="1" x14ac:dyDescent="0.25">
      <c r="A35" s="3"/>
      <c r="B35" s="525">
        <v>2020</v>
      </c>
      <c r="C35" s="1424">
        <v>136900</v>
      </c>
      <c r="D35" s="1425">
        <v>1000000</v>
      </c>
      <c r="E35" s="1425">
        <v>1000000</v>
      </c>
      <c r="F35" s="1425">
        <v>1000000</v>
      </c>
      <c r="G35" s="1425">
        <v>1000000</v>
      </c>
      <c r="H35" s="1426">
        <v>1000000</v>
      </c>
      <c r="I35" s="1361">
        <v>0</v>
      </c>
      <c r="J35" s="526">
        <v>0</v>
      </c>
      <c r="K35" s="526">
        <v>0</v>
      </c>
      <c r="L35" s="526">
        <v>0</v>
      </c>
      <c r="M35" s="1366">
        <v>0</v>
      </c>
      <c r="N35" s="1510">
        <v>6.5937589910582313</v>
      </c>
      <c r="O35" s="1449">
        <v>1</v>
      </c>
      <c r="P35" s="1449">
        <v>1</v>
      </c>
      <c r="Q35" s="1460">
        <v>1</v>
      </c>
      <c r="R35" s="1460">
        <v>1</v>
      </c>
      <c r="S35" s="1461">
        <v>1</v>
      </c>
      <c r="T35" s="1451">
        <v>1</v>
      </c>
      <c r="U35" s="1452">
        <v>1</v>
      </c>
      <c r="V35" s="1452">
        <v>1</v>
      </c>
      <c r="W35" s="1452">
        <v>1</v>
      </c>
      <c r="X35" s="1452">
        <v>1</v>
      </c>
      <c r="Y35" s="1453">
        <v>1</v>
      </c>
      <c r="Z35" s="1451">
        <v>0</v>
      </c>
      <c r="AA35" s="1452">
        <v>0</v>
      </c>
      <c r="AB35" s="1452">
        <v>0</v>
      </c>
      <c r="AC35" s="1452">
        <v>0</v>
      </c>
      <c r="AD35" s="1452">
        <v>0</v>
      </c>
      <c r="AE35" s="1453">
        <v>0</v>
      </c>
    </row>
    <row r="36" spans="1:31" s="232" customFormat="1" x14ac:dyDescent="0.2">
      <c r="A36" s="3"/>
      <c r="B36" s="527">
        <v>2021</v>
      </c>
      <c r="C36" s="1427">
        <v>137205.78935754453</v>
      </c>
      <c r="D36" s="1428">
        <v>1120.5908150101168</v>
      </c>
      <c r="E36" s="1428">
        <v>2646.1603036609449</v>
      </c>
      <c r="F36" s="1428">
        <v>197847.31007079969</v>
      </c>
      <c r="G36" s="1428">
        <v>355973.77067591518</v>
      </c>
      <c r="H36" s="1429">
        <v>167338.80143623243</v>
      </c>
      <c r="I36" s="1359">
        <v>0</v>
      </c>
      <c r="J36" s="528">
        <v>0</v>
      </c>
      <c r="K36" s="528">
        <v>0</v>
      </c>
      <c r="L36" s="528">
        <v>0</v>
      </c>
      <c r="M36" s="1364">
        <v>0</v>
      </c>
      <c r="N36" s="1511">
        <v>6.610100853808035</v>
      </c>
      <c r="O36" s="1455">
        <v>6.7450424840493035</v>
      </c>
      <c r="P36" s="1455">
        <v>6.7496952407848143</v>
      </c>
      <c r="Q36" s="1462">
        <v>5.5895092453549333</v>
      </c>
      <c r="R36" s="1462">
        <v>14.001581183267881</v>
      </c>
      <c r="S36" s="1463">
        <v>6.9194107475150082</v>
      </c>
      <c r="T36" s="1457">
        <v>1</v>
      </c>
      <c r="U36" s="1458">
        <v>1</v>
      </c>
      <c r="V36" s="1458">
        <v>1</v>
      </c>
      <c r="W36" s="1458">
        <v>15.201499684770457</v>
      </c>
      <c r="X36" s="1458">
        <v>1</v>
      </c>
      <c r="Y36" s="1459">
        <v>1</v>
      </c>
      <c r="Z36" s="1457">
        <v>0</v>
      </c>
      <c r="AA36" s="1458">
        <v>0</v>
      </c>
      <c r="AB36" s="1458">
        <v>0</v>
      </c>
      <c r="AC36" s="1458">
        <v>133.9395870534625</v>
      </c>
      <c r="AD36" s="1458">
        <v>237.48610419627133</v>
      </c>
      <c r="AE36" s="1459">
        <v>0</v>
      </c>
    </row>
    <row r="37" spans="1:31" s="232" customFormat="1" x14ac:dyDescent="0.2">
      <c r="A37" s="3"/>
      <c r="B37" s="523">
        <v>2022</v>
      </c>
      <c r="C37" s="1421">
        <v>137511.57871508907</v>
      </c>
      <c r="D37" s="1422">
        <v>2241.1816300202336</v>
      </c>
      <c r="E37" s="1422">
        <v>3521.0555925391091</v>
      </c>
      <c r="F37" s="1422">
        <v>166082.55308491952</v>
      </c>
      <c r="G37" s="1422">
        <v>298100.66666831466</v>
      </c>
      <c r="H37" s="1423">
        <v>144302.40769967571</v>
      </c>
      <c r="I37" s="1360">
        <v>0</v>
      </c>
      <c r="J37" s="524">
        <v>0</v>
      </c>
      <c r="K37" s="524">
        <v>0</v>
      </c>
      <c r="L37" s="524">
        <v>0</v>
      </c>
      <c r="M37" s="1365">
        <v>0</v>
      </c>
      <c r="N37" s="1509">
        <v>6.7005254493390005</v>
      </c>
      <c r="O37" s="1443">
        <v>6.9690689215323394</v>
      </c>
      <c r="P37" s="1443">
        <v>6.9787629145559551</v>
      </c>
      <c r="Q37" s="1464">
        <v>5.8694402202595768</v>
      </c>
      <c r="R37" s="1464">
        <v>14.467650147123887</v>
      </c>
      <c r="S37" s="1465">
        <v>7.1616150986151039</v>
      </c>
      <c r="T37" s="1445">
        <v>1</v>
      </c>
      <c r="U37" s="1446">
        <v>1</v>
      </c>
      <c r="V37" s="1446">
        <v>1</v>
      </c>
      <c r="W37" s="1446">
        <v>15.683164923174026</v>
      </c>
      <c r="X37" s="1446">
        <v>1</v>
      </c>
      <c r="Y37" s="1447">
        <v>1</v>
      </c>
      <c r="Z37" s="1445">
        <v>0</v>
      </c>
      <c r="AA37" s="1446">
        <v>0</v>
      </c>
      <c r="AB37" s="1446">
        <v>0</v>
      </c>
      <c r="AC37" s="1446">
        <v>134.43421485573418</v>
      </c>
      <c r="AD37" s="1446">
        <v>238.69205014543442</v>
      </c>
      <c r="AE37" s="1447">
        <v>0</v>
      </c>
    </row>
    <row r="38" spans="1:31" s="232" customFormat="1" x14ac:dyDescent="0.2">
      <c r="A38" s="3"/>
      <c r="B38" s="523">
        <v>2023</v>
      </c>
      <c r="C38" s="1421">
        <v>137817.3680726336</v>
      </c>
      <c r="D38" s="1422">
        <v>3361.7724450303504</v>
      </c>
      <c r="E38" s="1422">
        <v>4395.9508814172732</v>
      </c>
      <c r="F38" s="1422">
        <v>134317.79609903932</v>
      </c>
      <c r="G38" s="1422">
        <v>240227.56266071417</v>
      </c>
      <c r="H38" s="1423">
        <v>121266.01396311898</v>
      </c>
      <c r="I38" s="1360">
        <v>0</v>
      </c>
      <c r="J38" s="524">
        <v>0</v>
      </c>
      <c r="K38" s="524">
        <v>0</v>
      </c>
      <c r="L38" s="524">
        <v>0</v>
      </c>
      <c r="M38" s="1365">
        <v>0</v>
      </c>
      <c r="N38" s="1509">
        <v>6.783645941316772</v>
      </c>
      <c r="O38" s="1443">
        <v>7.1840928879382586</v>
      </c>
      <c r="P38" s="1443">
        <v>7.1987644467737519</v>
      </c>
      <c r="Q38" s="1464">
        <v>6.1408023494836934</v>
      </c>
      <c r="R38" s="1464">
        <v>14.915019403176776</v>
      </c>
      <c r="S38" s="1465">
        <v>7.3944386051636588</v>
      </c>
      <c r="T38" s="1445">
        <v>1</v>
      </c>
      <c r="U38" s="1446">
        <v>1</v>
      </c>
      <c r="V38" s="1446">
        <v>1</v>
      </c>
      <c r="W38" s="1446">
        <v>16.144814176631922</v>
      </c>
      <c r="X38" s="1446">
        <v>1</v>
      </c>
      <c r="Y38" s="1447">
        <v>1</v>
      </c>
      <c r="Z38" s="1445">
        <v>0</v>
      </c>
      <c r="AA38" s="1446">
        <v>0</v>
      </c>
      <c r="AB38" s="1446">
        <v>0</v>
      </c>
      <c r="AC38" s="1446">
        <v>134.92884265800586</v>
      </c>
      <c r="AD38" s="1446">
        <v>239.89799609459752</v>
      </c>
      <c r="AE38" s="1447">
        <v>0</v>
      </c>
    </row>
    <row r="39" spans="1:31" s="232" customFormat="1" x14ac:dyDescent="0.2">
      <c r="A39" s="3"/>
      <c r="B39" s="523">
        <v>2024</v>
      </c>
      <c r="C39" s="1421">
        <v>138123.15743017814</v>
      </c>
      <c r="D39" s="1422">
        <v>4482.3632600404671</v>
      </c>
      <c r="E39" s="1422">
        <v>5270.8461702954373</v>
      </c>
      <c r="F39" s="1422">
        <v>102553.03911315912</v>
      </c>
      <c r="G39" s="1422">
        <v>182354.45865311369</v>
      </c>
      <c r="H39" s="1423">
        <v>98229.620226562256</v>
      </c>
      <c r="I39" s="1360">
        <v>0</v>
      </c>
      <c r="J39" s="524">
        <v>0</v>
      </c>
      <c r="K39" s="524">
        <v>0</v>
      </c>
      <c r="L39" s="524">
        <v>0</v>
      </c>
      <c r="M39" s="1365">
        <v>0</v>
      </c>
      <c r="N39" s="1509">
        <v>6.893502857539958</v>
      </c>
      <c r="O39" s="1443">
        <v>7.4264535186122629</v>
      </c>
      <c r="P39" s="1443">
        <v>7.4461235189702206</v>
      </c>
      <c r="Q39" s="1464">
        <v>6.4348568869786869</v>
      </c>
      <c r="R39" s="1464">
        <v>15.419135431110959</v>
      </c>
      <c r="S39" s="1465">
        <v>7.6553105819533922</v>
      </c>
      <c r="T39" s="1445">
        <v>1</v>
      </c>
      <c r="U39" s="1446">
        <v>1</v>
      </c>
      <c r="V39" s="1446">
        <v>1</v>
      </c>
      <c r="W39" s="1446">
        <v>16.668063273989546</v>
      </c>
      <c r="X39" s="1446">
        <v>1</v>
      </c>
      <c r="Y39" s="1447">
        <v>1</v>
      </c>
      <c r="Z39" s="1445">
        <v>0</v>
      </c>
      <c r="AA39" s="1446">
        <v>0</v>
      </c>
      <c r="AB39" s="1446">
        <v>0</v>
      </c>
      <c r="AC39" s="1446">
        <v>135.42347046027754</v>
      </c>
      <c r="AD39" s="1446">
        <v>241.10394204376061</v>
      </c>
      <c r="AE39" s="1447">
        <v>0</v>
      </c>
    </row>
    <row r="40" spans="1:31" s="232" customFormat="1" ht="15" thickBot="1" x14ac:dyDescent="0.25">
      <c r="A40" s="3"/>
      <c r="B40" s="525">
        <v>2025</v>
      </c>
      <c r="C40" s="1424">
        <v>138428.94678772261</v>
      </c>
      <c r="D40" s="1425">
        <v>5602.9540750505839</v>
      </c>
      <c r="E40" s="1425">
        <v>6145.7414591736597</v>
      </c>
      <c r="F40" s="1425">
        <v>70788.282127278944</v>
      </c>
      <c r="G40" s="1425">
        <v>124481.35464551323</v>
      </c>
      <c r="H40" s="1426">
        <v>75193.226490005531</v>
      </c>
      <c r="I40" s="1361">
        <v>0</v>
      </c>
      <c r="J40" s="526">
        <v>0</v>
      </c>
      <c r="K40" s="526">
        <v>0</v>
      </c>
      <c r="L40" s="526">
        <v>0</v>
      </c>
      <c r="M40" s="1366">
        <v>0</v>
      </c>
      <c r="N40" s="1510">
        <v>7.0085428042454856</v>
      </c>
      <c r="O40" s="1449">
        <v>7.6740426808692401</v>
      </c>
      <c r="P40" s="1449">
        <v>7.6987124926565631</v>
      </c>
      <c r="Q40" s="1460">
        <v>6.7332010694396729</v>
      </c>
      <c r="R40" s="1460">
        <v>15.934104546672607</v>
      </c>
      <c r="S40" s="1461">
        <v>7.9215405851798559</v>
      </c>
      <c r="T40" s="1451">
        <v>1</v>
      </c>
      <c r="U40" s="1452">
        <v>1</v>
      </c>
      <c r="V40" s="1452">
        <v>1</v>
      </c>
      <c r="W40" s="1452">
        <v>17.20310669878624</v>
      </c>
      <c r="X40" s="1452">
        <v>1</v>
      </c>
      <c r="Y40" s="1453">
        <v>1</v>
      </c>
      <c r="Z40" s="1451">
        <v>0</v>
      </c>
      <c r="AA40" s="1452">
        <v>0</v>
      </c>
      <c r="AB40" s="1452">
        <v>0</v>
      </c>
      <c r="AC40" s="1452">
        <v>135.91809826254922</v>
      </c>
      <c r="AD40" s="1452">
        <v>242.30988799292368</v>
      </c>
      <c r="AE40" s="1453">
        <v>0</v>
      </c>
    </row>
    <row r="41" spans="1:31" s="232" customFormat="1" x14ac:dyDescent="0.2">
      <c r="A41" s="3"/>
      <c r="B41" s="527">
        <v>2026</v>
      </c>
      <c r="C41" s="1427">
        <v>139088.32283276951</v>
      </c>
      <c r="D41" s="1428">
        <v>5829.5183760771179</v>
      </c>
      <c r="E41" s="1428">
        <v>6311.0325946978555</v>
      </c>
      <c r="F41" s="1428">
        <v>63439.25086035025</v>
      </c>
      <c r="G41" s="1428">
        <v>111055.27571971853</v>
      </c>
      <c r="H41" s="1429">
        <v>64934.805702934522</v>
      </c>
      <c r="I41" s="1359">
        <v>0</v>
      </c>
      <c r="J41" s="528">
        <v>0</v>
      </c>
      <c r="K41" s="528">
        <v>0</v>
      </c>
      <c r="L41" s="528">
        <v>0</v>
      </c>
      <c r="M41" s="1364">
        <v>0</v>
      </c>
      <c r="N41" s="1511">
        <v>7.1518705692126208</v>
      </c>
      <c r="O41" s="1455">
        <v>7.9528406682628203</v>
      </c>
      <c r="P41" s="1455">
        <v>7.9826187386488376</v>
      </c>
      <c r="Q41" s="1462">
        <v>7.0590845236856596</v>
      </c>
      <c r="R41" s="1462">
        <v>16.513876244838215</v>
      </c>
      <c r="S41" s="1463">
        <v>8.2200065207638815</v>
      </c>
      <c r="T41" s="1457">
        <v>1</v>
      </c>
      <c r="U41" s="1458">
        <v>1</v>
      </c>
      <c r="V41" s="1458">
        <v>1</v>
      </c>
      <c r="W41" s="1458">
        <v>17.808073182331189</v>
      </c>
      <c r="X41" s="1458">
        <v>1</v>
      </c>
      <c r="Y41" s="1459">
        <v>1</v>
      </c>
      <c r="Z41" s="1457">
        <v>0</v>
      </c>
      <c r="AA41" s="1458">
        <v>0</v>
      </c>
      <c r="AB41" s="1458">
        <v>0</v>
      </c>
      <c r="AC41" s="1458">
        <v>136.23891827351258</v>
      </c>
      <c r="AD41" s="1458">
        <v>243.05658945648446</v>
      </c>
      <c r="AE41" s="1459">
        <v>0</v>
      </c>
    </row>
    <row r="42" spans="1:31" s="232" customFormat="1" x14ac:dyDescent="0.2">
      <c r="A42" s="3"/>
      <c r="B42" s="523">
        <v>2027</v>
      </c>
      <c r="C42" s="1421">
        <v>139747.69887781641</v>
      </c>
      <c r="D42" s="1422">
        <v>6056.0826771036518</v>
      </c>
      <c r="E42" s="1422">
        <v>6476.3237302220368</v>
      </c>
      <c r="F42" s="1422">
        <v>56090.219593421556</v>
      </c>
      <c r="G42" s="1422">
        <v>97629.196793923824</v>
      </c>
      <c r="H42" s="1423">
        <v>54676.384915863513</v>
      </c>
      <c r="I42" s="1360">
        <v>0</v>
      </c>
      <c r="J42" s="524">
        <v>0</v>
      </c>
      <c r="K42" s="524">
        <v>0</v>
      </c>
      <c r="L42" s="524">
        <v>0</v>
      </c>
      <c r="M42" s="1365">
        <v>0</v>
      </c>
      <c r="N42" s="1509">
        <v>7.2857373464052682</v>
      </c>
      <c r="O42" s="1443">
        <v>8.2216592425265489</v>
      </c>
      <c r="P42" s="1443">
        <v>8.2565266231786616</v>
      </c>
      <c r="Q42" s="1464">
        <v>7.376465425383727</v>
      </c>
      <c r="R42" s="1464">
        <v>17.072929812019524</v>
      </c>
      <c r="S42" s="1465">
        <v>8.5082044818046612</v>
      </c>
      <c r="T42" s="1445">
        <v>1</v>
      </c>
      <c r="U42" s="1446">
        <v>1</v>
      </c>
      <c r="V42" s="1446">
        <v>1</v>
      </c>
      <c r="W42" s="1446">
        <v>18.390606120850386</v>
      </c>
      <c r="X42" s="1446">
        <v>1</v>
      </c>
      <c r="Y42" s="1447">
        <v>1</v>
      </c>
      <c r="Z42" s="1445">
        <v>0</v>
      </c>
      <c r="AA42" s="1446">
        <v>0</v>
      </c>
      <c r="AB42" s="1446">
        <v>0</v>
      </c>
      <c r="AC42" s="1446">
        <v>136.55973828447594</v>
      </c>
      <c r="AD42" s="1446">
        <v>243.80329092004524</v>
      </c>
      <c r="AE42" s="1447">
        <v>0</v>
      </c>
    </row>
    <row r="43" spans="1:31" s="232" customFormat="1" x14ac:dyDescent="0.2">
      <c r="A43" s="3"/>
      <c r="B43" s="523">
        <v>2028</v>
      </c>
      <c r="C43" s="1421">
        <v>140407.07492286331</v>
      </c>
      <c r="D43" s="1422">
        <v>6282.6469781302003</v>
      </c>
      <c r="E43" s="1422">
        <v>6641.6148657462181</v>
      </c>
      <c r="F43" s="1422">
        <v>48741.188326492862</v>
      </c>
      <c r="G43" s="1422">
        <v>84203.11786812912</v>
      </c>
      <c r="H43" s="1423">
        <v>44417.964128792504</v>
      </c>
      <c r="I43" s="1360">
        <v>0</v>
      </c>
      <c r="J43" s="524">
        <v>0</v>
      </c>
      <c r="K43" s="524">
        <v>0</v>
      </c>
      <c r="L43" s="524">
        <v>0</v>
      </c>
      <c r="M43" s="1365">
        <v>0</v>
      </c>
      <c r="N43" s="1509">
        <v>7.3498347364013634</v>
      </c>
      <c r="O43" s="1443">
        <v>8.4109962645064513</v>
      </c>
      <c r="P43" s="1443">
        <v>8.4505907397396012</v>
      </c>
      <c r="Q43" s="1464">
        <v>7.622050479762966</v>
      </c>
      <c r="R43" s="1464">
        <v>17.466928323315564</v>
      </c>
      <c r="S43" s="1465">
        <v>8.7140870352370801</v>
      </c>
      <c r="T43" s="1445">
        <v>1</v>
      </c>
      <c r="U43" s="1446">
        <v>1</v>
      </c>
      <c r="V43" s="1446">
        <v>1</v>
      </c>
      <c r="W43" s="1446">
        <v>18.795470380067211</v>
      </c>
      <c r="X43" s="1446">
        <v>1</v>
      </c>
      <c r="Y43" s="1447">
        <v>1</v>
      </c>
      <c r="Z43" s="1445">
        <v>0</v>
      </c>
      <c r="AA43" s="1446">
        <v>0</v>
      </c>
      <c r="AB43" s="1446">
        <v>0</v>
      </c>
      <c r="AC43" s="1446">
        <v>136.8805582954393</v>
      </c>
      <c r="AD43" s="1446">
        <v>244.54999238360602</v>
      </c>
      <c r="AE43" s="1447">
        <v>0</v>
      </c>
    </row>
    <row r="44" spans="1:31" s="232" customFormat="1" x14ac:dyDescent="0.2">
      <c r="A44" s="3"/>
      <c r="B44" s="523">
        <v>2029</v>
      </c>
      <c r="C44" s="1421">
        <v>141066.45096791023</v>
      </c>
      <c r="D44" s="1422">
        <v>6509.2112791567342</v>
      </c>
      <c r="E44" s="1422">
        <v>6806.9060012703994</v>
      </c>
      <c r="F44" s="1422">
        <v>41392.157059564168</v>
      </c>
      <c r="G44" s="1422">
        <v>70777.038942334417</v>
      </c>
      <c r="H44" s="1423">
        <v>34159.543341721495</v>
      </c>
      <c r="I44" s="1360">
        <v>0</v>
      </c>
      <c r="J44" s="524">
        <v>0</v>
      </c>
      <c r="K44" s="524">
        <v>0</v>
      </c>
      <c r="L44" s="524">
        <v>0</v>
      </c>
      <c r="M44" s="1365">
        <v>0</v>
      </c>
      <c r="N44" s="1509">
        <v>7.4265021351464542</v>
      </c>
      <c r="O44" s="1443">
        <v>8.6131061487827569</v>
      </c>
      <c r="P44" s="1443">
        <v>8.657434535593751</v>
      </c>
      <c r="Q44" s="1464">
        <v>7.8781817338412647</v>
      </c>
      <c r="R44" s="1464">
        <v>17.887440743326167</v>
      </c>
      <c r="S44" s="1465">
        <v>8.9330675926347691</v>
      </c>
      <c r="T44" s="1445">
        <v>1</v>
      </c>
      <c r="U44" s="1446">
        <v>1</v>
      </c>
      <c r="V44" s="1446">
        <v>1</v>
      </c>
      <c r="W44" s="1446">
        <v>19.229130690638677</v>
      </c>
      <c r="X44" s="1446">
        <v>1</v>
      </c>
      <c r="Y44" s="1447">
        <v>1</v>
      </c>
      <c r="Z44" s="1445">
        <v>0</v>
      </c>
      <c r="AA44" s="1446">
        <v>0</v>
      </c>
      <c r="AB44" s="1446">
        <v>0</v>
      </c>
      <c r="AC44" s="1446">
        <v>137.20137830640266</v>
      </c>
      <c r="AD44" s="1446">
        <v>245.29669384716681</v>
      </c>
      <c r="AE44" s="1447">
        <v>0</v>
      </c>
    </row>
    <row r="45" spans="1:31" s="232" customFormat="1" ht="15" thickBot="1" x14ac:dyDescent="0.25">
      <c r="A45" s="3"/>
      <c r="B45" s="525">
        <v>2030</v>
      </c>
      <c r="C45" s="1424">
        <v>141725.82701295713</v>
      </c>
      <c r="D45" s="1425">
        <v>6735.7755801832827</v>
      </c>
      <c r="E45" s="1425">
        <v>6972.1971367946244</v>
      </c>
      <c r="F45" s="1425">
        <v>34043.12579263543</v>
      </c>
      <c r="G45" s="1425">
        <v>57350.960016539786</v>
      </c>
      <c r="H45" s="1426">
        <v>23901.12255465053</v>
      </c>
      <c r="I45" s="1361">
        <v>0</v>
      </c>
      <c r="J45" s="526">
        <v>0</v>
      </c>
      <c r="K45" s="526">
        <v>0</v>
      </c>
      <c r="L45" s="526">
        <v>0</v>
      </c>
      <c r="M45" s="1366">
        <v>0</v>
      </c>
      <c r="N45" s="1510">
        <v>7.430690167571318</v>
      </c>
      <c r="O45" s="1449">
        <v>8.7287315275043209</v>
      </c>
      <c r="P45" s="1449">
        <v>8.7772696090206512</v>
      </c>
      <c r="Q45" s="1460">
        <v>8.0536814629207125</v>
      </c>
      <c r="R45" s="1460">
        <v>18.128328098808915</v>
      </c>
      <c r="S45" s="1461">
        <v>9.0621503666569456</v>
      </c>
      <c r="T45" s="1451">
        <v>1</v>
      </c>
      <c r="U45" s="1452">
        <v>1</v>
      </c>
      <c r="V45" s="1452">
        <v>1</v>
      </c>
      <c r="W45" s="1452">
        <v>19.470086695771229</v>
      </c>
      <c r="X45" s="1452">
        <v>1</v>
      </c>
      <c r="Y45" s="1453">
        <v>1</v>
      </c>
      <c r="Z45" s="1451">
        <v>0</v>
      </c>
      <c r="AA45" s="1452">
        <v>0</v>
      </c>
      <c r="AB45" s="1452">
        <v>0</v>
      </c>
      <c r="AC45" s="1452">
        <v>137.52219831736599</v>
      </c>
      <c r="AD45" s="1452">
        <v>246.04339531072753</v>
      </c>
      <c r="AE45" s="1453">
        <v>0</v>
      </c>
    </row>
    <row r="46" spans="1:31" s="232" customFormat="1" x14ac:dyDescent="0.2">
      <c r="A46" s="3"/>
      <c r="B46" s="527">
        <v>2031</v>
      </c>
      <c r="C46" s="1427">
        <v>141725.82701295713</v>
      </c>
      <c r="D46" s="1428">
        <v>6735.7755801832827</v>
      </c>
      <c r="E46" s="1428">
        <v>6972.1971367946244</v>
      </c>
      <c r="F46" s="1428">
        <v>31513.336840420408</v>
      </c>
      <c r="G46" s="1428">
        <v>52004.511706898396</v>
      </c>
      <c r="H46" s="1429">
        <v>21656.225335991505</v>
      </c>
      <c r="I46" s="1359">
        <v>0</v>
      </c>
      <c r="J46" s="528">
        <v>0</v>
      </c>
      <c r="K46" s="528">
        <v>0</v>
      </c>
      <c r="L46" s="528">
        <v>0</v>
      </c>
      <c r="M46" s="1364">
        <v>0</v>
      </c>
      <c r="N46" s="1511">
        <v>7.4348781999961817</v>
      </c>
      <c r="O46" s="1455">
        <f>$N46*O45/$N45</f>
        <v>8.7336511527128469</v>
      </c>
      <c r="P46" s="1455">
        <f t="shared" ref="P46:P65" si="13">$N46*P45/$N45</f>
        <v>8.782216590915386</v>
      </c>
      <c r="Q46" s="1462">
        <v>8.2298702354726156</v>
      </c>
      <c r="R46" s="1462">
        <v>18.375232189908324</v>
      </c>
      <c r="S46" s="1463">
        <v>9.2500498171888506</v>
      </c>
      <c r="T46" s="1457">
        <v>1</v>
      </c>
      <c r="U46" s="1458">
        <v>1</v>
      </c>
      <c r="V46" s="1458">
        <v>1</v>
      </c>
      <c r="W46" s="1458">
        <v>19.744531560524774</v>
      </c>
      <c r="X46" s="1458">
        <v>1</v>
      </c>
      <c r="Y46" s="1459">
        <v>1</v>
      </c>
      <c r="Z46" s="1457">
        <v>0</v>
      </c>
      <c r="AA46" s="1458">
        <v>0</v>
      </c>
      <c r="AB46" s="1458">
        <v>0</v>
      </c>
      <c r="AC46" s="1458">
        <v>137.74771152428704</v>
      </c>
      <c r="AD46" s="1458">
        <v>246.54370008861537</v>
      </c>
      <c r="AE46" s="1459">
        <v>0</v>
      </c>
    </row>
    <row r="47" spans="1:31" s="232" customFormat="1" x14ac:dyDescent="0.2">
      <c r="A47" s="3"/>
      <c r="B47" s="523">
        <v>2032</v>
      </c>
      <c r="C47" s="1421">
        <v>141725.82701295713</v>
      </c>
      <c r="D47" s="1428">
        <v>6735.7755801832827</v>
      </c>
      <c r="E47" s="1428">
        <v>6972.1971367946244</v>
      </c>
      <c r="F47" s="1428">
        <v>28983.547888205387</v>
      </c>
      <c r="G47" s="1428">
        <v>46658.063397257007</v>
      </c>
      <c r="H47" s="1429">
        <v>19411.328117332479</v>
      </c>
      <c r="I47" s="1360">
        <v>0</v>
      </c>
      <c r="J47" s="529">
        <v>0</v>
      </c>
      <c r="K47" s="524">
        <v>0</v>
      </c>
      <c r="L47" s="529">
        <v>0</v>
      </c>
      <c r="M47" s="1365">
        <v>0</v>
      </c>
      <c r="N47" s="1511">
        <v>7.4390662324210455</v>
      </c>
      <c r="O47" s="1443">
        <f t="shared" ref="O47:O65" si="14">$N47*O46/$N46</f>
        <v>8.738570777921371</v>
      </c>
      <c r="P47" s="1443">
        <f t="shared" si="13"/>
        <v>8.7871635728101189</v>
      </c>
      <c r="Q47" s="1464">
        <v>8.4062523868885073</v>
      </c>
      <c r="R47" s="1464">
        <v>18.622402930086231</v>
      </c>
      <c r="S47" s="1465">
        <v>9.438155199387559</v>
      </c>
      <c r="T47" s="1457">
        <v>1</v>
      </c>
      <c r="U47" s="1458">
        <v>1</v>
      </c>
      <c r="V47" s="1458">
        <v>1</v>
      </c>
      <c r="W47" s="1458">
        <v>20.019273249572688</v>
      </c>
      <c r="X47" s="1458">
        <v>1</v>
      </c>
      <c r="Y47" s="1459">
        <v>1</v>
      </c>
      <c r="Z47" s="1457">
        <v>0</v>
      </c>
      <c r="AA47" s="1458">
        <v>0</v>
      </c>
      <c r="AB47" s="1458">
        <v>0</v>
      </c>
      <c r="AC47" s="1458">
        <v>137.97322473120809</v>
      </c>
      <c r="AD47" s="1458">
        <v>247.0440048665032</v>
      </c>
      <c r="AE47" s="1459">
        <v>0</v>
      </c>
    </row>
    <row r="48" spans="1:31" s="232" customFormat="1" x14ac:dyDescent="0.2">
      <c r="A48" s="3"/>
      <c r="B48" s="523">
        <v>2033</v>
      </c>
      <c r="C48" s="1421">
        <v>141725.82701295713</v>
      </c>
      <c r="D48" s="1428">
        <v>6735.7755801832827</v>
      </c>
      <c r="E48" s="1428">
        <v>6972.1971367946244</v>
      </c>
      <c r="F48" s="1428">
        <v>26453.758935990365</v>
      </c>
      <c r="G48" s="1428">
        <v>41311.615087615617</v>
      </c>
      <c r="H48" s="1429">
        <v>17166.430898673454</v>
      </c>
      <c r="I48" s="1360">
        <v>0</v>
      </c>
      <c r="J48" s="524">
        <v>0</v>
      </c>
      <c r="K48" s="524">
        <v>0</v>
      </c>
      <c r="L48" s="524">
        <v>0</v>
      </c>
      <c r="M48" s="1365">
        <v>0</v>
      </c>
      <c r="N48" s="1511">
        <v>7.4432542648459092</v>
      </c>
      <c r="O48" s="1443">
        <f t="shared" si="14"/>
        <v>8.7434904031298952</v>
      </c>
      <c r="P48" s="1443">
        <f t="shared" si="13"/>
        <v>8.7921105547048519</v>
      </c>
      <c r="Q48" s="1464">
        <v>8.582827917168391</v>
      </c>
      <c r="R48" s="1464">
        <v>18.869840319342622</v>
      </c>
      <c r="S48" s="1465">
        <v>9.6264665132530691</v>
      </c>
      <c r="T48" s="1457">
        <v>1</v>
      </c>
      <c r="U48" s="1458">
        <v>1</v>
      </c>
      <c r="V48" s="1458">
        <v>1</v>
      </c>
      <c r="W48" s="1458">
        <v>20.294311762914962</v>
      </c>
      <c r="X48" s="1458">
        <v>1</v>
      </c>
      <c r="Y48" s="1459">
        <v>1</v>
      </c>
      <c r="Z48" s="1457">
        <v>0</v>
      </c>
      <c r="AA48" s="1458">
        <v>0</v>
      </c>
      <c r="AB48" s="1458">
        <v>0</v>
      </c>
      <c r="AC48" s="1458">
        <v>138.19873793812914</v>
      </c>
      <c r="AD48" s="1458">
        <v>247.54430964439103</v>
      </c>
      <c r="AE48" s="1459">
        <v>0</v>
      </c>
    </row>
    <row r="49" spans="1:31" s="232" customFormat="1" x14ac:dyDescent="0.2">
      <c r="A49" s="3"/>
      <c r="B49" s="523">
        <v>2034</v>
      </c>
      <c r="C49" s="1421">
        <v>141725.82701295713</v>
      </c>
      <c r="D49" s="1428">
        <v>6735.7755801832827</v>
      </c>
      <c r="E49" s="1428">
        <v>6972.1971367946244</v>
      </c>
      <c r="F49" s="1428">
        <v>23923.969983775343</v>
      </c>
      <c r="G49" s="1428">
        <v>35965.166777974227</v>
      </c>
      <c r="H49" s="1429">
        <v>14921.533680014429</v>
      </c>
      <c r="I49" s="1360">
        <v>0</v>
      </c>
      <c r="J49" s="524">
        <v>0</v>
      </c>
      <c r="K49" s="524">
        <v>0</v>
      </c>
      <c r="L49" s="524">
        <v>0</v>
      </c>
      <c r="M49" s="1365">
        <v>0</v>
      </c>
      <c r="N49" s="1511">
        <v>7.4474422972707739</v>
      </c>
      <c r="O49" s="1443">
        <f t="shared" si="14"/>
        <v>8.7484100283384194</v>
      </c>
      <c r="P49" s="1443">
        <f t="shared" si="13"/>
        <v>8.7970575365995849</v>
      </c>
      <c r="Q49" s="1464">
        <v>8.7595968263122685</v>
      </c>
      <c r="R49" s="1464">
        <v>19.117544357677506</v>
      </c>
      <c r="S49" s="1465">
        <v>9.8149837587853828</v>
      </c>
      <c r="T49" s="1457">
        <v>1</v>
      </c>
      <c r="U49" s="1458">
        <v>1</v>
      </c>
      <c r="V49" s="1458">
        <v>1</v>
      </c>
      <c r="W49" s="1458">
        <v>20.569647100551599</v>
      </c>
      <c r="X49" s="1458">
        <v>1</v>
      </c>
      <c r="Y49" s="1459">
        <v>1</v>
      </c>
      <c r="Z49" s="1457">
        <v>0</v>
      </c>
      <c r="AA49" s="1458">
        <v>0</v>
      </c>
      <c r="AB49" s="1458">
        <v>0</v>
      </c>
      <c r="AC49" s="1458">
        <v>138.42425114505019</v>
      </c>
      <c r="AD49" s="1458">
        <v>248.04461442227887</v>
      </c>
      <c r="AE49" s="1459">
        <v>0</v>
      </c>
    </row>
    <row r="50" spans="1:31" s="232" customFormat="1" ht="15" thickBot="1" x14ac:dyDescent="0.25">
      <c r="A50" s="3"/>
      <c r="B50" s="530">
        <v>2035</v>
      </c>
      <c r="C50" s="1430">
        <v>141725.82701295713</v>
      </c>
      <c r="D50" s="1431">
        <v>6735.7755801832827</v>
      </c>
      <c r="E50" s="1431">
        <v>6972.1971367946244</v>
      </c>
      <c r="F50" s="1431">
        <v>21394.181031560263</v>
      </c>
      <c r="G50" s="1431">
        <v>30618.718468332838</v>
      </c>
      <c r="H50" s="1432">
        <v>12676.636461355432</v>
      </c>
      <c r="I50" s="1362">
        <v>0</v>
      </c>
      <c r="J50" s="531">
        <v>0</v>
      </c>
      <c r="K50" s="531">
        <v>0</v>
      </c>
      <c r="L50" s="531">
        <v>0</v>
      </c>
      <c r="M50" s="1367">
        <v>0</v>
      </c>
      <c r="N50" s="1512">
        <v>7.4516303296956377</v>
      </c>
      <c r="O50" s="1449">
        <f t="shared" si="14"/>
        <v>8.7533296535469436</v>
      </c>
      <c r="P50" s="1449">
        <f t="shared" si="13"/>
        <v>8.8020045184943179</v>
      </c>
      <c r="Q50" s="1460">
        <v>8.9365591143201346</v>
      </c>
      <c r="R50" s="1460">
        <v>19.365515045090888</v>
      </c>
      <c r="S50" s="1461">
        <v>10.003706935984496</v>
      </c>
      <c r="T50" s="1467">
        <v>1</v>
      </c>
      <c r="U50" s="1468">
        <v>1</v>
      </c>
      <c r="V50" s="1468">
        <v>1</v>
      </c>
      <c r="W50" s="1468">
        <v>20.845279262482606</v>
      </c>
      <c r="X50" s="1468">
        <v>1</v>
      </c>
      <c r="Y50" s="1469">
        <v>1</v>
      </c>
      <c r="Z50" s="1467">
        <v>0</v>
      </c>
      <c r="AA50" s="1468">
        <v>0</v>
      </c>
      <c r="AB50" s="1468">
        <v>0</v>
      </c>
      <c r="AC50" s="1468">
        <v>138.64976435197124</v>
      </c>
      <c r="AD50" s="1468">
        <v>248.54491920016673</v>
      </c>
      <c r="AE50" s="1469">
        <v>0</v>
      </c>
    </row>
    <row r="51" spans="1:31" s="232" customFormat="1" x14ac:dyDescent="0.2">
      <c r="A51" s="3"/>
      <c r="B51" s="532">
        <v>2036</v>
      </c>
      <c r="C51" s="1418">
        <v>141725.82701295713</v>
      </c>
      <c r="D51" s="1419">
        <v>6735.7755801832827</v>
      </c>
      <c r="E51" s="1419">
        <v>6972.1971367946244</v>
      </c>
      <c r="F51" s="1419">
        <v>21247.826875298837</v>
      </c>
      <c r="G51" s="1419">
        <v>30039.7510299719</v>
      </c>
      <c r="H51" s="1420">
        <v>12143.892554346501</v>
      </c>
      <c r="I51" s="1363">
        <v>0</v>
      </c>
      <c r="J51" s="533">
        <v>0</v>
      </c>
      <c r="K51" s="533">
        <v>0</v>
      </c>
      <c r="L51" s="533">
        <v>0</v>
      </c>
      <c r="M51" s="1368">
        <v>0</v>
      </c>
      <c r="N51" s="1508">
        <v>7.4551478614568492</v>
      </c>
      <c r="O51" s="1437">
        <f t="shared" si="14"/>
        <v>8.757461650668434</v>
      </c>
      <c r="P51" s="1437">
        <f t="shared" si="13"/>
        <v>8.8061594925182902</v>
      </c>
      <c r="Q51" s="1470">
        <v>9.0017835278140073</v>
      </c>
      <c r="R51" s="1470">
        <v>19.454753386500709</v>
      </c>
      <c r="S51" s="1471">
        <v>10.111692570575936</v>
      </c>
      <c r="T51" s="1439">
        <v>1</v>
      </c>
      <c r="U51" s="1440">
        <v>1</v>
      </c>
      <c r="V51" s="1440">
        <v>1</v>
      </c>
      <c r="W51" s="1440">
        <v>20.945940243621127</v>
      </c>
      <c r="X51" s="1440">
        <v>1</v>
      </c>
      <c r="Y51" s="1441">
        <v>1</v>
      </c>
      <c r="Z51" s="1439">
        <v>0</v>
      </c>
      <c r="AA51" s="1440">
        <v>0</v>
      </c>
      <c r="AB51" s="1440">
        <v>0</v>
      </c>
      <c r="AC51" s="1440">
        <v>138.740279572574</v>
      </c>
      <c r="AD51" s="1440">
        <v>248.58845165774892</v>
      </c>
      <c r="AE51" s="1441">
        <v>0</v>
      </c>
    </row>
    <row r="52" spans="1:31" s="232" customFormat="1" x14ac:dyDescent="0.2">
      <c r="A52" s="3"/>
      <c r="B52" s="523">
        <v>2037</v>
      </c>
      <c r="C52" s="1421">
        <v>141725.82701295713</v>
      </c>
      <c r="D52" s="1422">
        <v>6735.7755801832827</v>
      </c>
      <c r="E52" s="1422">
        <v>6972.1971367946244</v>
      </c>
      <c r="F52" s="1422">
        <v>21101.472719037411</v>
      </c>
      <c r="G52" s="1422">
        <v>29460.783591610962</v>
      </c>
      <c r="H52" s="1423">
        <v>11611.14864733757</v>
      </c>
      <c r="I52" s="1360">
        <v>0</v>
      </c>
      <c r="J52" s="524">
        <v>0</v>
      </c>
      <c r="K52" s="524">
        <v>0</v>
      </c>
      <c r="L52" s="524">
        <v>0</v>
      </c>
      <c r="M52" s="1365">
        <v>0</v>
      </c>
      <c r="N52" s="1509">
        <v>7.4551644145974132</v>
      </c>
      <c r="O52" s="1443">
        <f t="shared" si="14"/>
        <v>8.7574810954194149</v>
      </c>
      <c r="P52" s="1443">
        <f t="shared" si="13"/>
        <v>8.8061790453961972</v>
      </c>
      <c r="Q52" s="1464">
        <v>9.0628095736633636</v>
      </c>
      <c r="R52" s="1464">
        <v>19.534893637869498</v>
      </c>
      <c r="S52" s="1465">
        <v>10.214978650102701</v>
      </c>
      <c r="T52" s="1445">
        <v>1</v>
      </c>
      <c r="U52" s="1446">
        <v>1</v>
      </c>
      <c r="V52" s="1446">
        <v>1</v>
      </c>
      <c r="W52" s="1446">
        <v>21.036807948861114</v>
      </c>
      <c r="X52" s="1446">
        <v>1</v>
      </c>
      <c r="Y52" s="1447">
        <v>1</v>
      </c>
      <c r="Z52" s="1445">
        <v>0</v>
      </c>
      <c r="AA52" s="1446">
        <v>0</v>
      </c>
      <c r="AB52" s="1446">
        <v>0</v>
      </c>
      <c r="AC52" s="1446">
        <v>138.83079479317675</v>
      </c>
      <c r="AD52" s="1446">
        <v>248.63198411533111</v>
      </c>
      <c r="AE52" s="1447">
        <v>0</v>
      </c>
    </row>
    <row r="53" spans="1:31" s="232" customFormat="1" x14ac:dyDescent="0.2">
      <c r="A53" s="3"/>
      <c r="B53" s="523">
        <v>2038</v>
      </c>
      <c r="C53" s="1421">
        <v>141725.82701295713</v>
      </c>
      <c r="D53" s="1422">
        <v>6735.7755801832827</v>
      </c>
      <c r="E53" s="1422">
        <v>6972.1971367946244</v>
      </c>
      <c r="F53" s="1422">
        <v>20955.118562775984</v>
      </c>
      <c r="G53" s="1422">
        <v>28881.816153250023</v>
      </c>
      <c r="H53" s="1423">
        <v>11078.404740328639</v>
      </c>
      <c r="I53" s="1360">
        <v>0</v>
      </c>
      <c r="J53" s="524">
        <v>0</v>
      </c>
      <c r="K53" s="524">
        <v>0</v>
      </c>
      <c r="L53" s="524">
        <v>0</v>
      </c>
      <c r="M53" s="1365">
        <v>0</v>
      </c>
      <c r="N53" s="1509">
        <v>7.4551809677379772</v>
      </c>
      <c r="O53" s="1443">
        <f t="shared" si="14"/>
        <v>8.7575005401703958</v>
      </c>
      <c r="P53" s="1443">
        <f t="shared" si="13"/>
        <v>8.8061985982741025</v>
      </c>
      <c r="Q53" s="1464">
        <v>9.1238358904234076</v>
      </c>
      <c r="R53" s="1464">
        <v>19.615034244926701</v>
      </c>
      <c r="S53" s="1465">
        <v>10.318265188194093</v>
      </c>
      <c r="T53" s="1445">
        <v>1</v>
      </c>
      <c r="U53" s="1446">
        <v>1</v>
      </c>
      <c r="V53" s="1446">
        <v>1</v>
      </c>
      <c r="W53" s="1446">
        <v>21.127676057412408</v>
      </c>
      <c r="X53" s="1446">
        <v>1</v>
      </c>
      <c r="Y53" s="1447">
        <v>1</v>
      </c>
      <c r="Z53" s="1445">
        <v>0</v>
      </c>
      <c r="AA53" s="1446">
        <v>0</v>
      </c>
      <c r="AB53" s="1446">
        <v>0</v>
      </c>
      <c r="AC53" s="1446">
        <v>138.9213100137795</v>
      </c>
      <c r="AD53" s="1446">
        <v>248.6755165729133</v>
      </c>
      <c r="AE53" s="1447">
        <v>0</v>
      </c>
    </row>
    <row r="54" spans="1:31" s="232" customFormat="1" x14ac:dyDescent="0.2">
      <c r="A54" s="3"/>
      <c r="B54" s="523">
        <v>2039</v>
      </c>
      <c r="C54" s="1421">
        <v>141725.82701295713</v>
      </c>
      <c r="D54" s="1422">
        <v>6735.7755801832827</v>
      </c>
      <c r="E54" s="1422">
        <v>6972.1971367946244</v>
      </c>
      <c r="F54" s="1422">
        <v>20808.764406514558</v>
      </c>
      <c r="G54" s="1422">
        <v>28302.848714889085</v>
      </c>
      <c r="H54" s="1423">
        <v>10545.660833319707</v>
      </c>
      <c r="I54" s="1360">
        <v>0</v>
      </c>
      <c r="J54" s="524">
        <v>0</v>
      </c>
      <c r="K54" s="524">
        <v>0</v>
      </c>
      <c r="L54" s="524">
        <v>0</v>
      </c>
      <c r="M54" s="1365">
        <v>0</v>
      </c>
      <c r="N54" s="1509">
        <v>7.4551975208785422</v>
      </c>
      <c r="O54" s="1443">
        <f t="shared" si="14"/>
        <v>8.7575199849213785</v>
      </c>
      <c r="P54" s="1443">
        <f t="shared" si="13"/>
        <v>8.8062181511520112</v>
      </c>
      <c r="Q54" s="1464">
        <v>9.1848624780941428</v>
      </c>
      <c r="R54" s="1464">
        <v>19.695175207672317</v>
      </c>
      <c r="S54" s="1465">
        <v>10.421552184850116</v>
      </c>
      <c r="T54" s="1445">
        <v>1</v>
      </c>
      <c r="U54" s="1446">
        <v>1</v>
      </c>
      <c r="V54" s="1446">
        <v>1</v>
      </c>
      <c r="W54" s="1446">
        <v>21.218544569275011</v>
      </c>
      <c r="X54" s="1446">
        <v>1</v>
      </c>
      <c r="Y54" s="1447">
        <v>1</v>
      </c>
      <c r="Z54" s="1445">
        <v>0</v>
      </c>
      <c r="AA54" s="1446">
        <v>0</v>
      </c>
      <c r="AB54" s="1446">
        <v>0</v>
      </c>
      <c r="AC54" s="1446">
        <v>139.01182523438226</v>
      </c>
      <c r="AD54" s="1446">
        <v>248.71904903049548</v>
      </c>
      <c r="AE54" s="1447">
        <v>0</v>
      </c>
    </row>
    <row r="55" spans="1:31" s="232" customFormat="1" ht="15" thickBot="1" x14ac:dyDescent="0.25">
      <c r="A55" s="3"/>
      <c r="B55" s="525">
        <v>2040</v>
      </c>
      <c r="C55" s="1424">
        <v>141725.82701295713</v>
      </c>
      <c r="D55" s="1425">
        <v>6735.7755801832827</v>
      </c>
      <c r="E55" s="1425">
        <v>6972.1971367946244</v>
      </c>
      <c r="F55" s="1425">
        <v>20662.410250253131</v>
      </c>
      <c r="G55" s="1425">
        <v>27723.881276528147</v>
      </c>
      <c r="H55" s="1426">
        <v>10012.916926310776</v>
      </c>
      <c r="I55" s="1361">
        <v>0</v>
      </c>
      <c r="J55" s="526">
        <v>0</v>
      </c>
      <c r="K55" s="526">
        <v>0</v>
      </c>
      <c r="L55" s="526">
        <v>0</v>
      </c>
      <c r="M55" s="1366">
        <v>0</v>
      </c>
      <c r="N55" s="1510">
        <v>7.4552140740191062</v>
      </c>
      <c r="O55" s="1449">
        <f t="shared" si="14"/>
        <v>8.7575394296723594</v>
      </c>
      <c r="P55" s="1449">
        <f t="shared" si="13"/>
        <v>8.8062377040299182</v>
      </c>
      <c r="Q55" s="1460">
        <v>9.2458893366755657</v>
      </c>
      <c r="R55" s="1460">
        <v>19.775316526106348</v>
      </c>
      <c r="S55" s="1461">
        <v>10.524839640070761</v>
      </c>
      <c r="T55" s="1451">
        <v>1</v>
      </c>
      <c r="U55" s="1452">
        <v>1</v>
      </c>
      <c r="V55" s="1452">
        <v>1</v>
      </c>
      <c r="W55" s="1452">
        <v>21.309413484448918</v>
      </c>
      <c r="X55" s="1452">
        <v>1</v>
      </c>
      <c r="Y55" s="1453">
        <v>1</v>
      </c>
      <c r="Z55" s="1451">
        <v>0</v>
      </c>
      <c r="AA55" s="1452">
        <v>0</v>
      </c>
      <c r="AB55" s="1452">
        <v>0</v>
      </c>
      <c r="AC55" s="1452">
        <v>139.10234045498501</v>
      </c>
      <c r="AD55" s="1452">
        <v>248.76258148807767</v>
      </c>
      <c r="AE55" s="1453">
        <v>0</v>
      </c>
    </row>
    <row r="56" spans="1:31" s="232" customFormat="1" x14ac:dyDescent="0.2">
      <c r="A56" s="3"/>
      <c r="B56" s="532">
        <v>2041</v>
      </c>
      <c r="C56" s="1418">
        <v>141725.82701295713</v>
      </c>
      <c r="D56" s="1419">
        <v>6735.7755801832827</v>
      </c>
      <c r="E56" s="1419">
        <v>6972.1971367946244</v>
      </c>
      <c r="F56" s="1419">
        <v>20516.056093991705</v>
      </c>
      <c r="G56" s="1419">
        <v>27144.913838167209</v>
      </c>
      <c r="H56" s="1420">
        <v>9480.1730193018448</v>
      </c>
      <c r="I56" s="1363">
        <v>0</v>
      </c>
      <c r="J56" s="533">
        <v>0</v>
      </c>
      <c r="K56" s="533">
        <v>0</v>
      </c>
      <c r="L56" s="533">
        <v>0</v>
      </c>
      <c r="M56" s="1368">
        <v>0</v>
      </c>
      <c r="N56" s="1508">
        <v>7.4552306271596702</v>
      </c>
      <c r="O56" s="1455">
        <f t="shared" si="14"/>
        <v>8.7575588744233404</v>
      </c>
      <c r="P56" s="1455">
        <f t="shared" si="13"/>
        <v>8.8062572569078252</v>
      </c>
      <c r="Q56" s="1455">
        <v>9.306916466167678</v>
      </c>
      <c r="R56" s="1455">
        <v>19.855458200228789</v>
      </c>
      <c r="S56" s="1456">
        <v>10.628127553856038</v>
      </c>
      <c r="T56" s="1439">
        <v>1</v>
      </c>
      <c r="U56" s="1440">
        <v>1</v>
      </c>
      <c r="V56" s="1440">
        <v>1</v>
      </c>
      <c r="W56" s="1440">
        <v>21.400282802934132</v>
      </c>
      <c r="X56" s="1440">
        <v>1</v>
      </c>
      <c r="Y56" s="1441">
        <v>1</v>
      </c>
      <c r="Z56" s="1439">
        <v>0</v>
      </c>
      <c r="AA56" s="1440">
        <v>0</v>
      </c>
      <c r="AB56" s="1440">
        <v>0</v>
      </c>
      <c r="AC56" s="1440">
        <v>139.19285567558777</v>
      </c>
      <c r="AD56" s="1440">
        <v>248.80611394565986</v>
      </c>
      <c r="AE56" s="1441">
        <v>0</v>
      </c>
    </row>
    <row r="57" spans="1:31" s="232" customFormat="1" x14ac:dyDescent="0.2">
      <c r="A57" s="3"/>
      <c r="B57" s="523">
        <v>2042</v>
      </c>
      <c r="C57" s="1421">
        <v>141725.82701295713</v>
      </c>
      <c r="D57" s="1422">
        <v>6735.7755801832827</v>
      </c>
      <c r="E57" s="1422">
        <v>6972.1971367946244</v>
      </c>
      <c r="F57" s="1422">
        <v>20369.701937730279</v>
      </c>
      <c r="G57" s="1422">
        <v>26565.946399806271</v>
      </c>
      <c r="H57" s="1423">
        <v>8947.4291122929135</v>
      </c>
      <c r="I57" s="1360">
        <v>0</v>
      </c>
      <c r="J57" s="524">
        <v>0</v>
      </c>
      <c r="K57" s="524">
        <v>0</v>
      </c>
      <c r="L57" s="524">
        <v>0</v>
      </c>
      <c r="M57" s="1365">
        <v>0</v>
      </c>
      <c r="N57" s="1509">
        <v>7.4552471803002351</v>
      </c>
      <c r="O57" s="1443">
        <f t="shared" si="14"/>
        <v>8.7575783191743213</v>
      </c>
      <c r="P57" s="1443">
        <f t="shared" si="13"/>
        <v>8.8062768097857322</v>
      </c>
      <c r="Q57" s="1443">
        <v>9.3679438665704797</v>
      </c>
      <c r="R57" s="1443">
        <v>19.935600230039654</v>
      </c>
      <c r="S57" s="1444">
        <v>10.731415926205942</v>
      </c>
      <c r="T57" s="1445">
        <v>1</v>
      </c>
      <c r="U57" s="1446">
        <v>1</v>
      </c>
      <c r="V57" s="1446">
        <v>1</v>
      </c>
      <c r="W57" s="1446">
        <v>21.491152524730651</v>
      </c>
      <c r="X57" s="1446">
        <v>1</v>
      </c>
      <c r="Y57" s="1447">
        <v>1</v>
      </c>
      <c r="Z57" s="1445">
        <v>0</v>
      </c>
      <c r="AA57" s="1446">
        <v>0</v>
      </c>
      <c r="AB57" s="1446">
        <v>0</v>
      </c>
      <c r="AC57" s="1446">
        <v>139.28337089619052</v>
      </c>
      <c r="AD57" s="1446">
        <v>248.84964640324205</v>
      </c>
      <c r="AE57" s="1447">
        <v>0</v>
      </c>
    </row>
    <row r="58" spans="1:31" s="232" customFormat="1" x14ac:dyDescent="0.2">
      <c r="A58" s="3"/>
      <c r="B58" s="523">
        <v>2043</v>
      </c>
      <c r="C58" s="1421">
        <v>141725.82701295713</v>
      </c>
      <c r="D58" s="1422">
        <v>6735.7755801832827</v>
      </c>
      <c r="E58" s="1422">
        <v>6972.1971367946244</v>
      </c>
      <c r="F58" s="1422">
        <v>20223.347781468852</v>
      </c>
      <c r="G58" s="1422">
        <v>25986.978961445333</v>
      </c>
      <c r="H58" s="1423">
        <v>8414.6852052839822</v>
      </c>
      <c r="I58" s="1360">
        <v>0</v>
      </c>
      <c r="J58" s="524">
        <v>0</v>
      </c>
      <c r="K58" s="524">
        <v>0</v>
      </c>
      <c r="L58" s="524">
        <v>0</v>
      </c>
      <c r="M58" s="1365">
        <v>0</v>
      </c>
      <c r="N58" s="1509">
        <v>7.4552637334408001</v>
      </c>
      <c r="O58" s="1443">
        <f t="shared" si="14"/>
        <v>8.757597763925304</v>
      </c>
      <c r="P58" s="1443">
        <f t="shared" si="13"/>
        <v>8.8062963626636392</v>
      </c>
      <c r="Q58" s="1443">
        <v>9.4289715378839691</v>
      </c>
      <c r="R58" s="1443">
        <v>20.01574261553893</v>
      </c>
      <c r="S58" s="1444">
        <v>10.834704757120475</v>
      </c>
      <c r="T58" s="1445">
        <v>1</v>
      </c>
      <c r="U58" s="1446">
        <v>1</v>
      </c>
      <c r="V58" s="1446">
        <v>1</v>
      </c>
      <c r="W58" s="1446">
        <v>21.582022649838482</v>
      </c>
      <c r="X58" s="1446">
        <v>1</v>
      </c>
      <c r="Y58" s="1447">
        <v>1</v>
      </c>
      <c r="Z58" s="1445">
        <v>0</v>
      </c>
      <c r="AA58" s="1446">
        <v>0</v>
      </c>
      <c r="AB58" s="1446">
        <v>0</v>
      </c>
      <c r="AC58" s="1446">
        <v>139.37388611679327</v>
      </c>
      <c r="AD58" s="1446">
        <v>248.89317886082424</v>
      </c>
      <c r="AE58" s="1447">
        <v>0</v>
      </c>
    </row>
    <row r="59" spans="1:31" s="232" customFormat="1" x14ac:dyDescent="0.2">
      <c r="A59" s="3"/>
      <c r="B59" s="523">
        <v>2044</v>
      </c>
      <c r="C59" s="1421">
        <v>141725.82701295713</v>
      </c>
      <c r="D59" s="1422">
        <v>6735.7755801832827</v>
      </c>
      <c r="E59" s="1422">
        <v>6972.1971367946244</v>
      </c>
      <c r="F59" s="1422">
        <v>20076.993625207426</v>
      </c>
      <c r="G59" s="1422">
        <v>25408.011523084395</v>
      </c>
      <c r="H59" s="1423">
        <v>7881.9412982750509</v>
      </c>
      <c r="I59" s="1360">
        <v>0</v>
      </c>
      <c r="J59" s="524">
        <v>0</v>
      </c>
      <c r="K59" s="524">
        <v>0</v>
      </c>
      <c r="L59" s="524">
        <v>0</v>
      </c>
      <c r="M59" s="1365">
        <v>0</v>
      </c>
      <c r="N59" s="1509">
        <v>7.4552802865813641</v>
      </c>
      <c r="O59" s="1443">
        <f t="shared" si="14"/>
        <v>8.7576172086762831</v>
      </c>
      <c r="P59" s="1443">
        <f t="shared" si="13"/>
        <v>8.8063159155415462</v>
      </c>
      <c r="Q59" s="1443">
        <v>9.489999480108148</v>
      </c>
      <c r="R59" s="1443">
        <v>20.095885356726619</v>
      </c>
      <c r="S59" s="1444">
        <v>10.937994046599632</v>
      </c>
      <c r="T59" s="1445">
        <v>1</v>
      </c>
      <c r="U59" s="1446">
        <v>1</v>
      </c>
      <c r="V59" s="1446">
        <v>1</v>
      </c>
      <c r="W59" s="1446">
        <v>21.672893178257613</v>
      </c>
      <c r="X59" s="1446">
        <v>1</v>
      </c>
      <c r="Y59" s="1447">
        <v>1</v>
      </c>
      <c r="Z59" s="1445">
        <v>0</v>
      </c>
      <c r="AA59" s="1446">
        <v>0</v>
      </c>
      <c r="AB59" s="1446">
        <v>0</v>
      </c>
      <c r="AC59" s="1446">
        <v>139.46440133739603</v>
      </c>
      <c r="AD59" s="1446">
        <v>248.93671131840642</v>
      </c>
      <c r="AE59" s="1447">
        <v>0</v>
      </c>
    </row>
    <row r="60" spans="1:31" s="232" customFormat="1" ht="15" thickBot="1" x14ac:dyDescent="0.25">
      <c r="A60" s="3"/>
      <c r="B60" s="525">
        <v>2045</v>
      </c>
      <c r="C60" s="1424">
        <v>141725.82701295713</v>
      </c>
      <c r="D60" s="1425">
        <v>6735.7755801832827</v>
      </c>
      <c r="E60" s="1425">
        <v>6972.1971367946244</v>
      </c>
      <c r="F60" s="1425">
        <v>19930.639468945999</v>
      </c>
      <c r="G60" s="1425">
        <v>24829.044084723457</v>
      </c>
      <c r="H60" s="1426">
        <v>7349.1973912661197</v>
      </c>
      <c r="I60" s="1361">
        <v>0</v>
      </c>
      <c r="J60" s="526">
        <v>0</v>
      </c>
      <c r="K60" s="526">
        <v>0</v>
      </c>
      <c r="L60" s="526">
        <v>0</v>
      </c>
      <c r="M60" s="1366">
        <v>0</v>
      </c>
      <c r="N60" s="1510">
        <v>7.4552968397219281</v>
      </c>
      <c r="O60" s="1449">
        <f t="shared" si="14"/>
        <v>8.7576366534272641</v>
      </c>
      <c r="P60" s="1449">
        <f t="shared" si="13"/>
        <v>8.8063354684194532</v>
      </c>
      <c r="Q60" s="1449">
        <v>9.5510276932430145</v>
      </c>
      <c r="R60" s="1449">
        <v>20.176028453602722</v>
      </c>
      <c r="S60" s="1450">
        <v>11.041283794643421</v>
      </c>
      <c r="T60" s="1451">
        <v>1</v>
      </c>
      <c r="U60" s="1452">
        <v>1</v>
      </c>
      <c r="V60" s="1452">
        <v>1</v>
      </c>
      <c r="W60" s="1452">
        <v>21.763764109988053</v>
      </c>
      <c r="X60" s="1452">
        <v>1</v>
      </c>
      <c r="Y60" s="1453">
        <v>1</v>
      </c>
      <c r="Z60" s="1451">
        <v>0</v>
      </c>
      <c r="AA60" s="1452">
        <v>0</v>
      </c>
      <c r="AB60" s="1452">
        <v>0</v>
      </c>
      <c r="AC60" s="1452">
        <v>139.55491655799878</v>
      </c>
      <c r="AD60" s="1452">
        <v>248.98024377598861</v>
      </c>
      <c r="AE60" s="1453">
        <v>0</v>
      </c>
    </row>
    <row r="61" spans="1:31" s="232" customFormat="1" x14ac:dyDescent="0.2">
      <c r="A61" s="3"/>
      <c r="B61" s="532">
        <v>2046</v>
      </c>
      <c r="C61" s="1418">
        <v>141725.82701295713</v>
      </c>
      <c r="D61" s="1419">
        <v>6735.7755801832827</v>
      </c>
      <c r="E61" s="1419">
        <v>6972.1971367946244</v>
      </c>
      <c r="F61" s="1419">
        <v>19784.285312684573</v>
      </c>
      <c r="G61" s="1419">
        <v>24250.076646362519</v>
      </c>
      <c r="H61" s="1420">
        <v>6816.4534842571884</v>
      </c>
      <c r="I61" s="1363">
        <v>0</v>
      </c>
      <c r="J61" s="533">
        <v>0</v>
      </c>
      <c r="K61" s="533">
        <v>0</v>
      </c>
      <c r="L61" s="533">
        <v>0</v>
      </c>
      <c r="M61" s="1368">
        <v>0</v>
      </c>
      <c r="N61" s="1508">
        <v>7.4553133928624931</v>
      </c>
      <c r="O61" s="1437">
        <f t="shared" si="14"/>
        <v>8.757656098178245</v>
      </c>
      <c r="P61" s="1437">
        <f t="shared" si="13"/>
        <v>8.8063550212973603</v>
      </c>
      <c r="Q61" s="1437">
        <v>9.6120561772885704</v>
      </c>
      <c r="R61" s="1437">
        <v>20.256171906167243</v>
      </c>
      <c r="S61" s="1438">
        <v>11.144574001251836</v>
      </c>
      <c r="T61" s="1439">
        <v>1</v>
      </c>
      <c r="U61" s="1440">
        <v>1</v>
      </c>
      <c r="V61" s="1440">
        <v>1</v>
      </c>
      <c r="W61" s="1440">
        <v>21.854635445029803</v>
      </c>
      <c r="X61" s="1440">
        <v>1</v>
      </c>
      <c r="Y61" s="1441">
        <v>1</v>
      </c>
      <c r="Z61" s="1439">
        <v>0</v>
      </c>
      <c r="AA61" s="1440">
        <v>0</v>
      </c>
      <c r="AB61" s="1440">
        <v>0</v>
      </c>
      <c r="AC61" s="1440">
        <v>139.64543177860153</v>
      </c>
      <c r="AD61" s="1440">
        <v>249.0237762335708</v>
      </c>
      <c r="AE61" s="1441">
        <v>0</v>
      </c>
    </row>
    <row r="62" spans="1:31" s="232" customFormat="1" x14ac:dyDescent="0.2">
      <c r="A62" s="3"/>
      <c r="B62" s="523">
        <v>2047</v>
      </c>
      <c r="C62" s="1421">
        <v>141725.82701295713</v>
      </c>
      <c r="D62" s="1422">
        <v>6735.7755801832827</v>
      </c>
      <c r="E62" s="1422">
        <v>6972.1971367946244</v>
      </c>
      <c r="F62" s="1422">
        <v>19637.931156423147</v>
      </c>
      <c r="G62" s="1422">
        <v>23671.109208001581</v>
      </c>
      <c r="H62" s="1423">
        <v>6283.7095772482571</v>
      </c>
      <c r="I62" s="1360">
        <v>0</v>
      </c>
      <c r="J62" s="524">
        <v>0</v>
      </c>
      <c r="K62" s="524">
        <v>0</v>
      </c>
      <c r="L62" s="524">
        <v>0</v>
      </c>
      <c r="M62" s="1365">
        <v>0</v>
      </c>
      <c r="N62" s="1509">
        <v>7.455329946003058</v>
      </c>
      <c r="O62" s="1443">
        <f t="shared" si="14"/>
        <v>8.7576755429292259</v>
      </c>
      <c r="P62" s="1443">
        <f t="shared" si="13"/>
        <v>8.8063745741752673</v>
      </c>
      <c r="Q62" s="1443">
        <v>9.6730849322448158</v>
      </c>
      <c r="R62" s="1443">
        <v>20.336315714420177</v>
      </c>
      <c r="S62" s="1444">
        <v>11.24786466642488</v>
      </c>
      <c r="T62" s="1445">
        <v>1</v>
      </c>
      <c r="U62" s="1446">
        <v>1</v>
      </c>
      <c r="V62" s="1446">
        <v>1</v>
      </c>
      <c r="W62" s="1446">
        <v>21.945507183382855</v>
      </c>
      <c r="X62" s="1446">
        <v>1</v>
      </c>
      <c r="Y62" s="1447">
        <v>1</v>
      </c>
      <c r="Z62" s="1445">
        <v>0</v>
      </c>
      <c r="AA62" s="1446">
        <v>0</v>
      </c>
      <c r="AB62" s="1446">
        <v>0</v>
      </c>
      <c r="AC62" s="1446">
        <v>139.73594699920429</v>
      </c>
      <c r="AD62" s="1446">
        <v>249.06730869115299</v>
      </c>
      <c r="AE62" s="1447">
        <v>0</v>
      </c>
    </row>
    <row r="63" spans="1:31" s="232" customFormat="1" x14ac:dyDescent="0.2">
      <c r="A63" s="3"/>
      <c r="B63" s="523">
        <v>2048</v>
      </c>
      <c r="C63" s="1421">
        <v>141725.82701295713</v>
      </c>
      <c r="D63" s="1422">
        <v>6735.7755801832827</v>
      </c>
      <c r="E63" s="1422">
        <v>6972.1971367946244</v>
      </c>
      <c r="F63" s="1422">
        <v>19491.57700016172</v>
      </c>
      <c r="G63" s="1422">
        <v>23092.141769640642</v>
      </c>
      <c r="H63" s="1423">
        <v>5750.9656702393258</v>
      </c>
      <c r="I63" s="1360">
        <v>0</v>
      </c>
      <c r="J63" s="524">
        <v>0</v>
      </c>
      <c r="K63" s="524">
        <v>0</v>
      </c>
      <c r="L63" s="524">
        <v>0</v>
      </c>
      <c r="M63" s="1365">
        <v>0</v>
      </c>
      <c r="N63" s="1509">
        <v>7.455346499143622</v>
      </c>
      <c r="O63" s="1443">
        <f t="shared" si="14"/>
        <v>8.7576949876802068</v>
      </c>
      <c r="P63" s="1443">
        <f t="shared" si="13"/>
        <v>8.8063941270531743</v>
      </c>
      <c r="Q63" s="1443">
        <v>9.7341139581117506</v>
      </c>
      <c r="R63" s="1443">
        <v>20.416459878361525</v>
      </c>
      <c r="S63" s="1444">
        <v>11.351155790162549</v>
      </c>
      <c r="T63" s="1445">
        <v>1</v>
      </c>
      <c r="U63" s="1446">
        <v>1</v>
      </c>
      <c r="V63" s="1446">
        <v>1</v>
      </c>
      <c r="W63" s="1446">
        <v>22.036379325047218</v>
      </c>
      <c r="X63" s="1446">
        <v>1</v>
      </c>
      <c r="Y63" s="1447">
        <v>1</v>
      </c>
      <c r="Z63" s="1445">
        <v>0</v>
      </c>
      <c r="AA63" s="1446">
        <v>0</v>
      </c>
      <c r="AB63" s="1446">
        <v>0</v>
      </c>
      <c r="AC63" s="1446">
        <v>139.82646221980704</v>
      </c>
      <c r="AD63" s="1446">
        <v>249.11084114873518</v>
      </c>
      <c r="AE63" s="1447">
        <v>0</v>
      </c>
    </row>
    <row r="64" spans="1:31" s="232" customFormat="1" x14ac:dyDescent="0.2">
      <c r="A64" s="3"/>
      <c r="B64" s="523">
        <v>2049</v>
      </c>
      <c r="C64" s="1421">
        <v>141725.82701295713</v>
      </c>
      <c r="D64" s="1422">
        <v>6735.7755801832827</v>
      </c>
      <c r="E64" s="1422">
        <v>6972.1971367946244</v>
      </c>
      <c r="F64" s="1422">
        <v>19345.222843900294</v>
      </c>
      <c r="G64" s="1422">
        <v>22513.174331279704</v>
      </c>
      <c r="H64" s="1423">
        <v>5218.2217632303946</v>
      </c>
      <c r="I64" s="1360">
        <v>0</v>
      </c>
      <c r="J64" s="524">
        <v>0</v>
      </c>
      <c r="K64" s="524">
        <v>0</v>
      </c>
      <c r="L64" s="524">
        <v>0</v>
      </c>
      <c r="M64" s="1365">
        <v>0</v>
      </c>
      <c r="N64" s="1509">
        <v>7.4553630522841861</v>
      </c>
      <c r="O64" s="1443">
        <f t="shared" si="14"/>
        <v>8.7577144324311877</v>
      </c>
      <c r="P64" s="1443">
        <f t="shared" si="13"/>
        <v>8.8064136799310795</v>
      </c>
      <c r="Q64" s="1443">
        <v>9.7951432548893731</v>
      </c>
      <c r="R64" s="1443">
        <v>20.496604397991288</v>
      </c>
      <c r="S64" s="1444">
        <v>11.454447372464848</v>
      </c>
      <c r="T64" s="1445">
        <v>1</v>
      </c>
      <c r="U64" s="1446">
        <v>1</v>
      </c>
      <c r="V64" s="1446">
        <v>1</v>
      </c>
      <c r="W64" s="1446">
        <v>22.127251870022885</v>
      </c>
      <c r="X64" s="1446">
        <v>1</v>
      </c>
      <c r="Y64" s="1447">
        <v>1</v>
      </c>
      <c r="Z64" s="1445">
        <v>0</v>
      </c>
      <c r="AA64" s="1446">
        <v>0</v>
      </c>
      <c r="AB64" s="1446">
        <v>0</v>
      </c>
      <c r="AC64" s="1446">
        <v>139.9169774404098</v>
      </c>
      <c r="AD64" s="1446">
        <v>249.15437360631736</v>
      </c>
      <c r="AE64" s="1447">
        <v>0</v>
      </c>
    </row>
    <row r="65" spans="1:31" s="232" customFormat="1" ht="15" thickBot="1" x14ac:dyDescent="0.25">
      <c r="A65" s="3"/>
      <c r="B65" s="525">
        <v>2050</v>
      </c>
      <c r="C65" s="1424">
        <v>141725.82701295713</v>
      </c>
      <c r="D65" s="1425">
        <v>6735.7755801832827</v>
      </c>
      <c r="E65" s="1425">
        <v>6972.1971367946244</v>
      </c>
      <c r="F65" s="1425">
        <v>19198.868687638751</v>
      </c>
      <c r="G65" s="1425">
        <v>21934.206892918737</v>
      </c>
      <c r="H65" s="1426">
        <v>4685.4778562216088</v>
      </c>
      <c r="I65" s="1361">
        <v>0</v>
      </c>
      <c r="J65" s="526">
        <v>0</v>
      </c>
      <c r="K65" s="526">
        <v>0</v>
      </c>
      <c r="L65" s="526">
        <v>0</v>
      </c>
      <c r="M65" s="1366">
        <v>0</v>
      </c>
      <c r="N65" s="1510">
        <v>7.455379605424751</v>
      </c>
      <c r="O65" s="1449">
        <f t="shared" si="14"/>
        <v>8.7577338771821687</v>
      </c>
      <c r="P65" s="1449">
        <f t="shared" si="13"/>
        <v>8.8064332328089865</v>
      </c>
      <c r="Q65" s="1460">
        <v>9.8561728225776744</v>
      </c>
      <c r="R65" s="1460">
        <v>20.576749273309449</v>
      </c>
      <c r="S65" s="1461">
        <v>11.557739413331781</v>
      </c>
      <c r="T65" s="1451">
        <v>1</v>
      </c>
      <c r="U65" s="1452">
        <v>1</v>
      </c>
      <c r="V65" s="1452">
        <v>1</v>
      </c>
      <c r="W65" s="1452">
        <v>22.218124818309839</v>
      </c>
      <c r="X65" s="1452">
        <v>1</v>
      </c>
      <c r="Y65" s="1453">
        <v>1</v>
      </c>
      <c r="Z65" s="1451">
        <v>0</v>
      </c>
      <c r="AA65" s="1452">
        <v>0</v>
      </c>
      <c r="AB65" s="1452">
        <v>0</v>
      </c>
      <c r="AC65" s="1452">
        <v>140.00749266101252</v>
      </c>
      <c r="AD65" s="1452">
        <v>249.19790606389955</v>
      </c>
      <c r="AE65" s="1453">
        <v>0</v>
      </c>
    </row>
    <row r="66" spans="1:31" s="232" customFormat="1" x14ac:dyDescent="0.2">
      <c r="A66" s="3"/>
      <c r="B66" s="230"/>
      <c r="C66" s="229"/>
      <c r="E66" s="2"/>
      <c r="F66" s="229"/>
      <c r="G66" s="5"/>
      <c r="H66" s="6"/>
      <c r="I66" s="747"/>
      <c r="J66" s="747"/>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513"/>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C19:H19"/>
    <mergeCell ref="I19:M19"/>
    <mergeCell ref="N19:S19"/>
    <mergeCell ref="T19:Y19"/>
    <mergeCell ref="Z19:AE19"/>
    <mergeCell ref="J6:K6"/>
    <mergeCell ref="L6:M6"/>
    <mergeCell ref="N6:O6"/>
    <mergeCell ref="I15:J15"/>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D1" zoomScaleNormal="100" workbookViewId="0">
      <selection activeCell="U26" sqref="U26"/>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152</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81">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4"/>
      <c r="I6" s="603"/>
      <c r="J6" s="1538" t="s">
        <v>76</v>
      </c>
      <c r="K6" s="1539"/>
      <c r="L6" s="1529" t="s">
        <v>83</v>
      </c>
      <c r="M6" s="1530"/>
      <c r="N6" s="1529" t="s">
        <v>109</v>
      </c>
      <c r="O6" s="1530"/>
    </row>
    <row r="7" spans="1:27" ht="27" customHeight="1" thickBot="1" x14ac:dyDescent="0.25">
      <c r="B7" s="505"/>
      <c r="C7" s="602" t="s">
        <v>75</v>
      </c>
      <c r="D7" s="600"/>
      <c r="E7" s="601"/>
      <c r="F7" s="605" t="s">
        <v>211</v>
      </c>
      <c r="G7" s="605" t="s">
        <v>210</v>
      </c>
      <c r="H7" s="835" t="s">
        <v>264</v>
      </c>
      <c r="I7" s="604" t="s">
        <v>81</v>
      </c>
      <c r="J7" s="606" t="s">
        <v>283</v>
      </c>
      <c r="K7" s="607" t="s">
        <v>284</v>
      </c>
      <c r="L7" s="506" t="s">
        <v>113</v>
      </c>
      <c r="M7" s="507" t="s">
        <v>84</v>
      </c>
      <c r="N7" s="508" t="s">
        <v>95</v>
      </c>
      <c r="O7" s="509" t="s">
        <v>112</v>
      </c>
      <c r="P7" s="510"/>
    </row>
    <row r="8" spans="1:27" ht="15" thickTop="1" x14ac:dyDescent="0.2">
      <c r="B8" s="511" t="s">
        <v>69</v>
      </c>
      <c r="C8" s="1382" t="s">
        <v>183</v>
      </c>
      <c r="D8" s="1383"/>
      <c r="E8" s="1384"/>
      <c r="F8" s="1385" t="s">
        <v>5</v>
      </c>
      <c r="G8" s="1385" t="s">
        <v>229</v>
      </c>
      <c r="H8" s="894" t="b">
        <f>IF(AND(F8="Electricity",G8="N/A"),TRUE,FALSE)</f>
        <v>0</v>
      </c>
      <c r="I8" s="512"/>
      <c r="J8" s="513"/>
      <c r="K8" s="514"/>
      <c r="L8" s="515"/>
      <c r="M8" s="516"/>
      <c r="N8" s="1416">
        <v>0</v>
      </c>
      <c r="O8" s="1417">
        <v>350</v>
      </c>
      <c r="P8" s="517"/>
    </row>
    <row r="9" spans="1:27" x14ac:dyDescent="0.2">
      <c r="B9" s="518" t="s">
        <v>65</v>
      </c>
      <c r="C9" s="1386" t="s">
        <v>329</v>
      </c>
      <c r="D9" s="1387"/>
      <c r="E9" s="1388"/>
      <c r="F9" s="1389" t="s">
        <v>5</v>
      </c>
      <c r="G9" s="1389" t="s">
        <v>229</v>
      </c>
      <c r="H9" s="895" t="b">
        <f t="shared" ref="H9:H13" si="0">IF(AND(F9="Electricity",G9="N/A"),TRUE,FALSE)</f>
        <v>0</v>
      </c>
      <c r="I9" s="1397">
        <v>2021</v>
      </c>
      <c r="J9" s="1398">
        <v>0</v>
      </c>
      <c r="K9" s="1399">
        <v>0.5</v>
      </c>
      <c r="L9" s="1400">
        <v>5000</v>
      </c>
      <c r="M9" s="1401">
        <v>100</v>
      </c>
      <c r="N9" s="1402">
        <v>0</v>
      </c>
      <c r="O9" s="1403">
        <v>350</v>
      </c>
      <c r="R9" s="539"/>
    </row>
    <row r="10" spans="1:27" x14ac:dyDescent="0.2">
      <c r="B10" s="518" t="s">
        <v>66</v>
      </c>
      <c r="C10" s="1386" t="s">
        <v>321</v>
      </c>
      <c r="D10" s="1387"/>
      <c r="E10" s="1388"/>
      <c r="F10" s="1389" t="s">
        <v>5</v>
      </c>
      <c r="G10" s="1389" t="s">
        <v>229</v>
      </c>
      <c r="H10" s="895" t="b">
        <f t="shared" si="0"/>
        <v>0</v>
      </c>
      <c r="I10" s="1397">
        <v>2021</v>
      </c>
      <c r="J10" s="1398">
        <v>0</v>
      </c>
      <c r="K10" s="1399">
        <v>0.5</v>
      </c>
      <c r="L10" s="1400">
        <v>5000</v>
      </c>
      <c r="M10" s="1401">
        <v>100</v>
      </c>
      <c r="N10" s="1402">
        <v>0</v>
      </c>
      <c r="O10" s="1403">
        <v>350</v>
      </c>
    </row>
    <row r="11" spans="1:27" x14ac:dyDescent="0.2">
      <c r="B11" s="542" t="s">
        <v>67</v>
      </c>
      <c r="C11" s="1386" t="s">
        <v>322</v>
      </c>
      <c r="D11" s="1390"/>
      <c r="E11" s="1391"/>
      <c r="F11" s="1392" t="s">
        <v>5</v>
      </c>
      <c r="G11" s="1392" t="s">
        <v>229</v>
      </c>
      <c r="H11" s="896" t="b">
        <f t="shared" si="0"/>
        <v>0</v>
      </c>
      <c r="I11" s="1397">
        <v>2021</v>
      </c>
      <c r="J11" s="1514">
        <v>0</v>
      </c>
      <c r="K11" s="1404">
        <v>0.5</v>
      </c>
      <c r="L11" s="1405">
        <v>5000</v>
      </c>
      <c r="M11" s="1406">
        <v>100</v>
      </c>
      <c r="N11" s="1407">
        <v>0</v>
      </c>
      <c r="O11" s="1408">
        <v>350</v>
      </c>
      <c r="P11" s="497"/>
    </row>
    <row r="12" spans="1:27" x14ac:dyDescent="0.2">
      <c r="B12" s="542" t="s">
        <v>205</v>
      </c>
      <c r="C12" s="1386" t="s">
        <v>323</v>
      </c>
      <c r="D12" s="1390"/>
      <c r="E12" s="1391"/>
      <c r="F12" s="1392" t="s">
        <v>5</v>
      </c>
      <c r="G12" s="1392" t="s">
        <v>6</v>
      </c>
      <c r="H12" s="896" t="b">
        <f t="shared" si="0"/>
        <v>0</v>
      </c>
      <c r="I12" s="1397">
        <v>2021</v>
      </c>
      <c r="J12" s="1514">
        <v>0</v>
      </c>
      <c r="K12" s="1404">
        <v>0.5</v>
      </c>
      <c r="L12" s="1405">
        <v>5000</v>
      </c>
      <c r="M12" s="1406">
        <v>100</v>
      </c>
      <c r="N12" s="1407">
        <v>0</v>
      </c>
      <c r="O12" s="1408">
        <v>350</v>
      </c>
    </row>
    <row r="13" spans="1:27" ht="15" thickBot="1" x14ac:dyDescent="0.25">
      <c r="B13" s="519" t="s">
        <v>206</v>
      </c>
      <c r="C13" s="1393" t="s">
        <v>324</v>
      </c>
      <c r="D13" s="1394"/>
      <c r="E13" s="1395"/>
      <c r="F13" s="1396" t="s">
        <v>6</v>
      </c>
      <c r="G13" s="1396" t="s">
        <v>229</v>
      </c>
      <c r="H13" s="897" t="b">
        <f t="shared" si="0"/>
        <v>1</v>
      </c>
      <c r="I13" s="1409">
        <v>2021</v>
      </c>
      <c r="J13" s="1410">
        <v>0</v>
      </c>
      <c r="K13" s="1411">
        <v>0.5</v>
      </c>
      <c r="L13" s="1412">
        <v>5000</v>
      </c>
      <c r="M13" s="1413">
        <v>100</v>
      </c>
      <c r="N13" s="1414">
        <v>0</v>
      </c>
      <c r="O13" s="1415">
        <v>350</v>
      </c>
    </row>
    <row r="14" spans="1:27" ht="16" x14ac:dyDescent="0.2">
      <c r="B14" s="499"/>
      <c r="C14" s="496" t="s">
        <v>265</v>
      </c>
      <c r="D14" s="497"/>
      <c r="F14" s="497"/>
    </row>
    <row r="15" spans="1:27" ht="16" thickBot="1" x14ac:dyDescent="0.25">
      <c r="B15" s="520" t="s">
        <v>119</v>
      </c>
      <c r="C15" s="903"/>
      <c r="D15" s="497"/>
      <c r="F15" s="497"/>
    </row>
    <row r="16" spans="1:27" ht="15" thickBot="1" x14ac:dyDescent="0.25">
      <c r="B16" s="231"/>
      <c r="C16" s="4"/>
      <c r="D16" s="497"/>
      <c r="F16" s="497"/>
      <c r="T16" s="769" t="s">
        <v>230</v>
      </c>
      <c r="U16" s="496" t="s">
        <v>231</v>
      </c>
      <c r="Z16" s="902"/>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8"/>
      <c r="C19" s="1531" t="s">
        <v>221</v>
      </c>
      <c r="D19" s="1532"/>
      <c r="E19" s="1532"/>
      <c r="F19" s="1532"/>
      <c r="G19" s="1532"/>
      <c r="H19" s="1532"/>
      <c r="I19" s="1532" t="s">
        <v>222</v>
      </c>
      <c r="J19" s="1532"/>
      <c r="K19" s="1532"/>
      <c r="L19" s="1532"/>
      <c r="M19" s="1533"/>
      <c r="N19" s="1534" t="s">
        <v>223</v>
      </c>
      <c r="O19" s="1535"/>
      <c r="P19" s="1535"/>
      <c r="Q19" s="1535"/>
      <c r="R19" s="1535"/>
      <c r="S19" s="1536"/>
      <c r="T19" s="1534" t="s">
        <v>224</v>
      </c>
      <c r="U19" s="1535"/>
      <c r="V19" s="1535"/>
      <c r="W19" s="1535"/>
      <c r="X19" s="1535"/>
      <c r="Y19" s="1536"/>
      <c r="Z19" s="1534" t="s">
        <v>226</v>
      </c>
      <c r="AA19" s="1535"/>
      <c r="AB19" s="1535"/>
      <c r="AC19" s="1535"/>
      <c r="AD19" s="1535"/>
      <c r="AE19" s="1536"/>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517" t="str">
        <f>INDEX($C$9:$C$13,MATCH(D20,$B$9:$B$13,0))</f>
        <v>Adv Conv</v>
      </c>
      <c r="E21" s="1517" t="str">
        <f t="shared" ref="E21:H21" si="1">INDEX($C$9:$C$13,MATCH(E20,$B$9:$B$13,0))</f>
        <v>ISG</v>
      </c>
      <c r="F21" s="1517" t="str">
        <f t="shared" si="1"/>
        <v>HEV</v>
      </c>
      <c r="G21" s="1517" t="str">
        <f t="shared" si="1"/>
        <v>PHEV</v>
      </c>
      <c r="H21" s="1518" t="str">
        <f t="shared" si="1"/>
        <v>BEV</v>
      </c>
      <c r="I21" s="1433">
        <v>0</v>
      </c>
      <c r="J21" s="1434">
        <v>0</v>
      </c>
      <c r="K21" s="1434">
        <v>0</v>
      </c>
      <c r="L21" s="1434">
        <v>0</v>
      </c>
      <c r="M21" s="1435">
        <v>0</v>
      </c>
      <c r="N21" s="754"/>
      <c r="O21" s="1517" t="str">
        <f>INDEX($C$9:$C$13,MATCH(O20,$B$9:$B$13,0))</f>
        <v>Adv Conv</v>
      </c>
      <c r="P21" s="1517" t="str">
        <f t="shared" ref="P21:S21" si="2">INDEX($C$9:$C$13,MATCH(P20,$B$9:$B$13,0))</f>
        <v>ISG</v>
      </c>
      <c r="Q21" s="1517" t="str">
        <f t="shared" si="2"/>
        <v>HEV</v>
      </c>
      <c r="R21" s="1517" t="str">
        <f t="shared" si="2"/>
        <v>PHEV</v>
      </c>
      <c r="S21" s="1518" t="str">
        <f t="shared" si="2"/>
        <v>BEV</v>
      </c>
      <c r="T21" s="755"/>
      <c r="U21" s="1517" t="str">
        <f>INDEX($C$9:$C$13,MATCH(U20,$B$9:$B$13,0))</f>
        <v>Adv Conv</v>
      </c>
      <c r="V21" s="1517" t="str">
        <f t="shared" ref="V21:Y21" si="3">INDEX($C$9:$C$13,MATCH(V20,$B$9:$B$13,0))</f>
        <v>ISG</v>
      </c>
      <c r="W21" s="1517" t="str">
        <f t="shared" si="3"/>
        <v>HEV</v>
      </c>
      <c r="X21" s="1517" t="str">
        <f t="shared" si="3"/>
        <v>PHEV</v>
      </c>
      <c r="Y21" s="1518" t="str">
        <f t="shared" si="3"/>
        <v>BEV</v>
      </c>
      <c r="Z21" s="754"/>
      <c r="AA21" s="1517" t="str">
        <f>INDEX($C$9:$C$13,MATCH(AA20,$B$9:$B$13,0))</f>
        <v>Adv Conv</v>
      </c>
      <c r="AB21" s="1517" t="str">
        <f t="shared" ref="AB21:AE21" si="4">INDEX($C$9:$C$13,MATCH(AB20,$B$9:$B$13,0))</f>
        <v>ISG</v>
      </c>
      <c r="AC21" s="1517" t="str">
        <f t="shared" si="4"/>
        <v>HEV</v>
      </c>
      <c r="AD21" s="1517" t="str">
        <f t="shared" si="4"/>
        <v>PHEV</v>
      </c>
      <c r="AE21" s="1518" t="str">
        <f t="shared" si="4"/>
        <v>BEV</v>
      </c>
    </row>
    <row r="22" spans="2:31" x14ac:dyDescent="0.2">
      <c r="B22" s="527">
        <v>2007</v>
      </c>
      <c r="C22" s="1418">
        <v>96771.806566877567</v>
      </c>
      <c r="D22" s="1419">
        <f t="shared" ref="D22:H24" si="5">D23</f>
        <v>1000000</v>
      </c>
      <c r="E22" s="1419">
        <f t="shared" si="5"/>
        <v>1000000</v>
      </c>
      <c r="F22" s="1419">
        <f t="shared" si="5"/>
        <v>1000000</v>
      </c>
      <c r="G22" s="1419">
        <f t="shared" si="5"/>
        <v>1000000</v>
      </c>
      <c r="H22" s="1420">
        <f t="shared" si="5"/>
        <v>1000000</v>
      </c>
      <c r="I22" s="1359">
        <v>0</v>
      </c>
      <c r="J22" s="528">
        <v>0</v>
      </c>
      <c r="K22" s="528">
        <v>0</v>
      </c>
      <c r="L22" s="528">
        <v>0</v>
      </c>
      <c r="M22" s="1364">
        <v>0</v>
      </c>
      <c r="N22" s="1508">
        <v>5.8642619111794092</v>
      </c>
      <c r="O22" s="1437">
        <f t="shared" ref="O22:W24" si="6">O23</f>
        <v>1</v>
      </c>
      <c r="P22" s="1437">
        <f t="shared" si="6"/>
        <v>1</v>
      </c>
      <c r="Q22" s="1437">
        <f t="shared" si="6"/>
        <v>1</v>
      </c>
      <c r="R22" s="1437">
        <f t="shared" si="6"/>
        <v>1</v>
      </c>
      <c r="S22" s="1438">
        <f t="shared" si="6"/>
        <v>1</v>
      </c>
      <c r="T22" s="1439">
        <f t="shared" si="6"/>
        <v>1</v>
      </c>
      <c r="U22" s="1440">
        <f t="shared" si="6"/>
        <v>1</v>
      </c>
      <c r="V22" s="1440">
        <f t="shared" si="6"/>
        <v>1</v>
      </c>
      <c r="W22" s="1440">
        <f t="shared" si="6"/>
        <v>1</v>
      </c>
      <c r="X22" s="1440">
        <f t="shared" ref="X22:AE24" si="7">X23</f>
        <v>1</v>
      </c>
      <c r="Y22" s="1441">
        <f t="shared" si="7"/>
        <v>1</v>
      </c>
      <c r="Z22" s="1439">
        <f t="shared" si="7"/>
        <v>0</v>
      </c>
      <c r="AA22" s="1440">
        <f t="shared" si="7"/>
        <v>0</v>
      </c>
      <c r="AB22" s="1440">
        <f t="shared" si="7"/>
        <v>0</v>
      </c>
      <c r="AC22" s="1440">
        <f t="shared" si="7"/>
        <v>0</v>
      </c>
      <c r="AD22" s="1440">
        <f t="shared" si="7"/>
        <v>0</v>
      </c>
      <c r="AE22" s="1441">
        <f t="shared" si="7"/>
        <v>0</v>
      </c>
    </row>
    <row r="23" spans="2:31" x14ac:dyDescent="0.2">
      <c r="B23" s="523">
        <v>2008</v>
      </c>
      <c r="C23" s="1421">
        <v>96771.806566877567</v>
      </c>
      <c r="D23" s="1422">
        <f t="shared" si="5"/>
        <v>1000000</v>
      </c>
      <c r="E23" s="1422">
        <f t="shared" si="5"/>
        <v>1000000</v>
      </c>
      <c r="F23" s="1422">
        <f t="shared" si="5"/>
        <v>1000000</v>
      </c>
      <c r="G23" s="1422">
        <f t="shared" si="5"/>
        <v>1000000</v>
      </c>
      <c r="H23" s="1423">
        <f t="shared" si="5"/>
        <v>1000000</v>
      </c>
      <c r="I23" s="1360">
        <v>0</v>
      </c>
      <c r="J23" s="524">
        <v>0</v>
      </c>
      <c r="K23" s="524">
        <v>0</v>
      </c>
      <c r="L23" s="524">
        <v>0</v>
      </c>
      <c r="M23" s="1365">
        <v>0</v>
      </c>
      <c r="N23" s="1509">
        <v>5.8642619111794092</v>
      </c>
      <c r="O23" s="1443">
        <f t="shared" si="6"/>
        <v>1</v>
      </c>
      <c r="P23" s="1443">
        <f t="shared" si="6"/>
        <v>1</v>
      </c>
      <c r="Q23" s="1443">
        <f t="shared" si="6"/>
        <v>1</v>
      </c>
      <c r="R23" s="1443">
        <f t="shared" si="6"/>
        <v>1</v>
      </c>
      <c r="S23" s="1444">
        <f t="shared" si="6"/>
        <v>1</v>
      </c>
      <c r="T23" s="1445">
        <f t="shared" si="6"/>
        <v>1</v>
      </c>
      <c r="U23" s="1446">
        <f t="shared" si="6"/>
        <v>1</v>
      </c>
      <c r="V23" s="1446">
        <f t="shared" si="6"/>
        <v>1</v>
      </c>
      <c r="W23" s="1446">
        <f t="shared" si="6"/>
        <v>1</v>
      </c>
      <c r="X23" s="1446">
        <f t="shared" si="7"/>
        <v>1</v>
      </c>
      <c r="Y23" s="1447">
        <f t="shared" si="7"/>
        <v>1</v>
      </c>
      <c r="Z23" s="1445">
        <f t="shared" si="7"/>
        <v>0</v>
      </c>
      <c r="AA23" s="1446">
        <f t="shared" si="7"/>
        <v>0</v>
      </c>
      <c r="AB23" s="1446">
        <f t="shared" si="7"/>
        <v>0</v>
      </c>
      <c r="AC23" s="1446">
        <f t="shared" si="7"/>
        <v>0</v>
      </c>
      <c r="AD23" s="1446">
        <f t="shared" si="7"/>
        <v>0</v>
      </c>
      <c r="AE23" s="1447">
        <f t="shared" si="7"/>
        <v>0</v>
      </c>
    </row>
    <row r="24" spans="2:31" x14ac:dyDescent="0.2">
      <c r="B24" s="523">
        <v>2009</v>
      </c>
      <c r="C24" s="1421">
        <v>96771.806566877567</v>
      </c>
      <c r="D24" s="1422">
        <f t="shared" si="5"/>
        <v>1000000</v>
      </c>
      <c r="E24" s="1422">
        <f t="shared" si="5"/>
        <v>1000000</v>
      </c>
      <c r="F24" s="1422">
        <f t="shared" si="5"/>
        <v>1000000</v>
      </c>
      <c r="G24" s="1422">
        <f t="shared" si="5"/>
        <v>1000000</v>
      </c>
      <c r="H24" s="1423">
        <f t="shared" si="5"/>
        <v>1000000</v>
      </c>
      <c r="I24" s="1360">
        <v>0</v>
      </c>
      <c r="J24" s="524">
        <v>0</v>
      </c>
      <c r="K24" s="524">
        <v>0</v>
      </c>
      <c r="L24" s="524">
        <v>0</v>
      </c>
      <c r="M24" s="1365">
        <v>0</v>
      </c>
      <c r="N24" s="1509">
        <v>5.8642619111794092</v>
      </c>
      <c r="O24" s="1443">
        <f t="shared" si="6"/>
        <v>1</v>
      </c>
      <c r="P24" s="1443">
        <f t="shared" si="6"/>
        <v>1</v>
      </c>
      <c r="Q24" s="1443">
        <f t="shared" si="6"/>
        <v>1</v>
      </c>
      <c r="R24" s="1443">
        <f t="shared" si="6"/>
        <v>1</v>
      </c>
      <c r="S24" s="1444">
        <f t="shared" si="6"/>
        <v>1</v>
      </c>
      <c r="T24" s="1445">
        <f t="shared" si="6"/>
        <v>1</v>
      </c>
      <c r="U24" s="1446">
        <f t="shared" si="6"/>
        <v>1</v>
      </c>
      <c r="V24" s="1446">
        <f t="shared" si="6"/>
        <v>1</v>
      </c>
      <c r="W24" s="1446">
        <f t="shared" si="6"/>
        <v>1</v>
      </c>
      <c r="X24" s="1446">
        <f t="shared" si="7"/>
        <v>1</v>
      </c>
      <c r="Y24" s="1447">
        <f t="shared" si="7"/>
        <v>1</v>
      </c>
      <c r="Z24" s="1445">
        <f t="shared" si="7"/>
        <v>0</v>
      </c>
      <c r="AA24" s="1446">
        <f t="shared" si="7"/>
        <v>0</v>
      </c>
      <c r="AB24" s="1446">
        <f t="shared" si="7"/>
        <v>0</v>
      </c>
      <c r="AC24" s="1446">
        <f t="shared" si="7"/>
        <v>0</v>
      </c>
      <c r="AD24" s="1446">
        <f t="shared" si="7"/>
        <v>0</v>
      </c>
      <c r="AE24" s="1447">
        <f t="shared" si="7"/>
        <v>0</v>
      </c>
    </row>
    <row r="25" spans="2:31" ht="15" thickBot="1" x14ac:dyDescent="0.25">
      <c r="B25" s="525">
        <v>2010</v>
      </c>
      <c r="C25" s="1424">
        <v>96771.806566877567</v>
      </c>
      <c r="D25" s="1425">
        <f t="shared" ref="D25:D33" si="8">D26</f>
        <v>1000000</v>
      </c>
      <c r="E25" s="1425">
        <f t="shared" ref="E25:E33" si="9">E26</f>
        <v>1000000</v>
      </c>
      <c r="F25" s="1425">
        <f t="shared" ref="F25:F33" si="10">F26</f>
        <v>1000000</v>
      </c>
      <c r="G25" s="1425">
        <f t="shared" ref="G25:G33" si="11">G26</f>
        <v>1000000</v>
      </c>
      <c r="H25" s="1426">
        <f t="shared" ref="H25:H33" si="12">H26</f>
        <v>1000000</v>
      </c>
      <c r="I25" s="1361">
        <v>0</v>
      </c>
      <c r="J25" s="526">
        <v>0</v>
      </c>
      <c r="K25" s="526">
        <v>0</v>
      </c>
      <c r="L25" s="526">
        <v>0</v>
      </c>
      <c r="M25" s="1366">
        <v>0</v>
      </c>
      <c r="N25" s="1510">
        <v>6.052867043708523</v>
      </c>
      <c r="O25" s="1449">
        <f t="shared" ref="O25:O33" si="13">O26</f>
        <v>1</v>
      </c>
      <c r="P25" s="1449">
        <f t="shared" ref="P25:P33" si="14">P26</f>
        <v>1</v>
      </c>
      <c r="Q25" s="1449">
        <f t="shared" ref="Q25:Q33" si="15">Q26</f>
        <v>1</v>
      </c>
      <c r="R25" s="1449">
        <f t="shared" ref="R25:R33" si="16">R26</f>
        <v>1</v>
      </c>
      <c r="S25" s="1450">
        <f t="shared" ref="S25:S33" si="17">S26</f>
        <v>1</v>
      </c>
      <c r="T25" s="1451">
        <v>1</v>
      </c>
      <c r="U25" s="1452">
        <f t="shared" ref="U25:U33" si="18">U26</f>
        <v>1</v>
      </c>
      <c r="V25" s="1452">
        <f t="shared" ref="V25:V33" si="19">V26</f>
        <v>1</v>
      </c>
      <c r="W25" s="1452">
        <f t="shared" ref="W25:W33" si="20">W26</f>
        <v>1</v>
      </c>
      <c r="X25" s="1452">
        <f t="shared" ref="X25:X33" si="21">X26</f>
        <v>1</v>
      </c>
      <c r="Y25" s="1453">
        <f t="shared" ref="Y25:Y34" si="22">Y26</f>
        <v>1</v>
      </c>
      <c r="Z25" s="1451">
        <v>0</v>
      </c>
      <c r="AA25" s="1452">
        <f t="shared" ref="AA25:AA33" si="23">AA26</f>
        <v>0</v>
      </c>
      <c r="AB25" s="1452">
        <f t="shared" ref="AB25:AB33" si="24">AB26</f>
        <v>0</v>
      </c>
      <c r="AC25" s="1452">
        <f t="shared" ref="AC25:AC33" si="25">AC26</f>
        <v>0</v>
      </c>
      <c r="AD25" s="1452">
        <f t="shared" ref="AD25:AD33" si="26">AD26</f>
        <v>0</v>
      </c>
      <c r="AE25" s="1453">
        <f t="shared" ref="AE25:AE33" si="27">AE26</f>
        <v>0</v>
      </c>
    </row>
    <row r="26" spans="2:31" x14ac:dyDescent="0.2">
      <c r="B26" s="527">
        <v>2011</v>
      </c>
      <c r="C26" s="1427">
        <v>96771.806566877567</v>
      </c>
      <c r="D26" s="1428">
        <f t="shared" si="8"/>
        <v>1000000</v>
      </c>
      <c r="E26" s="1428">
        <f t="shared" si="9"/>
        <v>1000000</v>
      </c>
      <c r="F26" s="1428">
        <f t="shared" si="10"/>
        <v>1000000</v>
      </c>
      <c r="G26" s="1428">
        <f t="shared" si="11"/>
        <v>1000000</v>
      </c>
      <c r="H26" s="1429">
        <f t="shared" si="12"/>
        <v>1000000</v>
      </c>
      <c r="I26" s="1359">
        <v>0</v>
      </c>
      <c r="J26" s="528">
        <v>0</v>
      </c>
      <c r="K26" s="528">
        <v>0</v>
      </c>
      <c r="L26" s="528">
        <v>0</v>
      </c>
      <c r="M26" s="1364">
        <v>0</v>
      </c>
      <c r="N26" s="1511">
        <v>6.1303718963155642</v>
      </c>
      <c r="O26" s="1455">
        <f t="shared" si="13"/>
        <v>1</v>
      </c>
      <c r="P26" s="1455">
        <f t="shared" si="14"/>
        <v>1</v>
      </c>
      <c r="Q26" s="1455">
        <f t="shared" si="15"/>
        <v>1</v>
      </c>
      <c r="R26" s="1455">
        <f t="shared" si="16"/>
        <v>1</v>
      </c>
      <c r="S26" s="1456">
        <f t="shared" si="17"/>
        <v>1</v>
      </c>
      <c r="T26" s="1457">
        <v>1</v>
      </c>
      <c r="U26" s="1458">
        <f t="shared" si="18"/>
        <v>1</v>
      </c>
      <c r="V26" s="1458">
        <f t="shared" si="19"/>
        <v>1</v>
      </c>
      <c r="W26" s="1458">
        <f t="shared" si="20"/>
        <v>1</v>
      </c>
      <c r="X26" s="1458">
        <f t="shared" si="21"/>
        <v>1</v>
      </c>
      <c r="Y26" s="1459">
        <f t="shared" si="22"/>
        <v>1</v>
      </c>
      <c r="Z26" s="1457">
        <v>0</v>
      </c>
      <c r="AA26" s="1458">
        <f t="shared" si="23"/>
        <v>0</v>
      </c>
      <c r="AB26" s="1458">
        <f t="shared" si="24"/>
        <v>0</v>
      </c>
      <c r="AC26" s="1458">
        <f t="shared" si="25"/>
        <v>0</v>
      </c>
      <c r="AD26" s="1458">
        <f t="shared" si="26"/>
        <v>0</v>
      </c>
      <c r="AE26" s="1459">
        <f t="shared" si="27"/>
        <v>0</v>
      </c>
    </row>
    <row r="27" spans="2:31" x14ac:dyDescent="0.2">
      <c r="B27" s="523">
        <v>2012</v>
      </c>
      <c r="C27" s="1421">
        <v>96771.806566877567</v>
      </c>
      <c r="D27" s="1422">
        <f t="shared" si="8"/>
        <v>1000000</v>
      </c>
      <c r="E27" s="1422">
        <f t="shared" si="9"/>
        <v>1000000</v>
      </c>
      <c r="F27" s="1422">
        <f t="shared" si="10"/>
        <v>1000000</v>
      </c>
      <c r="G27" s="1422">
        <f t="shared" si="11"/>
        <v>1000000</v>
      </c>
      <c r="H27" s="1423">
        <f t="shared" si="12"/>
        <v>1000000</v>
      </c>
      <c r="I27" s="1360">
        <v>0</v>
      </c>
      <c r="J27" s="524">
        <v>0</v>
      </c>
      <c r="K27" s="524">
        <v>0</v>
      </c>
      <c r="L27" s="524">
        <v>0</v>
      </c>
      <c r="M27" s="1365">
        <v>0</v>
      </c>
      <c r="N27" s="1509">
        <v>6.1630746462831922</v>
      </c>
      <c r="O27" s="1443">
        <f t="shared" si="13"/>
        <v>1</v>
      </c>
      <c r="P27" s="1443">
        <f t="shared" si="14"/>
        <v>1</v>
      </c>
      <c r="Q27" s="1443">
        <f t="shared" si="15"/>
        <v>1</v>
      </c>
      <c r="R27" s="1443">
        <f t="shared" si="16"/>
        <v>1</v>
      </c>
      <c r="S27" s="1444">
        <f t="shared" si="17"/>
        <v>1</v>
      </c>
      <c r="T27" s="1445">
        <v>1</v>
      </c>
      <c r="U27" s="1446">
        <f t="shared" si="18"/>
        <v>1</v>
      </c>
      <c r="V27" s="1446">
        <f t="shared" si="19"/>
        <v>1</v>
      </c>
      <c r="W27" s="1446">
        <f t="shared" si="20"/>
        <v>1</v>
      </c>
      <c r="X27" s="1446">
        <f t="shared" si="21"/>
        <v>1</v>
      </c>
      <c r="Y27" s="1447">
        <f t="shared" si="22"/>
        <v>1</v>
      </c>
      <c r="Z27" s="1445">
        <v>0</v>
      </c>
      <c r="AA27" s="1446">
        <f t="shared" si="23"/>
        <v>0</v>
      </c>
      <c r="AB27" s="1446">
        <f t="shared" si="24"/>
        <v>0</v>
      </c>
      <c r="AC27" s="1446">
        <f t="shared" si="25"/>
        <v>0</v>
      </c>
      <c r="AD27" s="1446">
        <f t="shared" si="26"/>
        <v>0</v>
      </c>
      <c r="AE27" s="1447">
        <f t="shared" si="27"/>
        <v>0</v>
      </c>
    </row>
    <row r="28" spans="2:31" x14ac:dyDescent="0.2">
      <c r="B28" s="523">
        <v>2013</v>
      </c>
      <c r="C28" s="1421">
        <v>96771.806566877567</v>
      </c>
      <c r="D28" s="1422">
        <f t="shared" si="8"/>
        <v>1000000</v>
      </c>
      <c r="E28" s="1422">
        <f t="shared" si="9"/>
        <v>1000000</v>
      </c>
      <c r="F28" s="1422">
        <f t="shared" si="10"/>
        <v>1000000</v>
      </c>
      <c r="G28" s="1422">
        <f t="shared" si="11"/>
        <v>1000000</v>
      </c>
      <c r="H28" s="1423">
        <f t="shared" si="12"/>
        <v>1000000</v>
      </c>
      <c r="I28" s="1360">
        <v>0</v>
      </c>
      <c r="J28" s="524">
        <v>0</v>
      </c>
      <c r="K28" s="524">
        <v>0</v>
      </c>
      <c r="L28" s="524">
        <v>0</v>
      </c>
      <c r="M28" s="1365">
        <v>0</v>
      </c>
      <c r="N28" s="1509">
        <v>6.2217527283520475</v>
      </c>
      <c r="O28" s="1443">
        <f t="shared" si="13"/>
        <v>1</v>
      </c>
      <c r="P28" s="1443">
        <f t="shared" si="14"/>
        <v>1</v>
      </c>
      <c r="Q28" s="1443">
        <f t="shared" si="15"/>
        <v>1</v>
      </c>
      <c r="R28" s="1443">
        <f t="shared" si="16"/>
        <v>1</v>
      </c>
      <c r="S28" s="1444">
        <f t="shared" si="17"/>
        <v>1</v>
      </c>
      <c r="T28" s="1445">
        <v>1</v>
      </c>
      <c r="U28" s="1446">
        <f t="shared" si="18"/>
        <v>1</v>
      </c>
      <c r="V28" s="1446">
        <f t="shared" si="19"/>
        <v>1</v>
      </c>
      <c r="W28" s="1446">
        <f t="shared" si="20"/>
        <v>1</v>
      </c>
      <c r="X28" s="1446">
        <f t="shared" si="21"/>
        <v>1</v>
      </c>
      <c r="Y28" s="1447">
        <f t="shared" si="22"/>
        <v>1</v>
      </c>
      <c r="Z28" s="1445">
        <v>0</v>
      </c>
      <c r="AA28" s="1446">
        <f t="shared" si="23"/>
        <v>0</v>
      </c>
      <c r="AB28" s="1446">
        <f t="shared" si="24"/>
        <v>0</v>
      </c>
      <c r="AC28" s="1446">
        <f t="shared" si="25"/>
        <v>0</v>
      </c>
      <c r="AD28" s="1446">
        <f t="shared" si="26"/>
        <v>0</v>
      </c>
      <c r="AE28" s="1447">
        <f t="shared" si="27"/>
        <v>0</v>
      </c>
    </row>
    <row r="29" spans="2:31" x14ac:dyDescent="0.2">
      <c r="B29" s="523">
        <v>2014</v>
      </c>
      <c r="C29" s="1421">
        <v>96771.806566877567</v>
      </c>
      <c r="D29" s="1422">
        <f t="shared" si="8"/>
        <v>1000000</v>
      </c>
      <c r="E29" s="1422">
        <f t="shared" si="9"/>
        <v>1000000</v>
      </c>
      <c r="F29" s="1422">
        <f t="shared" si="10"/>
        <v>1000000</v>
      </c>
      <c r="G29" s="1422">
        <f t="shared" si="11"/>
        <v>1000000</v>
      </c>
      <c r="H29" s="1423">
        <f t="shared" si="12"/>
        <v>1000000</v>
      </c>
      <c r="I29" s="1360">
        <v>0</v>
      </c>
      <c r="J29" s="524">
        <v>0</v>
      </c>
      <c r="K29" s="524">
        <v>0</v>
      </c>
      <c r="L29" s="524">
        <v>0</v>
      </c>
      <c r="M29" s="1365">
        <v>0</v>
      </c>
      <c r="N29" s="1509">
        <v>6.271565642860951</v>
      </c>
      <c r="O29" s="1443">
        <f t="shared" si="13"/>
        <v>1</v>
      </c>
      <c r="P29" s="1443">
        <f t="shared" si="14"/>
        <v>1</v>
      </c>
      <c r="Q29" s="1443">
        <f t="shared" si="15"/>
        <v>1</v>
      </c>
      <c r="R29" s="1443">
        <f t="shared" si="16"/>
        <v>1</v>
      </c>
      <c r="S29" s="1444">
        <f t="shared" si="17"/>
        <v>1</v>
      </c>
      <c r="T29" s="1445">
        <v>1</v>
      </c>
      <c r="U29" s="1446">
        <f t="shared" si="18"/>
        <v>1</v>
      </c>
      <c r="V29" s="1446">
        <f t="shared" si="19"/>
        <v>1</v>
      </c>
      <c r="W29" s="1446">
        <f t="shared" si="20"/>
        <v>1</v>
      </c>
      <c r="X29" s="1446">
        <f t="shared" si="21"/>
        <v>1</v>
      </c>
      <c r="Y29" s="1447">
        <f t="shared" si="22"/>
        <v>1</v>
      </c>
      <c r="Z29" s="1445">
        <v>0</v>
      </c>
      <c r="AA29" s="1446">
        <f t="shared" si="23"/>
        <v>0</v>
      </c>
      <c r="AB29" s="1446">
        <f t="shared" si="24"/>
        <v>0</v>
      </c>
      <c r="AC29" s="1446">
        <f t="shared" si="25"/>
        <v>0</v>
      </c>
      <c r="AD29" s="1446">
        <f t="shared" si="26"/>
        <v>0</v>
      </c>
      <c r="AE29" s="1447">
        <f t="shared" si="27"/>
        <v>0</v>
      </c>
    </row>
    <row r="30" spans="2:31" ht="15" thickBot="1" x14ac:dyDescent="0.25">
      <c r="B30" s="525">
        <v>2015</v>
      </c>
      <c r="C30" s="1424">
        <v>96771.806566877567</v>
      </c>
      <c r="D30" s="1425">
        <f t="shared" si="8"/>
        <v>1000000</v>
      </c>
      <c r="E30" s="1425">
        <f t="shared" si="9"/>
        <v>1000000</v>
      </c>
      <c r="F30" s="1425">
        <f t="shared" si="10"/>
        <v>1000000</v>
      </c>
      <c r="G30" s="1425">
        <f t="shared" si="11"/>
        <v>1000000</v>
      </c>
      <c r="H30" s="1426">
        <f t="shared" si="12"/>
        <v>1000000</v>
      </c>
      <c r="I30" s="1361">
        <v>0</v>
      </c>
      <c r="J30" s="526">
        <v>0</v>
      </c>
      <c r="K30" s="526">
        <v>0</v>
      </c>
      <c r="L30" s="526">
        <v>0</v>
      </c>
      <c r="M30" s="1366">
        <v>0</v>
      </c>
      <c r="N30" s="1510">
        <v>6.3449696493508245</v>
      </c>
      <c r="O30" s="1449">
        <f t="shared" si="13"/>
        <v>1</v>
      </c>
      <c r="P30" s="1449">
        <f t="shared" si="14"/>
        <v>1</v>
      </c>
      <c r="Q30" s="1460">
        <f t="shared" si="15"/>
        <v>1</v>
      </c>
      <c r="R30" s="1460">
        <f t="shared" si="16"/>
        <v>1</v>
      </c>
      <c r="S30" s="1461">
        <f t="shared" si="17"/>
        <v>1</v>
      </c>
      <c r="T30" s="1451">
        <v>1</v>
      </c>
      <c r="U30" s="1452">
        <f t="shared" si="18"/>
        <v>1</v>
      </c>
      <c r="V30" s="1452">
        <f t="shared" si="19"/>
        <v>1</v>
      </c>
      <c r="W30" s="1452">
        <f t="shared" si="20"/>
        <v>1</v>
      </c>
      <c r="X30" s="1452">
        <f t="shared" si="21"/>
        <v>1</v>
      </c>
      <c r="Y30" s="1453">
        <f t="shared" si="22"/>
        <v>1</v>
      </c>
      <c r="Z30" s="1451">
        <v>0</v>
      </c>
      <c r="AA30" s="1452">
        <f t="shared" si="23"/>
        <v>0</v>
      </c>
      <c r="AB30" s="1452">
        <f t="shared" si="24"/>
        <v>0</v>
      </c>
      <c r="AC30" s="1452">
        <f t="shared" si="25"/>
        <v>0</v>
      </c>
      <c r="AD30" s="1452">
        <f t="shared" si="26"/>
        <v>0</v>
      </c>
      <c r="AE30" s="1453">
        <f t="shared" si="27"/>
        <v>0</v>
      </c>
    </row>
    <row r="31" spans="2:31" x14ac:dyDescent="0.2">
      <c r="B31" s="527">
        <v>2016</v>
      </c>
      <c r="C31" s="1427">
        <v>96771.806566877567</v>
      </c>
      <c r="D31" s="1428">
        <f t="shared" si="8"/>
        <v>1000000</v>
      </c>
      <c r="E31" s="1428">
        <f t="shared" si="9"/>
        <v>1000000</v>
      </c>
      <c r="F31" s="1428">
        <f t="shared" si="10"/>
        <v>1000000</v>
      </c>
      <c r="G31" s="1428">
        <f t="shared" si="11"/>
        <v>1000000</v>
      </c>
      <c r="H31" s="1429">
        <f t="shared" si="12"/>
        <v>1000000</v>
      </c>
      <c r="I31" s="1359">
        <v>0</v>
      </c>
      <c r="J31" s="528">
        <v>0</v>
      </c>
      <c r="K31" s="528">
        <v>0</v>
      </c>
      <c r="L31" s="528">
        <v>0</v>
      </c>
      <c r="M31" s="1364">
        <v>0</v>
      </c>
      <c r="N31" s="1511">
        <v>6.4041892526830697</v>
      </c>
      <c r="O31" s="1443">
        <f t="shared" si="13"/>
        <v>1</v>
      </c>
      <c r="P31" s="1443">
        <f t="shared" si="14"/>
        <v>1</v>
      </c>
      <c r="Q31" s="1462">
        <f t="shared" si="15"/>
        <v>1</v>
      </c>
      <c r="R31" s="1462">
        <f t="shared" si="16"/>
        <v>1</v>
      </c>
      <c r="S31" s="1463">
        <f t="shared" si="17"/>
        <v>1</v>
      </c>
      <c r="T31" s="1457">
        <v>1</v>
      </c>
      <c r="U31" s="1458">
        <f t="shared" si="18"/>
        <v>1</v>
      </c>
      <c r="V31" s="1458">
        <f t="shared" si="19"/>
        <v>1</v>
      </c>
      <c r="W31" s="1458">
        <f t="shared" si="20"/>
        <v>1</v>
      </c>
      <c r="X31" s="1458">
        <f t="shared" si="21"/>
        <v>1</v>
      </c>
      <c r="Y31" s="1459">
        <f t="shared" si="22"/>
        <v>1</v>
      </c>
      <c r="Z31" s="1457">
        <v>0</v>
      </c>
      <c r="AA31" s="1458">
        <f t="shared" si="23"/>
        <v>0</v>
      </c>
      <c r="AB31" s="1458">
        <f t="shared" si="24"/>
        <v>0</v>
      </c>
      <c r="AC31" s="1458">
        <f t="shared" si="25"/>
        <v>0</v>
      </c>
      <c r="AD31" s="1458">
        <f t="shared" si="26"/>
        <v>0</v>
      </c>
      <c r="AE31" s="1459">
        <f t="shared" si="27"/>
        <v>0</v>
      </c>
    </row>
    <row r="32" spans="2:31" x14ac:dyDescent="0.2">
      <c r="B32" s="523">
        <v>2017</v>
      </c>
      <c r="C32" s="1421">
        <v>96771.806566877567</v>
      </c>
      <c r="D32" s="1422">
        <f t="shared" si="8"/>
        <v>1000000</v>
      </c>
      <c r="E32" s="1422">
        <f t="shared" si="9"/>
        <v>1000000</v>
      </c>
      <c r="F32" s="1422">
        <f t="shared" si="10"/>
        <v>1000000</v>
      </c>
      <c r="G32" s="1422">
        <f t="shared" si="11"/>
        <v>1000000</v>
      </c>
      <c r="H32" s="1423">
        <f t="shared" si="12"/>
        <v>1000000</v>
      </c>
      <c r="I32" s="1360">
        <v>0</v>
      </c>
      <c r="J32" s="524">
        <v>0</v>
      </c>
      <c r="K32" s="524">
        <v>0</v>
      </c>
      <c r="L32" s="524">
        <v>0</v>
      </c>
      <c r="M32" s="1365">
        <v>0</v>
      </c>
      <c r="N32" s="1509">
        <v>6.4980207200052869</v>
      </c>
      <c r="O32" s="1443">
        <f t="shared" si="13"/>
        <v>1</v>
      </c>
      <c r="P32" s="1443">
        <f t="shared" si="14"/>
        <v>1</v>
      </c>
      <c r="Q32" s="1462">
        <f t="shared" si="15"/>
        <v>1</v>
      </c>
      <c r="R32" s="1462">
        <f t="shared" si="16"/>
        <v>1</v>
      </c>
      <c r="S32" s="1463">
        <f t="shared" si="17"/>
        <v>1</v>
      </c>
      <c r="T32" s="1445">
        <v>1</v>
      </c>
      <c r="U32" s="1446">
        <f t="shared" si="18"/>
        <v>1</v>
      </c>
      <c r="V32" s="1446">
        <f t="shared" si="19"/>
        <v>1</v>
      </c>
      <c r="W32" s="1446">
        <f t="shared" si="20"/>
        <v>1</v>
      </c>
      <c r="X32" s="1446">
        <f t="shared" si="21"/>
        <v>1</v>
      </c>
      <c r="Y32" s="1447">
        <f t="shared" si="22"/>
        <v>1</v>
      </c>
      <c r="Z32" s="1445">
        <v>0</v>
      </c>
      <c r="AA32" s="1446">
        <f t="shared" si="23"/>
        <v>0</v>
      </c>
      <c r="AB32" s="1446">
        <f t="shared" si="24"/>
        <v>0</v>
      </c>
      <c r="AC32" s="1446">
        <f t="shared" si="25"/>
        <v>0</v>
      </c>
      <c r="AD32" s="1446">
        <f t="shared" si="26"/>
        <v>0</v>
      </c>
      <c r="AE32" s="1447">
        <f t="shared" si="27"/>
        <v>0</v>
      </c>
    </row>
    <row r="33" spans="2:31" x14ac:dyDescent="0.2">
      <c r="B33" s="523">
        <v>2018</v>
      </c>
      <c r="C33" s="1421">
        <v>96771.806566877567</v>
      </c>
      <c r="D33" s="1422">
        <f t="shared" si="8"/>
        <v>1000000</v>
      </c>
      <c r="E33" s="1422">
        <f t="shared" si="9"/>
        <v>1000000</v>
      </c>
      <c r="F33" s="1422">
        <f t="shared" si="10"/>
        <v>1000000</v>
      </c>
      <c r="G33" s="1422">
        <f t="shared" si="11"/>
        <v>1000000</v>
      </c>
      <c r="H33" s="1423">
        <f t="shared" si="12"/>
        <v>1000000</v>
      </c>
      <c r="I33" s="1360">
        <v>0</v>
      </c>
      <c r="J33" s="524">
        <v>0</v>
      </c>
      <c r="K33" s="524">
        <v>0</v>
      </c>
      <c r="L33" s="524">
        <v>0</v>
      </c>
      <c r="M33" s="1365">
        <v>0</v>
      </c>
      <c r="N33" s="1509">
        <v>6.7882707106377262</v>
      </c>
      <c r="O33" s="1443">
        <f t="shared" si="13"/>
        <v>1</v>
      </c>
      <c r="P33" s="1443">
        <f t="shared" si="14"/>
        <v>1</v>
      </c>
      <c r="Q33" s="1462">
        <f t="shared" si="15"/>
        <v>1</v>
      </c>
      <c r="R33" s="1462">
        <f t="shared" si="16"/>
        <v>1</v>
      </c>
      <c r="S33" s="1463">
        <f t="shared" si="17"/>
        <v>1</v>
      </c>
      <c r="T33" s="1445">
        <v>1</v>
      </c>
      <c r="U33" s="1446">
        <f t="shared" si="18"/>
        <v>1</v>
      </c>
      <c r="V33" s="1446">
        <f t="shared" si="19"/>
        <v>1</v>
      </c>
      <c r="W33" s="1446">
        <f t="shared" si="20"/>
        <v>1</v>
      </c>
      <c r="X33" s="1446">
        <f t="shared" si="21"/>
        <v>1</v>
      </c>
      <c r="Y33" s="1447">
        <f t="shared" si="22"/>
        <v>1</v>
      </c>
      <c r="Z33" s="1445">
        <v>0</v>
      </c>
      <c r="AA33" s="1446">
        <f t="shared" si="23"/>
        <v>0</v>
      </c>
      <c r="AB33" s="1446">
        <f t="shared" si="24"/>
        <v>0</v>
      </c>
      <c r="AC33" s="1446">
        <f t="shared" si="25"/>
        <v>0</v>
      </c>
      <c r="AD33" s="1446">
        <f t="shared" si="26"/>
        <v>0</v>
      </c>
      <c r="AE33" s="1447">
        <f t="shared" si="27"/>
        <v>0</v>
      </c>
    </row>
    <row r="34" spans="2:31" x14ac:dyDescent="0.2">
      <c r="B34" s="523">
        <v>2019</v>
      </c>
      <c r="C34" s="1421">
        <v>96771.806566877567</v>
      </c>
      <c r="D34" s="1422">
        <v>1000000</v>
      </c>
      <c r="E34" s="1422">
        <v>1000000</v>
      </c>
      <c r="F34" s="1422">
        <v>1000000</v>
      </c>
      <c r="G34" s="1422">
        <v>1000000</v>
      </c>
      <c r="H34" s="1423">
        <v>1000000</v>
      </c>
      <c r="I34" s="1360">
        <v>0</v>
      </c>
      <c r="J34" s="524">
        <v>0</v>
      </c>
      <c r="K34" s="524">
        <v>0</v>
      </c>
      <c r="L34" s="524">
        <v>0</v>
      </c>
      <c r="M34" s="1365">
        <v>0</v>
      </c>
      <c r="N34" s="1509">
        <v>6.8198260867882965</v>
      </c>
      <c r="O34" s="1443">
        <v>1</v>
      </c>
      <c r="P34" s="1443">
        <v>1</v>
      </c>
      <c r="Q34" s="1462">
        <v>1</v>
      </c>
      <c r="R34" s="1462">
        <v>1</v>
      </c>
      <c r="S34" s="1463">
        <v>1</v>
      </c>
      <c r="T34" s="1445">
        <v>1</v>
      </c>
      <c r="U34" s="1446">
        <v>1</v>
      </c>
      <c r="V34" s="1446">
        <v>1</v>
      </c>
      <c r="W34" s="1446">
        <v>1</v>
      </c>
      <c r="X34" s="1446">
        <v>1</v>
      </c>
      <c r="Y34" s="1447">
        <f t="shared" si="22"/>
        <v>1</v>
      </c>
      <c r="Z34" s="1445">
        <v>0</v>
      </c>
      <c r="AA34" s="1446">
        <v>0</v>
      </c>
      <c r="AB34" s="1446">
        <v>0</v>
      </c>
      <c r="AC34" s="1446">
        <v>0</v>
      </c>
      <c r="AD34" s="1446">
        <v>0</v>
      </c>
      <c r="AE34" s="1447">
        <v>0</v>
      </c>
    </row>
    <row r="35" spans="2:31" ht="15" thickBot="1" x14ac:dyDescent="0.25">
      <c r="B35" s="525">
        <v>2020</v>
      </c>
      <c r="C35" s="1424">
        <v>96771.806566877567</v>
      </c>
      <c r="D35" s="1425">
        <v>1000000</v>
      </c>
      <c r="E35" s="1425">
        <v>1000000</v>
      </c>
      <c r="F35" s="1425">
        <v>1000000</v>
      </c>
      <c r="G35" s="1425">
        <v>1000000</v>
      </c>
      <c r="H35" s="1426">
        <v>1000000</v>
      </c>
      <c r="I35" s="1361">
        <v>0</v>
      </c>
      <c r="J35" s="526">
        <v>0</v>
      </c>
      <c r="K35" s="526">
        <v>0</v>
      </c>
      <c r="L35" s="526">
        <v>0</v>
      </c>
      <c r="M35" s="1366">
        <v>0</v>
      </c>
      <c r="N35" s="1510">
        <v>6.8652961720744159</v>
      </c>
      <c r="O35" s="1449">
        <v>1</v>
      </c>
      <c r="P35" s="1449">
        <v>1</v>
      </c>
      <c r="Q35" s="1460">
        <v>1</v>
      </c>
      <c r="R35" s="1460">
        <v>1</v>
      </c>
      <c r="S35" s="1461">
        <v>1</v>
      </c>
      <c r="T35" s="1451">
        <v>1</v>
      </c>
      <c r="U35" s="1452">
        <v>1</v>
      </c>
      <c r="V35" s="1452">
        <v>1</v>
      </c>
      <c r="W35" s="1452">
        <v>1</v>
      </c>
      <c r="X35" s="1452">
        <v>1</v>
      </c>
      <c r="Y35" s="1453">
        <v>1</v>
      </c>
      <c r="Z35" s="1451">
        <v>0</v>
      </c>
      <c r="AA35" s="1452">
        <v>0</v>
      </c>
      <c r="AB35" s="1452">
        <v>0</v>
      </c>
      <c r="AC35" s="1452">
        <v>0</v>
      </c>
      <c r="AD35" s="1452">
        <v>0</v>
      </c>
      <c r="AE35" s="1453">
        <v>0</v>
      </c>
    </row>
    <row r="36" spans="2:31" x14ac:dyDescent="0.2">
      <c r="B36" s="527">
        <v>2021</v>
      </c>
      <c r="C36" s="1427">
        <v>97040.03007304229</v>
      </c>
      <c r="D36" s="1428">
        <v>840.46527088408766</v>
      </c>
      <c r="E36" s="1428">
        <v>1666.4794172293186</v>
      </c>
      <c r="F36" s="1428">
        <v>13109.729877727412</v>
      </c>
      <c r="G36" s="1428">
        <v>144164.79851970976</v>
      </c>
      <c r="H36" s="1429">
        <v>254951.09746535946</v>
      </c>
      <c r="I36" s="1359">
        <v>0</v>
      </c>
      <c r="J36" s="528">
        <v>0</v>
      </c>
      <c r="K36" s="528">
        <v>0</v>
      </c>
      <c r="L36" s="528">
        <v>0</v>
      </c>
      <c r="M36" s="1364">
        <v>0</v>
      </c>
      <c r="N36" s="1511">
        <v>7.1066946066856191</v>
      </c>
      <c r="O36" s="1455">
        <v>7.2514618381519949</v>
      </c>
      <c r="P36" s="1455">
        <v>7.642758539201461</v>
      </c>
      <c r="Q36" s="1462">
        <v>8.252103623726434</v>
      </c>
      <c r="R36" s="1462">
        <v>7.3375200040858592</v>
      </c>
      <c r="S36" s="1463">
        <v>19.338612344170912</v>
      </c>
      <c r="T36" s="1457">
        <v>1</v>
      </c>
      <c r="U36" s="1458">
        <v>1</v>
      </c>
      <c r="V36" s="1458">
        <v>1</v>
      </c>
      <c r="W36" s="1458">
        <v>1</v>
      </c>
      <c r="X36" s="1458">
        <v>20.378453913383929</v>
      </c>
      <c r="Y36" s="1459">
        <v>1</v>
      </c>
      <c r="Z36" s="1457">
        <v>0</v>
      </c>
      <c r="AA36" s="1458">
        <v>0</v>
      </c>
      <c r="AB36" s="1458">
        <v>0</v>
      </c>
      <c r="AC36" s="1458">
        <v>0</v>
      </c>
      <c r="AD36" s="1458">
        <v>153.2027870307013</v>
      </c>
      <c r="AE36" s="1459">
        <v>292.4829655213137</v>
      </c>
    </row>
    <row r="37" spans="2:31" x14ac:dyDescent="0.2">
      <c r="B37" s="523">
        <v>2022</v>
      </c>
      <c r="C37" s="1421">
        <v>97308.253579207012</v>
      </c>
      <c r="D37" s="1422">
        <v>1680.9305417681753</v>
      </c>
      <c r="E37" s="1422">
        <v>2360.5513691763335</v>
      </c>
      <c r="F37" s="1422">
        <v>12471.3290793755</v>
      </c>
      <c r="G37" s="1422">
        <v>122356.24341838573</v>
      </c>
      <c r="H37" s="1423">
        <v>215138.05970907584</v>
      </c>
      <c r="I37" s="1360">
        <v>0</v>
      </c>
      <c r="J37" s="524">
        <v>0</v>
      </c>
      <c r="K37" s="524">
        <v>0</v>
      </c>
      <c r="L37" s="524">
        <v>0</v>
      </c>
      <c r="M37" s="1365">
        <v>0</v>
      </c>
      <c r="N37" s="1509">
        <v>7.2549468572317179</v>
      </c>
      <c r="O37" s="1443">
        <v>7.5470263474657688</v>
      </c>
      <c r="P37" s="1443">
        <v>7.9604767491506108</v>
      </c>
      <c r="Q37" s="1464">
        <v>8.5867009582406837</v>
      </c>
      <c r="R37" s="1464">
        <v>7.7492075439830908</v>
      </c>
      <c r="S37" s="1465">
        <v>20.10703473654937</v>
      </c>
      <c r="T37" s="1445">
        <v>1</v>
      </c>
      <c r="U37" s="1446">
        <v>1</v>
      </c>
      <c r="V37" s="1446">
        <v>1</v>
      </c>
      <c r="W37" s="1446">
        <v>1</v>
      </c>
      <c r="X37" s="1446">
        <v>21.149650146430997</v>
      </c>
      <c r="Y37" s="1447">
        <v>1</v>
      </c>
      <c r="Z37" s="1445">
        <v>0</v>
      </c>
      <c r="AA37" s="1446">
        <v>0</v>
      </c>
      <c r="AB37" s="1446">
        <v>0</v>
      </c>
      <c r="AC37" s="1446">
        <v>0</v>
      </c>
      <c r="AD37" s="1446">
        <v>152.74080023675674</v>
      </c>
      <c r="AE37" s="1447">
        <v>292.4526104465981</v>
      </c>
    </row>
    <row r="38" spans="2:31" x14ac:dyDescent="0.2">
      <c r="B38" s="523">
        <v>2023</v>
      </c>
      <c r="C38" s="1421">
        <v>97576.477085371735</v>
      </c>
      <c r="D38" s="1422">
        <v>2521.395812652263</v>
      </c>
      <c r="E38" s="1422">
        <v>3054.6233211233484</v>
      </c>
      <c r="F38" s="1422">
        <v>11832.928281023589</v>
      </c>
      <c r="G38" s="1422">
        <v>100547.68831706169</v>
      </c>
      <c r="H38" s="1423">
        <v>175325.02195279219</v>
      </c>
      <c r="I38" s="1360">
        <v>0</v>
      </c>
      <c r="J38" s="524">
        <v>0</v>
      </c>
      <c r="K38" s="524">
        <v>0</v>
      </c>
      <c r="L38" s="524">
        <v>0</v>
      </c>
      <c r="M38" s="1365">
        <v>0</v>
      </c>
      <c r="N38" s="1509">
        <v>7.3952245468405886</v>
      </c>
      <c r="O38" s="1443">
        <v>7.8365961510935715</v>
      </c>
      <c r="P38" s="1443">
        <v>8.2719688938604357</v>
      </c>
      <c r="Q38" s="1464">
        <v>8.9144503459649904</v>
      </c>
      <c r="R38" s="1464">
        <v>8.1565012303305213</v>
      </c>
      <c r="S38" s="1465">
        <v>20.85917604808748</v>
      </c>
      <c r="T38" s="1445">
        <v>1</v>
      </c>
      <c r="U38" s="1446">
        <v>1</v>
      </c>
      <c r="V38" s="1446">
        <v>1</v>
      </c>
      <c r="W38" s="1446">
        <v>1</v>
      </c>
      <c r="X38" s="1446">
        <v>21.90311759406746</v>
      </c>
      <c r="Y38" s="1447">
        <v>1</v>
      </c>
      <c r="Z38" s="1445">
        <v>0</v>
      </c>
      <c r="AA38" s="1446">
        <v>0</v>
      </c>
      <c r="AB38" s="1446">
        <v>0</v>
      </c>
      <c r="AC38" s="1446">
        <v>0</v>
      </c>
      <c r="AD38" s="1446">
        <v>152.27881344281218</v>
      </c>
      <c r="AE38" s="1447">
        <v>292.4222553718825</v>
      </c>
    </row>
    <row r="39" spans="2:31" x14ac:dyDescent="0.2">
      <c r="B39" s="523">
        <v>2024</v>
      </c>
      <c r="C39" s="1421">
        <v>97844.700591536457</v>
      </c>
      <c r="D39" s="1422">
        <v>3361.8610835363506</v>
      </c>
      <c r="E39" s="1422">
        <v>3748.6952730703633</v>
      </c>
      <c r="F39" s="1422">
        <v>11194.527482671678</v>
      </c>
      <c r="G39" s="1422">
        <v>78739.13321573766</v>
      </c>
      <c r="H39" s="1423">
        <v>135511.98419650859</v>
      </c>
      <c r="I39" s="1360">
        <v>0</v>
      </c>
      <c r="J39" s="524">
        <v>0</v>
      </c>
      <c r="K39" s="524">
        <v>0</v>
      </c>
      <c r="L39" s="524">
        <v>0</v>
      </c>
      <c r="M39" s="1365">
        <v>0</v>
      </c>
      <c r="N39" s="1509">
        <v>7.5444330920738185</v>
      </c>
      <c r="O39" s="1443">
        <v>8.1378673626194438</v>
      </c>
      <c r="P39" s="1443">
        <v>8.5959051807146825</v>
      </c>
      <c r="Q39" s="1464">
        <v>9.2554843966218385</v>
      </c>
      <c r="R39" s="1464">
        <v>8.577655530394896</v>
      </c>
      <c r="S39" s="1465">
        <v>21.642168020992671</v>
      </c>
      <c r="T39" s="1445">
        <v>1</v>
      </c>
      <c r="U39" s="1446">
        <v>1</v>
      </c>
      <c r="V39" s="1446">
        <v>1</v>
      </c>
      <c r="W39" s="1446">
        <v>1</v>
      </c>
      <c r="X39" s="1446">
        <v>22.688403057509014</v>
      </c>
      <c r="Y39" s="1447">
        <v>1</v>
      </c>
      <c r="Z39" s="1445">
        <v>0</v>
      </c>
      <c r="AA39" s="1446">
        <v>0</v>
      </c>
      <c r="AB39" s="1446">
        <v>0</v>
      </c>
      <c r="AC39" s="1446">
        <v>0</v>
      </c>
      <c r="AD39" s="1446">
        <v>151.81682664886762</v>
      </c>
      <c r="AE39" s="1447">
        <v>292.3919002971669</v>
      </c>
    </row>
    <row r="40" spans="2:31" ht="15" thickBot="1" x14ac:dyDescent="0.25">
      <c r="B40" s="525">
        <v>2025</v>
      </c>
      <c r="C40" s="1424">
        <v>98112.924097701165</v>
      </c>
      <c r="D40" s="1425">
        <v>4202.3263544204674</v>
      </c>
      <c r="E40" s="1425">
        <v>4442.7672250173928</v>
      </c>
      <c r="F40" s="1425">
        <v>10556.126684319781</v>
      </c>
      <c r="G40" s="1425">
        <v>56930.578114413584</v>
      </c>
      <c r="H40" s="1426">
        <v>95698.946440225016</v>
      </c>
      <c r="I40" s="1361">
        <v>0</v>
      </c>
      <c r="J40" s="526">
        <v>0</v>
      </c>
      <c r="K40" s="526">
        <v>0</v>
      </c>
      <c r="L40" s="526">
        <v>0</v>
      </c>
      <c r="M40" s="1366">
        <v>0</v>
      </c>
      <c r="N40" s="1510">
        <v>7.6904954072333691</v>
      </c>
      <c r="O40" s="1449">
        <v>8.438014936260716</v>
      </c>
      <c r="P40" s="1449">
        <v>8.9187469265359489</v>
      </c>
      <c r="Q40" s="1460">
        <v>9.5952144109461681</v>
      </c>
      <c r="R40" s="1460">
        <v>8.9993014444510671</v>
      </c>
      <c r="S40" s="1461">
        <v>22.421876989082108</v>
      </c>
      <c r="T40" s="1451">
        <v>1</v>
      </c>
      <c r="U40" s="1452">
        <v>1</v>
      </c>
      <c r="V40" s="1452">
        <v>1</v>
      </c>
      <c r="W40" s="1452">
        <v>1</v>
      </c>
      <c r="X40" s="1452">
        <v>23.46967157835418</v>
      </c>
      <c r="Y40" s="1453">
        <v>1</v>
      </c>
      <c r="Z40" s="1451">
        <v>0</v>
      </c>
      <c r="AA40" s="1452">
        <v>0</v>
      </c>
      <c r="AB40" s="1452">
        <v>0</v>
      </c>
      <c r="AC40" s="1452">
        <v>0</v>
      </c>
      <c r="AD40" s="1452">
        <v>151.35483985492303</v>
      </c>
      <c r="AE40" s="1453">
        <v>292.36154522245141</v>
      </c>
    </row>
    <row r="41" spans="2:31" x14ac:dyDescent="0.2">
      <c r="B41" s="527">
        <v>2026</v>
      </c>
      <c r="C41" s="1427">
        <v>98535.258281973045</v>
      </c>
      <c r="D41" s="1428">
        <v>4373.8152336049534</v>
      </c>
      <c r="E41" s="1428">
        <v>4579.0086429013609</v>
      </c>
      <c r="F41" s="1428">
        <v>10405.351335317668</v>
      </c>
      <c r="G41" s="1428">
        <v>52011.723754359904</v>
      </c>
      <c r="H41" s="1429">
        <v>86083.468857967993</v>
      </c>
      <c r="I41" s="1359">
        <v>0</v>
      </c>
      <c r="J41" s="528">
        <v>0</v>
      </c>
      <c r="K41" s="528">
        <v>0</v>
      </c>
      <c r="L41" s="528">
        <v>0</v>
      </c>
      <c r="M41" s="1364">
        <v>0</v>
      </c>
      <c r="N41" s="1511">
        <v>7.8796174660298455</v>
      </c>
      <c r="O41" s="1455">
        <v>8.7883235625922929</v>
      </c>
      <c r="P41" s="1455">
        <v>9.2947241149660904</v>
      </c>
      <c r="Q41" s="1462">
        <v>9.9919516873462335</v>
      </c>
      <c r="R41" s="1462">
        <v>9.4765614577954143</v>
      </c>
      <c r="S41" s="1463">
        <v>23.334503972412637</v>
      </c>
      <c r="T41" s="1457">
        <v>1</v>
      </c>
      <c r="U41" s="1458">
        <v>1</v>
      </c>
      <c r="V41" s="1458">
        <v>1</v>
      </c>
      <c r="W41" s="1458">
        <v>1</v>
      </c>
      <c r="X41" s="1458">
        <v>24.389342503615332</v>
      </c>
      <c r="Y41" s="1459">
        <v>1</v>
      </c>
      <c r="Z41" s="1457">
        <v>0</v>
      </c>
      <c r="AA41" s="1458">
        <v>0</v>
      </c>
      <c r="AB41" s="1458">
        <v>0</v>
      </c>
      <c r="AC41" s="1458">
        <v>0</v>
      </c>
      <c r="AD41" s="1458">
        <v>152.00858941626836</v>
      </c>
      <c r="AE41" s="1459">
        <v>294.4439753397204</v>
      </c>
    </row>
    <row r="42" spans="2:31" x14ac:dyDescent="0.2">
      <c r="B42" s="523">
        <v>2027</v>
      </c>
      <c r="C42" s="1421">
        <v>98957.592466244925</v>
      </c>
      <c r="D42" s="1422">
        <v>4545.3041127894394</v>
      </c>
      <c r="E42" s="1422">
        <v>4715.250060785329</v>
      </c>
      <c r="F42" s="1422">
        <v>10254.575986315554</v>
      </c>
      <c r="G42" s="1422">
        <v>47092.869394306224</v>
      </c>
      <c r="H42" s="1423">
        <v>76467.991275710971</v>
      </c>
      <c r="I42" s="1360">
        <v>0</v>
      </c>
      <c r="J42" s="524">
        <v>0</v>
      </c>
      <c r="K42" s="524">
        <v>0</v>
      </c>
      <c r="L42" s="524">
        <v>0</v>
      </c>
      <c r="M42" s="1365">
        <v>0</v>
      </c>
      <c r="N42" s="1509">
        <v>8.0838815874836101</v>
      </c>
      <c r="O42" s="1443">
        <v>9.1593786749555619</v>
      </c>
      <c r="P42" s="1443">
        <v>9.6927950245681878</v>
      </c>
      <c r="Q42" s="1464">
        <v>10.412233966282747</v>
      </c>
      <c r="R42" s="1464">
        <v>9.9789475009735593</v>
      </c>
      <c r="S42" s="1465">
        <v>24.301731930902008</v>
      </c>
      <c r="T42" s="1445">
        <v>1</v>
      </c>
      <c r="U42" s="1446">
        <v>1</v>
      </c>
      <c r="V42" s="1446">
        <v>1</v>
      </c>
      <c r="W42" s="1446">
        <v>1</v>
      </c>
      <c r="X42" s="1446">
        <v>25.365135612382058</v>
      </c>
      <c r="Y42" s="1447">
        <v>1</v>
      </c>
      <c r="Z42" s="1445">
        <v>0</v>
      </c>
      <c r="AA42" s="1446">
        <v>0</v>
      </c>
      <c r="AB42" s="1446">
        <v>0</v>
      </c>
      <c r="AC42" s="1446">
        <v>0</v>
      </c>
      <c r="AD42" s="1446">
        <v>152.6623389776137</v>
      </c>
      <c r="AE42" s="1447">
        <v>296.52640545698938</v>
      </c>
    </row>
    <row r="43" spans="2:31" x14ac:dyDescent="0.2">
      <c r="B43" s="523">
        <v>2028</v>
      </c>
      <c r="C43" s="1421">
        <v>99379.926650516805</v>
      </c>
      <c r="D43" s="1422">
        <v>4716.7929919739254</v>
      </c>
      <c r="E43" s="1422">
        <v>4851.4914786692971</v>
      </c>
      <c r="F43" s="1422">
        <v>10103.800637313441</v>
      </c>
      <c r="G43" s="1422">
        <v>42174.015034252545</v>
      </c>
      <c r="H43" s="1423">
        <v>66852.513693453948</v>
      </c>
      <c r="I43" s="1360">
        <v>0</v>
      </c>
      <c r="J43" s="524">
        <v>0</v>
      </c>
      <c r="K43" s="524">
        <v>0</v>
      </c>
      <c r="L43" s="524">
        <v>0</v>
      </c>
      <c r="M43" s="1365">
        <v>0</v>
      </c>
      <c r="N43" s="1509">
        <v>8.1579983898762283</v>
      </c>
      <c r="O43" s="1443">
        <v>9.3847120142735569</v>
      </c>
      <c r="P43" s="1443">
        <v>9.9367251422608067</v>
      </c>
      <c r="Q43" s="1464">
        <v>10.666843043707351</v>
      </c>
      <c r="R43" s="1464">
        <v>10.3237961938114</v>
      </c>
      <c r="S43" s="1465">
        <v>24.882114628625285</v>
      </c>
      <c r="T43" s="1445">
        <v>1</v>
      </c>
      <c r="U43" s="1446">
        <v>1</v>
      </c>
      <c r="V43" s="1446">
        <v>1</v>
      </c>
      <c r="W43" s="1446">
        <v>1</v>
      </c>
      <c r="X43" s="1446">
        <v>25.936734864408546</v>
      </c>
      <c r="Y43" s="1447">
        <v>1</v>
      </c>
      <c r="Z43" s="1445">
        <v>0</v>
      </c>
      <c r="AA43" s="1446">
        <v>0</v>
      </c>
      <c r="AB43" s="1446">
        <v>0</v>
      </c>
      <c r="AC43" s="1446">
        <v>0</v>
      </c>
      <c r="AD43" s="1446">
        <v>153.31608853895904</v>
      </c>
      <c r="AE43" s="1447">
        <v>298.60883557425836</v>
      </c>
    </row>
    <row r="44" spans="2:31" x14ac:dyDescent="0.2">
      <c r="B44" s="523">
        <v>2029</v>
      </c>
      <c r="C44" s="1421">
        <v>99802.260834788685</v>
      </c>
      <c r="D44" s="1422">
        <v>4888.2818711584114</v>
      </c>
      <c r="E44" s="1422">
        <v>4987.7328965532652</v>
      </c>
      <c r="F44" s="1422">
        <v>9953.025288311328</v>
      </c>
      <c r="G44" s="1422">
        <v>37255.160674198865</v>
      </c>
      <c r="H44" s="1423">
        <v>57237.036111196925</v>
      </c>
      <c r="I44" s="1360">
        <v>0</v>
      </c>
      <c r="J44" s="524">
        <v>0</v>
      </c>
      <c r="K44" s="524">
        <v>0</v>
      </c>
      <c r="L44" s="524">
        <v>0</v>
      </c>
      <c r="M44" s="1365">
        <v>0</v>
      </c>
      <c r="N44" s="1509">
        <v>8.3204018705413638</v>
      </c>
      <c r="O44" s="1443">
        <v>9.7125571365681882</v>
      </c>
      <c r="P44" s="1443">
        <v>10.289233048717541</v>
      </c>
      <c r="Q44" s="1464">
        <v>11.037958743380047</v>
      </c>
      <c r="R44" s="1464">
        <v>10.782071844137519</v>
      </c>
      <c r="S44" s="1465">
        <v>25.734175887171379</v>
      </c>
      <c r="T44" s="1445">
        <v>1</v>
      </c>
      <c r="U44" s="1446">
        <v>1</v>
      </c>
      <c r="V44" s="1446">
        <v>1</v>
      </c>
      <c r="W44" s="1446">
        <v>1</v>
      </c>
      <c r="X44" s="1446">
        <v>26.791301395835184</v>
      </c>
      <c r="Y44" s="1447">
        <v>1</v>
      </c>
      <c r="Z44" s="1445">
        <v>0</v>
      </c>
      <c r="AA44" s="1446">
        <v>0</v>
      </c>
      <c r="AB44" s="1446">
        <v>0</v>
      </c>
      <c r="AC44" s="1446">
        <v>0</v>
      </c>
      <c r="AD44" s="1446">
        <v>153.96983810030437</v>
      </c>
      <c r="AE44" s="1447">
        <v>300.69126569152735</v>
      </c>
    </row>
    <row r="45" spans="2:31" ht="15" thickBot="1" x14ac:dyDescent="0.25">
      <c r="B45" s="525">
        <v>2030</v>
      </c>
      <c r="C45" s="1424">
        <v>100224.59501906054</v>
      </c>
      <c r="D45" s="1515">
        <v>5059.7707503429119</v>
      </c>
      <c r="E45" s="1515">
        <v>5123.9743144372333</v>
      </c>
      <c r="F45" s="1425">
        <v>9802.2499393092439</v>
      </c>
      <c r="G45" s="1425">
        <v>32336.306314145273</v>
      </c>
      <c r="H45" s="1426">
        <v>47621.558528939873</v>
      </c>
      <c r="I45" s="1361">
        <v>0</v>
      </c>
      <c r="J45" s="526">
        <v>0</v>
      </c>
      <c r="K45" s="526">
        <v>0</v>
      </c>
      <c r="L45" s="526">
        <v>0</v>
      </c>
      <c r="M45" s="1366">
        <v>0</v>
      </c>
      <c r="N45" s="1510">
        <v>8.4596513418802797</v>
      </c>
      <c r="O45" s="1449">
        <v>10.015389114320127</v>
      </c>
      <c r="P45" s="1449">
        <v>10.615318411461462</v>
      </c>
      <c r="Q45" s="1460">
        <v>11.380626544197902</v>
      </c>
      <c r="R45" s="1460">
        <v>11.213954622667076</v>
      </c>
      <c r="S45" s="1461">
        <v>26.51972111238014</v>
      </c>
      <c r="T45" s="1451">
        <v>1</v>
      </c>
      <c r="U45" s="1452">
        <v>1</v>
      </c>
      <c r="V45" s="1452">
        <v>1</v>
      </c>
      <c r="W45" s="1452">
        <v>1</v>
      </c>
      <c r="X45" s="1452">
        <v>27.576145944293774</v>
      </c>
      <c r="Y45" s="1453">
        <v>1</v>
      </c>
      <c r="Z45" s="1451">
        <v>0</v>
      </c>
      <c r="AA45" s="1452">
        <v>0</v>
      </c>
      <c r="AB45" s="1452">
        <v>0</v>
      </c>
      <c r="AC45" s="1452">
        <v>0</v>
      </c>
      <c r="AD45" s="1452">
        <v>154.62358766164965</v>
      </c>
      <c r="AE45" s="1453">
        <v>302.77369580879645</v>
      </c>
    </row>
    <row r="46" spans="2:31" x14ac:dyDescent="0.2">
      <c r="B46" s="527">
        <v>2031</v>
      </c>
      <c r="C46" s="1427">
        <v>100224.59501906054</v>
      </c>
      <c r="D46" s="1428">
        <v>5059.7707503429119</v>
      </c>
      <c r="E46" s="1428">
        <v>5123.9743144372333</v>
      </c>
      <c r="F46" s="1428">
        <v>10076.401732986604</v>
      </c>
      <c r="G46" s="1428">
        <v>30465.139959469729</v>
      </c>
      <c r="H46" s="1429">
        <v>43697.808657362766</v>
      </c>
      <c r="I46" s="1359">
        <v>0</v>
      </c>
      <c r="J46" s="528">
        <v>0</v>
      </c>
      <c r="K46" s="528">
        <v>0</v>
      </c>
      <c r="L46" s="528">
        <v>0</v>
      </c>
      <c r="M46" s="1364">
        <v>0</v>
      </c>
      <c r="N46" s="1511">
        <v>8.4765855799556995</v>
      </c>
      <c r="O46" s="1455">
        <f>$N46*O45/$N45</f>
        <v>10.035437574572883</v>
      </c>
      <c r="P46" s="1455">
        <f t="shared" ref="P46:Q65" si="28">$N46*P45/$N45</f>
        <v>10.636567789474968</v>
      </c>
      <c r="Q46" s="1462">
        <v>11.517968900373031</v>
      </c>
      <c r="R46" s="1462">
        <v>11.42376443404703</v>
      </c>
      <c r="S46" s="1463">
        <v>26.785155926023332</v>
      </c>
      <c r="T46" s="1457">
        <v>1</v>
      </c>
      <c r="U46" s="1458">
        <v>1</v>
      </c>
      <c r="V46" s="1458">
        <v>1</v>
      </c>
      <c r="W46" s="1458">
        <v>1</v>
      </c>
      <c r="X46" s="1458">
        <v>27.857908909155185</v>
      </c>
      <c r="Y46" s="1459">
        <v>1</v>
      </c>
      <c r="Z46" s="1457">
        <v>0</v>
      </c>
      <c r="AA46" s="1458">
        <v>0</v>
      </c>
      <c r="AB46" s="1458">
        <v>0</v>
      </c>
      <c r="AC46" s="1458">
        <v>0</v>
      </c>
      <c r="AD46" s="1458">
        <v>155.26752124817588</v>
      </c>
      <c r="AE46" s="1459">
        <v>303.88180125889505</v>
      </c>
    </row>
    <row r="47" spans="2:31" x14ac:dyDescent="0.2">
      <c r="B47" s="523">
        <v>2032</v>
      </c>
      <c r="C47" s="1421">
        <v>100224.59501906054</v>
      </c>
      <c r="D47" s="1428">
        <v>5059.7707503429119</v>
      </c>
      <c r="E47" s="1428">
        <v>5123.9743144372333</v>
      </c>
      <c r="F47" s="1428">
        <v>10350.553526663964</v>
      </c>
      <c r="G47" s="1428">
        <v>28593.973604794184</v>
      </c>
      <c r="H47" s="1429">
        <v>39774.058785785659</v>
      </c>
      <c r="I47" s="1360">
        <v>0</v>
      </c>
      <c r="J47" s="529">
        <v>0</v>
      </c>
      <c r="K47" s="524">
        <v>0</v>
      </c>
      <c r="L47" s="529">
        <v>0</v>
      </c>
      <c r="M47" s="1365">
        <v>0</v>
      </c>
      <c r="N47" s="1511">
        <v>8.4935198180311193</v>
      </c>
      <c r="O47" s="1443">
        <f t="shared" ref="O47:O65" si="29">$N47*O46/$N46</f>
        <v>10.055486034825639</v>
      </c>
      <c r="P47" s="1443">
        <f t="shared" si="28"/>
        <v>10.657817167488474</v>
      </c>
      <c r="Q47" s="1464">
        <v>11.655768988830102</v>
      </c>
      <c r="R47" s="1464">
        <v>11.634322856868829</v>
      </c>
      <c r="S47" s="1465">
        <v>27.051439185278891</v>
      </c>
      <c r="T47" s="1457">
        <v>1</v>
      </c>
      <c r="U47" s="1458">
        <v>1</v>
      </c>
      <c r="V47" s="1458">
        <v>1</v>
      </c>
      <c r="W47" s="1458">
        <v>1</v>
      </c>
      <c r="X47" s="1458">
        <v>28.140577109881232</v>
      </c>
      <c r="Y47" s="1459">
        <v>1</v>
      </c>
      <c r="Z47" s="1457">
        <v>0</v>
      </c>
      <c r="AA47" s="1458">
        <v>0</v>
      </c>
      <c r="AB47" s="1458">
        <v>0</v>
      </c>
      <c r="AC47" s="1458">
        <v>0</v>
      </c>
      <c r="AD47" s="1458">
        <v>155.91145483470211</v>
      </c>
      <c r="AE47" s="1459">
        <v>304.98990670899366</v>
      </c>
    </row>
    <row r="48" spans="2:31" x14ac:dyDescent="0.2">
      <c r="B48" s="523">
        <v>2033</v>
      </c>
      <c r="C48" s="1421">
        <v>100224.59501906054</v>
      </c>
      <c r="D48" s="1428">
        <v>5059.7707503429119</v>
      </c>
      <c r="E48" s="1428">
        <v>5123.9743144372333</v>
      </c>
      <c r="F48" s="1428">
        <v>10624.705320341323</v>
      </c>
      <c r="G48" s="1428">
        <v>26722.80725011864</v>
      </c>
      <c r="H48" s="1429">
        <v>35850.308914208552</v>
      </c>
      <c r="I48" s="1360">
        <v>0</v>
      </c>
      <c r="J48" s="524">
        <v>0</v>
      </c>
      <c r="K48" s="524">
        <v>0</v>
      </c>
      <c r="L48" s="524">
        <v>0</v>
      </c>
      <c r="M48" s="1365">
        <v>0</v>
      </c>
      <c r="N48" s="1511">
        <v>8.5104540561065392</v>
      </c>
      <c r="O48" s="1443">
        <f t="shared" si="29"/>
        <v>10.075534495078395</v>
      </c>
      <c r="P48" s="1443">
        <f t="shared" si="28"/>
        <v>10.67906654550198</v>
      </c>
      <c r="Q48" s="1464">
        <v>11.794026809569115</v>
      </c>
      <c r="R48" s="1464">
        <v>11.845629891132475</v>
      </c>
      <c r="S48" s="1465">
        <v>27.318570890146823</v>
      </c>
      <c r="T48" s="1457">
        <v>1</v>
      </c>
      <c r="U48" s="1458">
        <v>1</v>
      </c>
      <c r="V48" s="1458">
        <v>1</v>
      </c>
      <c r="W48" s="1458">
        <v>1</v>
      </c>
      <c r="X48" s="1458">
        <v>28.424150546471925</v>
      </c>
      <c r="Y48" s="1459">
        <v>1</v>
      </c>
      <c r="Z48" s="1457">
        <v>0</v>
      </c>
      <c r="AA48" s="1458">
        <v>0</v>
      </c>
      <c r="AB48" s="1458">
        <v>0</v>
      </c>
      <c r="AC48" s="1458">
        <v>0</v>
      </c>
      <c r="AD48" s="1458">
        <v>156.55538842122834</v>
      </c>
      <c r="AE48" s="1459">
        <v>306.09801215909226</v>
      </c>
    </row>
    <row r="49" spans="2:31" x14ac:dyDescent="0.2">
      <c r="B49" s="523">
        <v>2034</v>
      </c>
      <c r="C49" s="1421">
        <v>100224.59501906054</v>
      </c>
      <c r="D49" s="1428">
        <v>5059.7707503429119</v>
      </c>
      <c r="E49" s="1428">
        <v>5123.9743144372333</v>
      </c>
      <c r="F49" s="1428">
        <v>10898.857114018683</v>
      </c>
      <c r="G49" s="1428">
        <v>24851.640895443095</v>
      </c>
      <c r="H49" s="1429">
        <v>31926.559042631445</v>
      </c>
      <c r="I49" s="1360">
        <v>0</v>
      </c>
      <c r="J49" s="524">
        <v>0</v>
      </c>
      <c r="K49" s="524">
        <v>0</v>
      </c>
      <c r="L49" s="524">
        <v>0</v>
      </c>
      <c r="M49" s="1365">
        <v>0</v>
      </c>
      <c r="N49" s="1511">
        <v>8.5273882941819608</v>
      </c>
      <c r="O49" s="1443">
        <f t="shared" si="29"/>
        <v>10.095582955331153</v>
      </c>
      <c r="P49" s="1443">
        <f t="shared" si="28"/>
        <v>10.700315923515488</v>
      </c>
      <c r="Q49" s="1464">
        <v>11.932742362590075</v>
      </c>
      <c r="R49" s="1464">
        <v>12.057685536837971</v>
      </c>
      <c r="S49" s="1465">
        <v>27.586551040627128</v>
      </c>
      <c r="T49" s="1457">
        <v>1</v>
      </c>
      <c r="U49" s="1458">
        <v>1</v>
      </c>
      <c r="V49" s="1458">
        <v>1</v>
      </c>
      <c r="W49" s="1458">
        <v>1</v>
      </c>
      <c r="X49" s="1458">
        <v>28.708629218927264</v>
      </c>
      <c r="Y49" s="1459">
        <v>1</v>
      </c>
      <c r="Z49" s="1457">
        <v>0</v>
      </c>
      <c r="AA49" s="1458">
        <v>0</v>
      </c>
      <c r="AB49" s="1458">
        <v>0</v>
      </c>
      <c r="AC49" s="1458">
        <v>0</v>
      </c>
      <c r="AD49" s="1458">
        <v>157.19932200775457</v>
      </c>
      <c r="AE49" s="1459">
        <v>307.20611760919087</v>
      </c>
    </row>
    <row r="50" spans="2:31" ht="15" thickBot="1" x14ac:dyDescent="0.25">
      <c r="B50" s="530">
        <v>2035</v>
      </c>
      <c r="C50" s="1430">
        <v>100224.59501906054</v>
      </c>
      <c r="D50" s="1431">
        <v>5059.7707503429119</v>
      </c>
      <c r="E50" s="1431">
        <v>5123.9743144372333</v>
      </c>
      <c r="F50" s="1431">
        <v>11173.008907696058</v>
      </c>
      <c r="G50" s="1431">
        <v>22980.474540767522</v>
      </c>
      <c r="H50" s="1432">
        <v>28002.809171054396</v>
      </c>
      <c r="I50" s="1362">
        <v>0</v>
      </c>
      <c r="J50" s="531">
        <v>0</v>
      </c>
      <c r="K50" s="531">
        <v>0</v>
      </c>
      <c r="L50" s="531">
        <v>0</v>
      </c>
      <c r="M50" s="1367">
        <v>0</v>
      </c>
      <c r="N50" s="1512">
        <v>8.5443225322573806</v>
      </c>
      <c r="O50" s="1449">
        <f t="shared" si="29"/>
        <v>10.115631415583909</v>
      </c>
      <c r="P50" s="1449">
        <f t="shared" si="28"/>
        <v>10.721565301528994</v>
      </c>
      <c r="Q50" s="1460">
        <v>12.071915647892972</v>
      </c>
      <c r="R50" s="1460">
        <v>12.270489793985307</v>
      </c>
      <c r="S50" s="1461">
        <v>27.855379636719789</v>
      </c>
      <c r="T50" s="1467">
        <v>1</v>
      </c>
      <c r="U50" s="1468">
        <v>1</v>
      </c>
      <c r="V50" s="1468">
        <v>1</v>
      </c>
      <c r="W50" s="1468">
        <v>1</v>
      </c>
      <c r="X50" s="1468">
        <v>28.994013127247239</v>
      </c>
      <c r="Y50" s="1469">
        <v>1</v>
      </c>
      <c r="Z50" s="1467">
        <v>0</v>
      </c>
      <c r="AA50" s="1468">
        <v>0</v>
      </c>
      <c r="AB50" s="1468">
        <v>0</v>
      </c>
      <c r="AC50" s="1468">
        <v>0</v>
      </c>
      <c r="AD50" s="1468">
        <v>157.84325559428083</v>
      </c>
      <c r="AE50" s="1469">
        <v>308.31422305928947</v>
      </c>
    </row>
    <row r="51" spans="2:31" x14ac:dyDescent="0.2">
      <c r="B51" s="532">
        <v>2036</v>
      </c>
      <c r="C51" s="1418">
        <v>100224.59501906054</v>
      </c>
      <c r="D51" s="1419">
        <v>5059.7707503429119</v>
      </c>
      <c r="E51" s="1419">
        <v>5123.9743144372333</v>
      </c>
      <c r="F51" s="1516">
        <v>11472.423184880303</v>
      </c>
      <c r="G51" s="1419">
        <v>22995.141953531071</v>
      </c>
      <c r="H51" s="1420">
        <v>27642.703353960344</v>
      </c>
      <c r="I51" s="1363">
        <v>0</v>
      </c>
      <c r="J51" s="533">
        <v>0</v>
      </c>
      <c r="K51" s="533">
        <v>0</v>
      </c>
      <c r="L51" s="533">
        <v>0</v>
      </c>
      <c r="M51" s="1368">
        <v>0</v>
      </c>
      <c r="N51" s="1508">
        <v>8.5444945413697049</v>
      </c>
      <c r="O51" s="1437">
        <f t="shared" si="29"/>
        <v>10.115835057332429</v>
      </c>
      <c r="P51" s="1437">
        <f t="shared" si="28"/>
        <v>10.721781141570528</v>
      </c>
      <c r="Q51" s="1470">
        <f t="shared" si="28"/>
        <v>12.072158672367623</v>
      </c>
      <c r="R51" s="1470">
        <v>12.341382408440833</v>
      </c>
      <c r="S51" s="1471">
        <v>27.952689269003422</v>
      </c>
      <c r="T51" s="1439">
        <v>1</v>
      </c>
      <c r="U51" s="1440">
        <v>1</v>
      </c>
      <c r="V51" s="1440">
        <v>1</v>
      </c>
      <c r="W51" s="1440">
        <v>1</v>
      </c>
      <c r="X51" s="1440">
        <v>29.096687729032773</v>
      </c>
      <c r="Y51" s="1441">
        <v>1</v>
      </c>
      <c r="Z51" s="1439">
        <v>0</v>
      </c>
      <c r="AA51" s="1440">
        <v>0</v>
      </c>
      <c r="AB51" s="1440">
        <v>0</v>
      </c>
      <c r="AC51" s="1440">
        <v>0</v>
      </c>
      <c r="AD51" s="1440">
        <v>158.13927134135037</v>
      </c>
      <c r="AE51" s="1441">
        <v>308.91458792033222</v>
      </c>
    </row>
    <row r="52" spans="2:31" x14ac:dyDescent="0.2">
      <c r="B52" s="523">
        <v>2037</v>
      </c>
      <c r="C52" s="1421">
        <v>100224.59501906054</v>
      </c>
      <c r="D52" s="1422">
        <v>5059.7707503429119</v>
      </c>
      <c r="E52" s="1422">
        <v>5123.9743144372333</v>
      </c>
      <c r="F52" s="1422">
        <v>11472.423184880303</v>
      </c>
      <c r="G52" s="1422">
        <v>23009.809366294619</v>
      </c>
      <c r="H52" s="1423">
        <v>27282.597536866291</v>
      </c>
      <c r="I52" s="1360">
        <v>0</v>
      </c>
      <c r="J52" s="524">
        <v>0</v>
      </c>
      <c r="K52" s="524">
        <v>0</v>
      </c>
      <c r="L52" s="524">
        <v>0</v>
      </c>
      <c r="M52" s="1365">
        <v>0</v>
      </c>
      <c r="N52" s="1509">
        <v>8.5450857966197695</v>
      </c>
      <c r="O52" s="1443">
        <f t="shared" si="29"/>
        <v>10.116535044974469</v>
      </c>
      <c r="P52" s="1443">
        <f t="shared" si="28"/>
        <v>10.722523058995755</v>
      </c>
      <c r="Q52" s="1464">
        <f t="shared" si="28"/>
        <v>12.072994032161008</v>
      </c>
      <c r="R52" s="1464">
        <v>12.412886878652932</v>
      </c>
      <c r="S52" s="1465">
        <v>28.05137907678122</v>
      </c>
      <c r="T52" s="1445">
        <v>1</v>
      </c>
      <c r="U52" s="1446">
        <v>1</v>
      </c>
      <c r="V52" s="1446">
        <v>1</v>
      </c>
      <c r="W52" s="1446">
        <v>1</v>
      </c>
      <c r="X52" s="1446">
        <v>29.20079911519996</v>
      </c>
      <c r="Y52" s="1447">
        <v>1</v>
      </c>
      <c r="Z52" s="1445">
        <v>0</v>
      </c>
      <c r="AA52" s="1446">
        <v>0</v>
      </c>
      <c r="AB52" s="1446">
        <v>0</v>
      </c>
      <c r="AC52" s="1446">
        <v>0</v>
      </c>
      <c r="AD52" s="1446">
        <v>158.4352870884199</v>
      </c>
      <c r="AE52" s="1447">
        <v>309.51495278137497</v>
      </c>
    </row>
    <row r="53" spans="2:31" x14ac:dyDescent="0.2">
      <c r="B53" s="523">
        <v>2038</v>
      </c>
      <c r="C53" s="1421">
        <v>100224.59501906054</v>
      </c>
      <c r="D53" s="1422">
        <v>5059.7707503429119</v>
      </c>
      <c r="E53" s="1422">
        <v>5123.9743144372333</v>
      </c>
      <c r="F53" s="1422">
        <v>11472.423184880303</v>
      </c>
      <c r="G53" s="1422">
        <v>23024.476779058168</v>
      </c>
      <c r="H53" s="1423">
        <v>26922.491719772239</v>
      </c>
      <c r="I53" s="1360">
        <v>0</v>
      </c>
      <c r="J53" s="524">
        <v>0</v>
      </c>
      <c r="K53" s="524">
        <v>0</v>
      </c>
      <c r="L53" s="524">
        <v>0</v>
      </c>
      <c r="M53" s="1365">
        <v>0</v>
      </c>
      <c r="N53" s="1509">
        <v>8.5458752554962878</v>
      </c>
      <c r="O53" s="1443">
        <f t="shared" si="29"/>
        <v>10.11746968607474</v>
      </c>
      <c r="P53" s="1443">
        <f t="shared" si="28"/>
        <v>10.723513685796828</v>
      </c>
      <c r="Q53" s="1464">
        <f t="shared" si="28"/>
        <v>12.074109425561577</v>
      </c>
      <c r="R53" s="1464">
        <v>12.484690681998952</v>
      </c>
      <c r="S53" s="1465">
        <v>28.150735171236917</v>
      </c>
      <c r="T53" s="1445">
        <v>1</v>
      </c>
      <c r="U53" s="1446">
        <v>1</v>
      </c>
      <c r="V53" s="1446">
        <v>1</v>
      </c>
      <c r="W53" s="1446">
        <v>1</v>
      </c>
      <c r="X53" s="1446">
        <v>29.305604312118653</v>
      </c>
      <c r="Y53" s="1447">
        <v>1</v>
      </c>
      <c r="Z53" s="1445">
        <v>0</v>
      </c>
      <c r="AA53" s="1446">
        <v>0</v>
      </c>
      <c r="AB53" s="1446">
        <v>0</v>
      </c>
      <c r="AC53" s="1446">
        <v>0</v>
      </c>
      <c r="AD53" s="1446">
        <v>158.73130283548943</v>
      </c>
      <c r="AE53" s="1447">
        <v>310.11531764241772</v>
      </c>
    </row>
    <row r="54" spans="2:31" x14ac:dyDescent="0.2">
      <c r="B54" s="523">
        <v>2039</v>
      </c>
      <c r="C54" s="1421">
        <v>100224.59501906054</v>
      </c>
      <c r="D54" s="1422">
        <v>5059.7707503429119</v>
      </c>
      <c r="E54" s="1422">
        <v>5123.9743144372333</v>
      </c>
      <c r="F54" s="1422">
        <v>11472.423184880303</v>
      </c>
      <c r="G54" s="1422">
        <v>23039.144191821717</v>
      </c>
      <c r="H54" s="1423">
        <v>26562.385902678187</v>
      </c>
      <c r="I54" s="1360">
        <v>0</v>
      </c>
      <c r="J54" s="524">
        <v>0</v>
      </c>
      <c r="K54" s="524">
        <v>0</v>
      </c>
      <c r="L54" s="524">
        <v>0</v>
      </c>
      <c r="M54" s="1365">
        <v>0</v>
      </c>
      <c r="N54" s="1509">
        <v>8.5469273081410861</v>
      </c>
      <c r="O54" s="1443">
        <f t="shared" si="29"/>
        <v>10.118715212182209</v>
      </c>
      <c r="P54" s="1443">
        <f t="shared" si="28"/>
        <v>10.724833819849501</v>
      </c>
      <c r="Q54" s="1464">
        <f t="shared" si="28"/>
        <v>12.075595826705401</v>
      </c>
      <c r="R54" s="1464">
        <v>12.556893334797435</v>
      </c>
      <c r="S54" s="1465">
        <v>28.250977120018931</v>
      </c>
      <c r="T54" s="1445">
        <v>1</v>
      </c>
      <c r="U54" s="1446">
        <v>1</v>
      </c>
      <c r="V54" s="1446">
        <v>1</v>
      </c>
      <c r="W54" s="1446">
        <v>1</v>
      </c>
      <c r="X54" s="1446">
        <v>29.411332000976703</v>
      </c>
      <c r="Y54" s="1447">
        <v>1</v>
      </c>
      <c r="Z54" s="1445">
        <v>0</v>
      </c>
      <c r="AA54" s="1446">
        <v>0</v>
      </c>
      <c r="AB54" s="1446">
        <v>0</v>
      </c>
      <c r="AC54" s="1446">
        <v>0</v>
      </c>
      <c r="AD54" s="1446">
        <v>159.02731858255896</v>
      </c>
      <c r="AE54" s="1447">
        <v>310.71568250346047</v>
      </c>
    </row>
    <row r="55" spans="2:31" ht="15" thickBot="1" x14ac:dyDescent="0.25">
      <c r="B55" s="525">
        <v>2040</v>
      </c>
      <c r="C55" s="1424">
        <v>100224.59501906054</v>
      </c>
      <c r="D55" s="1425">
        <v>5059.7707503429119</v>
      </c>
      <c r="E55" s="1425">
        <v>5123.9743144372333</v>
      </c>
      <c r="F55" s="1425">
        <v>11472.423184880303</v>
      </c>
      <c r="G55" s="1425">
        <v>23053.811604585266</v>
      </c>
      <c r="H55" s="1426">
        <v>26202.280085584134</v>
      </c>
      <c r="I55" s="1361">
        <v>0</v>
      </c>
      <c r="J55" s="526">
        <v>0</v>
      </c>
      <c r="K55" s="526">
        <v>0</v>
      </c>
      <c r="L55" s="526">
        <v>0</v>
      </c>
      <c r="M55" s="1366">
        <v>0</v>
      </c>
      <c r="N55" s="1510">
        <v>8.5484593706521306</v>
      </c>
      <c r="O55" s="1449">
        <f t="shared" si="29"/>
        <v>10.120529022418053</v>
      </c>
      <c r="P55" s="1449">
        <f t="shared" si="28"/>
        <v>10.726756278674783</v>
      </c>
      <c r="Q55" s="1460">
        <f t="shared" si="28"/>
        <v>12.077760413696447</v>
      </c>
      <c r="R55" s="1460">
        <v>12.629822569300575</v>
      </c>
      <c r="S55" s="1461">
        <v>28.352834951169029</v>
      </c>
      <c r="T55" s="1451">
        <v>1</v>
      </c>
      <c r="U55" s="1452">
        <v>1</v>
      </c>
      <c r="V55" s="1452">
        <v>1</v>
      </c>
      <c r="W55" s="1452">
        <v>1</v>
      </c>
      <c r="X55" s="1452">
        <v>29.518742355289458</v>
      </c>
      <c r="Y55" s="1453">
        <v>1</v>
      </c>
      <c r="Z55" s="1451">
        <v>0</v>
      </c>
      <c r="AA55" s="1452">
        <v>0</v>
      </c>
      <c r="AB55" s="1452">
        <v>0</v>
      </c>
      <c r="AC55" s="1452">
        <v>0</v>
      </c>
      <c r="AD55" s="1452">
        <v>159.32333432962849</v>
      </c>
      <c r="AE55" s="1453">
        <v>311.31604736450322</v>
      </c>
    </row>
    <row r="56" spans="2:31" x14ac:dyDescent="0.2">
      <c r="B56" s="532">
        <v>2041</v>
      </c>
      <c r="C56" s="1418">
        <v>100224.59501906054</v>
      </c>
      <c r="D56" s="1419">
        <v>5059.7707503429119</v>
      </c>
      <c r="E56" s="1419">
        <v>5123.9743144372333</v>
      </c>
      <c r="F56" s="1419">
        <v>11472.423184880303</v>
      </c>
      <c r="G56" s="1419">
        <v>23068.479017348815</v>
      </c>
      <c r="H56" s="1420">
        <v>25842.174268490082</v>
      </c>
      <c r="I56" s="1363">
        <v>0</v>
      </c>
      <c r="J56" s="533">
        <v>0</v>
      </c>
      <c r="K56" s="533">
        <v>0</v>
      </c>
      <c r="L56" s="533">
        <v>0</v>
      </c>
      <c r="M56" s="1368">
        <v>0</v>
      </c>
      <c r="N56" s="1508">
        <v>8.5501630690723598</v>
      </c>
      <c r="O56" s="1455">
        <f t="shared" si="29"/>
        <v>10.122546032566872</v>
      </c>
      <c r="P56" s="1455">
        <f t="shared" si="28"/>
        <v>10.728894109239773</v>
      </c>
      <c r="Q56" s="1455">
        <f t="shared" si="28"/>
        <v>12.080167497879049</v>
      </c>
      <c r="R56" s="1455">
        <v>12.703032138457624</v>
      </c>
      <c r="S56" s="1456">
        <v>28.455298688698463</v>
      </c>
      <c r="T56" s="1439">
        <v>1</v>
      </c>
      <c r="U56" s="1440">
        <v>1</v>
      </c>
      <c r="V56" s="1440">
        <v>1</v>
      </c>
      <c r="W56" s="1440">
        <v>1</v>
      </c>
      <c r="X56" s="1440">
        <v>29.626784048071297</v>
      </c>
      <c r="Y56" s="1441">
        <v>1</v>
      </c>
      <c r="Z56" s="1439">
        <v>0</v>
      </c>
      <c r="AA56" s="1440">
        <v>0</v>
      </c>
      <c r="AB56" s="1440">
        <v>0</v>
      </c>
      <c r="AC56" s="1440">
        <v>0</v>
      </c>
      <c r="AD56" s="1440">
        <v>159.61935007669803</v>
      </c>
      <c r="AE56" s="1441">
        <v>311.91641222554597</v>
      </c>
    </row>
    <row r="57" spans="2:31" x14ac:dyDescent="0.2">
      <c r="B57" s="523">
        <v>2042</v>
      </c>
      <c r="C57" s="1421">
        <v>100224.59501906054</v>
      </c>
      <c r="D57" s="1422">
        <v>5059.7707503429119</v>
      </c>
      <c r="E57" s="1422">
        <v>5123.9743144372333</v>
      </c>
      <c r="F57" s="1422">
        <v>11472.423184880303</v>
      </c>
      <c r="G57" s="1422">
        <v>23083.146430112363</v>
      </c>
      <c r="H57" s="1423">
        <v>25482.06845139603</v>
      </c>
      <c r="I57" s="1360">
        <v>0</v>
      </c>
      <c r="J57" s="524">
        <v>0</v>
      </c>
      <c r="K57" s="524">
        <v>0</v>
      </c>
      <c r="L57" s="524">
        <v>0</v>
      </c>
      <c r="M57" s="1365">
        <v>0</v>
      </c>
      <c r="N57" s="1509">
        <v>8.552006775413572</v>
      </c>
      <c r="O57" s="1443">
        <f t="shared" si="29"/>
        <v>10.124728798223934</v>
      </c>
      <c r="P57" s="1443">
        <f t="shared" si="28"/>
        <v>10.731207624191898</v>
      </c>
      <c r="Q57" s="1443">
        <f t="shared" si="28"/>
        <v>12.082772393392599</v>
      </c>
      <c r="R57" s="1443">
        <v>12.77647904810412</v>
      </c>
      <c r="S57" s="1444">
        <v>28.558268545496833</v>
      </c>
      <c r="T57" s="1445">
        <v>1</v>
      </c>
      <c r="U57" s="1446">
        <v>1</v>
      </c>
      <c r="V57" s="1446">
        <v>1</v>
      </c>
      <c r="W57" s="1446">
        <v>1</v>
      </c>
      <c r="X57" s="1446">
        <v>29.73535326090752</v>
      </c>
      <c r="Y57" s="1447">
        <v>1</v>
      </c>
      <c r="Z57" s="1445">
        <v>0</v>
      </c>
      <c r="AA57" s="1446">
        <v>0</v>
      </c>
      <c r="AB57" s="1446">
        <v>0</v>
      </c>
      <c r="AC57" s="1446">
        <v>0</v>
      </c>
      <c r="AD57" s="1446">
        <v>159.91536582376756</v>
      </c>
      <c r="AE57" s="1447">
        <v>312.51677708658872</v>
      </c>
    </row>
    <row r="58" spans="2:31" x14ac:dyDescent="0.2">
      <c r="B58" s="523">
        <v>2043</v>
      </c>
      <c r="C58" s="1421">
        <v>100224.59501906054</v>
      </c>
      <c r="D58" s="1422">
        <v>5059.7707503429119</v>
      </c>
      <c r="E58" s="1422">
        <v>5123.9743144372333</v>
      </c>
      <c r="F58" s="1422">
        <v>11472.423184880303</v>
      </c>
      <c r="G58" s="1422">
        <v>23097.813842875912</v>
      </c>
      <c r="H58" s="1423">
        <v>25121.962634301977</v>
      </c>
      <c r="I58" s="1360">
        <v>0</v>
      </c>
      <c r="J58" s="524">
        <v>0</v>
      </c>
      <c r="K58" s="524">
        <v>0</v>
      </c>
      <c r="L58" s="524">
        <v>0</v>
      </c>
      <c r="M58" s="1365">
        <v>0</v>
      </c>
      <c r="N58" s="1509">
        <v>8.5541625159132924</v>
      </c>
      <c r="O58" s="1443">
        <f t="shared" si="29"/>
        <v>10.127280981412301</v>
      </c>
      <c r="P58" s="1443">
        <f t="shared" si="28"/>
        <v>10.733912685061691</v>
      </c>
      <c r="Q58" s="1443">
        <f t="shared" si="28"/>
        <v>12.085818148907226</v>
      </c>
      <c r="R58" s="1443">
        <v>12.850425196081595</v>
      </c>
      <c r="S58" s="1444">
        <v>28.662325683640393</v>
      </c>
      <c r="T58" s="1445">
        <v>1</v>
      </c>
      <c r="U58" s="1446">
        <v>1</v>
      </c>
      <c r="V58" s="1446">
        <v>1</v>
      </c>
      <c r="W58" s="1446">
        <v>1</v>
      </c>
      <c r="X58" s="1446">
        <v>29.845055203445884</v>
      </c>
      <c r="Y58" s="1447">
        <v>1</v>
      </c>
      <c r="Z58" s="1445">
        <v>0</v>
      </c>
      <c r="AA58" s="1446">
        <v>0</v>
      </c>
      <c r="AB58" s="1446">
        <v>0</v>
      </c>
      <c r="AC58" s="1446">
        <v>0</v>
      </c>
      <c r="AD58" s="1446">
        <v>160.21138157083709</v>
      </c>
      <c r="AE58" s="1447">
        <v>313.11714194763147</v>
      </c>
    </row>
    <row r="59" spans="2:31" x14ac:dyDescent="0.2">
      <c r="B59" s="523">
        <v>2044</v>
      </c>
      <c r="C59" s="1421">
        <v>100224.59501906054</v>
      </c>
      <c r="D59" s="1422">
        <v>5059.7707503429119</v>
      </c>
      <c r="E59" s="1422">
        <v>5123.9743144372333</v>
      </c>
      <c r="F59" s="1422">
        <v>11472.423184880303</v>
      </c>
      <c r="G59" s="1422">
        <v>23112.481255639461</v>
      </c>
      <c r="H59" s="1423">
        <v>24761.856817207925</v>
      </c>
      <c r="I59" s="1360">
        <v>0</v>
      </c>
      <c r="J59" s="524">
        <v>0</v>
      </c>
      <c r="K59" s="524">
        <v>0</v>
      </c>
      <c r="L59" s="524">
        <v>0</v>
      </c>
      <c r="M59" s="1365">
        <v>0</v>
      </c>
      <c r="N59" s="1509">
        <v>8.5564345191960758</v>
      </c>
      <c r="O59" s="1443">
        <f t="shared" si="29"/>
        <v>10.12997080821798</v>
      </c>
      <c r="P59" s="1443">
        <f t="shared" si="28"/>
        <v>10.736763634504399</v>
      </c>
      <c r="Q59" s="1443">
        <f t="shared" si="28"/>
        <v>12.089028167241382</v>
      </c>
      <c r="R59" s="1443">
        <v>12.924582607371574</v>
      </c>
      <c r="S59" s="1444">
        <v>28.766822517152743</v>
      </c>
      <c r="T59" s="1445">
        <v>1</v>
      </c>
      <c r="U59" s="1446">
        <v>1</v>
      </c>
      <c r="V59" s="1446">
        <v>1</v>
      </c>
      <c r="W59" s="1446">
        <v>1</v>
      </c>
      <c r="X59" s="1446">
        <v>29.955215684507468</v>
      </c>
      <c r="Y59" s="1447">
        <v>1</v>
      </c>
      <c r="Z59" s="1445">
        <v>0</v>
      </c>
      <c r="AA59" s="1446">
        <v>0</v>
      </c>
      <c r="AB59" s="1446">
        <v>0</v>
      </c>
      <c r="AC59" s="1446">
        <v>0</v>
      </c>
      <c r="AD59" s="1446">
        <v>160.50739731790662</v>
      </c>
      <c r="AE59" s="1447">
        <v>313.71750680867422</v>
      </c>
    </row>
    <row r="60" spans="2:31" ht="15" thickBot="1" x14ac:dyDescent="0.25">
      <c r="B60" s="525">
        <v>2045</v>
      </c>
      <c r="C60" s="1424">
        <v>100224.59501906054</v>
      </c>
      <c r="D60" s="1425">
        <v>5059.7707503429119</v>
      </c>
      <c r="E60" s="1425">
        <v>5123.9743144372333</v>
      </c>
      <c r="F60" s="1425">
        <v>11472.423184880303</v>
      </c>
      <c r="G60" s="1425">
        <v>23127.14866840301</v>
      </c>
      <c r="H60" s="1426">
        <v>24401.751000113873</v>
      </c>
      <c r="I60" s="1361">
        <v>0</v>
      </c>
      <c r="J60" s="526">
        <v>0</v>
      </c>
      <c r="K60" s="526">
        <v>0</v>
      </c>
      <c r="L60" s="526">
        <v>0</v>
      </c>
      <c r="M60" s="1366">
        <v>0</v>
      </c>
      <c r="N60" s="1510">
        <v>8.5588402101966423</v>
      </c>
      <c r="O60" s="1449">
        <f t="shared" si="29"/>
        <v>10.132818908037438</v>
      </c>
      <c r="P60" s="1449">
        <f t="shared" si="28"/>
        <v>10.739782337632763</v>
      </c>
      <c r="Q60" s="1449">
        <f t="shared" si="28"/>
        <v>12.092427067355944</v>
      </c>
      <c r="R60" s="1449">
        <v>12.998980630356771</v>
      </c>
      <c r="S60" s="1450">
        <v>28.871821775460866</v>
      </c>
      <c r="T60" s="1451">
        <v>1</v>
      </c>
      <c r="U60" s="1452">
        <v>1</v>
      </c>
      <c r="V60" s="1452">
        <v>1</v>
      </c>
      <c r="W60" s="1452">
        <v>1</v>
      </c>
      <c r="X60" s="1452">
        <v>30.065900082605818</v>
      </c>
      <c r="Y60" s="1453">
        <v>1</v>
      </c>
      <c r="Z60" s="1451">
        <v>0</v>
      </c>
      <c r="AA60" s="1452">
        <v>0</v>
      </c>
      <c r="AB60" s="1452">
        <v>0</v>
      </c>
      <c r="AC60" s="1452">
        <v>0</v>
      </c>
      <c r="AD60" s="1452">
        <v>160.80341306497616</v>
      </c>
      <c r="AE60" s="1453">
        <v>314.31787166971696</v>
      </c>
    </row>
    <row r="61" spans="2:31" x14ac:dyDescent="0.2">
      <c r="B61" s="532">
        <v>2046</v>
      </c>
      <c r="C61" s="1418">
        <v>100224.59501906054</v>
      </c>
      <c r="D61" s="1419">
        <v>5059.7707503429119</v>
      </c>
      <c r="E61" s="1419">
        <v>5123.9743144372333</v>
      </c>
      <c r="F61" s="1419">
        <v>11472.423184880303</v>
      </c>
      <c r="G61" s="1419">
        <v>23141.816081166558</v>
      </c>
      <c r="H61" s="1420">
        <v>24041.64518301982</v>
      </c>
      <c r="I61" s="1363">
        <v>0</v>
      </c>
      <c r="J61" s="533">
        <v>0</v>
      </c>
      <c r="K61" s="533">
        <v>0</v>
      </c>
      <c r="L61" s="533">
        <v>0</v>
      </c>
      <c r="M61" s="1368">
        <v>0</v>
      </c>
      <c r="N61" s="1508">
        <v>8.5606020112770658</v>
      </c>
      <c r="O61" s="1437">
        <f t="shared" si="29"/>
        <v>10.134904705979856</v>
      </c>
      <c r="P61" s="1437">
        <f t="shared" si="28"/>
        <v>10.741993076431626</v>
      </c>
      <c r="Q61" s="1437">
        <f t="shared" si="28"/>
        <v>12.094916242355009</v>
      </c>
      <c r="R61" s="1437">
        <v>13.072435183999087</v>
      </c>
      <c r="S61" s="1438">
        <v>28.974696166673027</v>
      </c>
      <c r="T61" s="1439">
        <v>1</v>
      </c>
      <c r="U61" s="1440">
        <v>1</v>
      </c>
      <c r="V61" s="1440">
        <v>1</v>
      </c>
      <c r="W61" s="1440">
        <v>1</v>
      </c>
      <c r="X61" s="1440">
        <v>30.17437238745957</v>
      </c>
      <c r="Y61" s="1441">
        <v>1</v>
      </c>
      <c r="Z61" s="1439">
        <v>0</v>
      </c>
      <c r="AA61" s="1440">
        <v>0</v>
      </c>
      <c r="AB61" s="1440">
        <v>0</v>
      </c>
      <c r="AC61" s="1440">
        <v>0</v>
      </c>
      <c r="AD61" s="1440">
        <v>161.09942881204569</v>
      </c>
      <c r="AE61" s="1441">
        <v>314.91823653075971</v>
      </c>
    </row>
    <row r="62" spans="2:31" x14ac:dyDescent="0.2">
      <c r="B62" s="523">
        <v>2047</v>
      </c>
      <c r="C62" s="1421">
        <v>100224.59501906054</v>
      </c>
      <c r="D62" s="1422">
        <v>5059.7707503429119</v>
      </c>
      <c r="E62" s="1422">
        <v>5123.9743144372333</v>
      </c>
      <c r="F62" s="1422">
        <v>11472.423184880303</v>
      </c>
      <c r="G62" s="1422">
        <v>23156.483493930107</v>
      </c>
      <c r="H62" s="1423">
        <v>23681.539365925768</v>
      </c>
      <c r="I62" s="1360">
        <v>0</v>
      </c>
      <c r="J62" s="524">
        <v>0</v>
      </c>
      <c r="K62" s="524">
        <v>0</v>
      </c>
      <c r="L62" s="524">
        <v>0</v>
      </c>
      <c r="M62" s="1365">
        <v>0</v>
      </c>
      <c r="N62" s="1509">
        <v>8.5625313997551658</v>
      </c>
      <c r="O62" s="1443">
        <f t="shared" si="29"/>
        <v>10.137188910798701</v>
      </c>
      <c r="P62" s="1443">
        <f t="shared" si="28"/>
        <v>10.744414106827175</v>
      </c>
      <c r="Q62" s="1443">
        <f t="shared" si="28"/>
        <v>12.097642194573186</v>
      </c>
      <c r="R62" s="1443">
        <v>13.146176169978935</v>
      </c>
      <c r="S62" s="1444">
        <v>29.078179578785281</v>
      </c>
      <c r="T62" s="1445">
        <v>1</v>
      </c>
      <c r="U62" s="1446">
        <v>1</v>
      </c>
      <c r="V62" s="1446">
        <v>1</v>
      </c>
      <c r="W62" s="1446">
        <v>1</v>
      </c>
      <c r="X62" s="1446">
        <v>30.283479506527545</v>
      </c>
      <c r="Y62" s="1447">
        <v>1</v>
      </c>
      <c r="Z62" s="1445">
        <v>0</v>
      </c>
      <c r="AA62" s="1446">
        <v>0</v>
      </c>
      <c r="AB62" s="1446">
        <v>0</v>
      </c>
      <c r="AC62" s="1446">
        <v>0</v>
      </c>
      <c r="AD62" s="1446">
        <v>161.39544455911522</v>
      </c>
      <c r="AE62" s="1447">
        <v>315.51860139180246</v>
      </c>
    </row>
    <row r="63" spans="2:31" x14ac:dyDescent="0.2">
      <c r="B63" s="523">
        <v>2048</v>
      </c>
      <c r="C63" s="1421">
        <v>100224.59501906054</v>
      </c>
      <c r="D63" s="1422">
        <v>5059.7707503429119</v>
      </c>
      <c r="E63" s="1422">
        <v>5123.9743144372333</v>
      </c>
      <c r="F63" s="1422">
        <v>11472.423184880303</v>
      </c>
      <c r="G63" s="1422">
        <v>23171.150906693656</v>
      </c>
      <c r="H63" s="1423">
        <v>23321.433548831716</v>
      </c>
      <c r="I63" s="1360">
        <v>0</v>
      </c>
      <c r="J63" s="524">
        <v>0</v>
      </c>
      <c r="K63" s="524">
        <v>0</v>
      </c>
      <c r="L63" s="524">
        <v>0</v>
      </c>
      <c r="M63" s="1365">
        <v>0</v>
      </c>
      <c r="N63" s="1509">
        <v>8.562689035627594</v>
      </c>
      <c r="O63" s="1443">
        <f t="shared" si="29"/>
        <v>10.137375536055101</v>
      </c>
      <c r="P63" s="1443">
        <f t="shared" si="28"/>
        <v>10.744611911075987</v>
      </c>
      <c r="Q63" s="1443">
        <f t="shared" si="28"/>
        <v>12.097864911698839</v>
      </c>
      <c r="R63" s="1443">
        <v>13.217214214445622</v>
      </c>
      <c r="S63" s="1444">
        <v>29.175669786952263</v>
      </c>
      <c r="T63" s="1445">
        <v>1</v>
      </c>
      <c r="U63" s="1446">
        <v>1</v>
      </c>
      <c r="V63" s="1446">
        <v>1</v>
      </c>
      <c r="W63" s="1446">
        <v>1</v>
      </c>
      <c r="X63" s="1446">
        <v>30.386345326703662</v>
      </c>
      <c r="Y63" s="1447">
        <v>1</v>
      </c>
      <c r="Z63" s="1445">
        <v>0</v>
      </c>
      <c r="AA63" s="1446">
        <v>0</v>
      </c>
      <c r="AB63" s="1446">
        <v>0</v>
      </c>
      <c r="AC63" s="1446">
        <v>0</v>
      </c>
      <c r="AD63" s="1446">
        <v>161.69146030618475</v>
      </c>
      <c r="AE63" s="1447">
        <v>316.11896625284521</v>
      </c>
    </row>
    <row r="64" spans="2:31" x14ac:dyDescent="0.2">
      <c r="B64" s="523">
        <v>2049</v>
      </c>
      <c r="C64" s="1421">
        <v>100224.59501906054</v>
      </c>
      <c r="D64" s="1422">
        <v>5059.7707503429119</v>
      </c>
      <c r="E64" s="1422">
        <v>5123.9743144372333</v>
      </c>
      <c r="F64" s="1422">
        <v>11472.423184880303</v>
      </c>
      <c r="G64" s="1422">
        <v>23185.818319457205</v>
      </c>
      <c r="H64" s="1423">
        <v>22961.327731737663</v>
      </c>
      <c r="I64" s="1360">
        <v>0</v>
      </c>
      <c r="J64" s="524">
        <v>0</v>
      </c>
      <c r="K64" s="524">
        <v>0</v>
      </c>
      <c r="L64" s="524">
        <v>0</v>
      </c>
      <c r="M64" s="1365">
        <v>0</v>
      </c>
      <c r="N64" s="1509">
        <v>8.5628466715000222</v>
      </c>
      <c r="O64" s="1443">
        <f t="shared" si="29"/>
        <v>10.137562161311502</v>
      </c>
      <c r="P64" s="1443">
        <f t="shared" si="28"/>
        <v>10.7448097153248</v>
      </c>
      <c r="Q64" s="1443">
        <f t="shared" si="28"/>
        <v>12.098087628824493</v>
      </c>
      <c r="R64" s="1443">
        <v>13.288254865568454</v>
      </c>
      <c r="S64" s="1444">
        <v>29.273163564924715</v>
      </c>
      <c r="T64" s="1445">
        <v>1</v>
      </c>
      <c r="U64" s="1446">
        <v>1</v>
      </c>
      <c r="V64" s="1446">
        <v>1</v>
      </c>
      <c r="W64" s="1446">
        <v>1</v>
      </c>
      <c r="X64" s="1446">
        <v>30.489214913794232</v>
      </c>
      <c r="Y64" s="1447">
        <v>1</v>
      </c>
      <c r="Z64" s="1445">
        <v>0</v>
      </c>
      <c r="AA64" s="1446">
        <v>0</v>
      </c>
      <c r="AB64" s="1446">
        <v>0</v>
      </c>
      <c r="AC64" s="1446">
        <v>0</v>
      </c>
      <c r="AD64" s="1446">
        <v>161.98747605325428</v>
      </c>
      <c r="AE64" s="1447">
        <v>316.71933111388796</v>
      </c>
    </row>
    <row r="65" spans="2:31" ht="15" thickBot="1" x14ac:dyDescent="0.25">
      <c r="B65" s="525">
        <v>2050</v>
      </c>
      <c r="C65" s="1424">
        <v>100224.59501906054</v>
      </c>
      <c r="D65" s="1425">
        <v>5059.7707503429119</v>
      </c>
      <c r="E65" s="1425">
        <v>5123.9743144372333</v>
      </c>
      <c r="F65" s="1425">
        <v>11472.423184880303</v>
      </c>
      <c r="G65" s="1425">
        <v>23200.485732220724</v>
      </c>
      <c r="H65" s="1426">
        <v>22601.221914643567</v>
      </c>
      <c r="I65" s="1361">
        <v>0</v>
      </c>
      <c r="J65" s="526">
        <v>0</v>
      </c>
      <c r="K65" s="526">
        <v>0</v>
      </c>
      <c r="L65" s="526">
        <v>0</v>
      </c>
      <c r="M65" s="1366">
        <v>0</v>
      </c>
      <c r="N65" s="1510">
        <v>8.5630043073724504</v>
      </c>
      <c r="O65" s="1449">
        <f t="shared" si="29"/>
        <v>10.137748786567903</v>
      </c>
      <c r="P65" s="1449">
        <f t="shared" si="28"/>
        <v>10.745007519573612</v>
      </c>
      <c r="Q65" s="1460">
        <f t="shared" si="28"/>
        <v>12.098310345950145</v>
      </c>
      <c r="R65" s="1460">
        <v>13.359298123347438</v>
      </c>
      <c r="S65" s="1461">
        <v>29.37066091270264</v>
      </c>
      <c r="T65" s="1451">
        <v>1</v>
      </c>
      <c r="U65" s="1452">
        <v>1</v>
      </c>
      <c r="V65" s="1452">
        <v>1</v>
      </c>
      <c r="W65" s="1452">
        <v>1</v>
      </c>
      <c r="X65" s="1452">
        <v>30.592088267799273</v>
      </c>
      <c r="Y65" s="1453">
        <v>1</v>
      </c>
      <c r="Z65" s="1451">
        <v>0</v>
      </c>
      <c r="AA65" s="1452">
        <v>0</v>
      </c>
      <c r="AB65" s="1452">
        <v>0</v>
      </c>
      <c r="AC65" s="1452">
        <v>0</v>
      </c>
      <c r="AD65" s="1452">
        <v>162.28349180032379</v>
      </c>
      <c r="AE65" s="1453">
        <v>317.31969597493031</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disablePrompts="1" count="2">
    <dataValidation type="list" allowBlank="1" showInputMessage="1" showErrorMessage="1" sqref="F8:F13" xr:uid="{00000000-0002-0000-0400-000000000000}">
      <formula1>Fuels</formula1>
    </dataValidation>
    <dataValidation type="list" allowBlank="1" showInputMessage="1" showErrorMessage="1" sqref="G8:G13" xr:uid="{00000000-0002-0000-0400-000001000000}">
      <formula1>Fuels2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B11" activePane="bottomRight" state="frozen"/>
      <selection activeCell="B5" sqref="B5:H5"/>
      <selection pane="topRight" activeCell="B5" sqref="B5:H5"/>
      <selection pane="bottomLeft" activeCell="B5" sqref="B5:H5"/>
      <selection pane="bottomRight" activeCell="P77" sqref="P77"/>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403</v>
      </c>
      <c r="P1" s="3" t="s">
        <v>369</v>
      </c>
    </row>
    <row r="2" spans="1:52" x14ac:dyDescent="0.2">
      <c r="A2" s="492" t="s">
        <v>422</v>
      </c>
      <c r="B2" s="493"/>
      <c r="C2" s="493"/>
      <c r="D2" s="493"/>
      <c r="E2" s="1371" t="s">
        <v>423</v>
      </c>
      <c r="F2" s="53"/>
      <c r="G2" s="56" t="s">
        <v>424</v>
      </c>
      <c r="H2" s="56"/>
      <c r="I2" s="56"/>
      <c r="J2" s="56"/>
      <c r="K2" s="226"/>
      <c r="L2" s="57" t="s">
        <v>208</v>
      </c>
      <c r="M2" s="2">
        <v>134200</v>
      </c>
      <c r="N2" s="3" t="s">
        <v>209</v>
      </c>
      <c r="P2" s="3">
        <f>107.932/104.757</f>
        <v>1.0303082371583761</v>
      </c>
      <c r="Q2" s="3" t="s">
        <v>428</v>
      </c>
      <c r="X2" s="10"/>
      <c r="Y2" s="10"/>
      <c r="Z2" s="10"/>
      <c r="AA2" s="10"/>
    </row>
    <row r="3" spans="1:52" x14ac:dyDescent="0.2">
      <c r="A3" s="494" t="s">
        <v>203</v>
      </c>
      <c r="B3" s="493"/>
      <c r="C3" s="495"/>
      <c r="D3" s="493"/>
      <c r="E3" s="226" t="s">
        <v>439</v>
      </c>
      <c r="F3" s="53"/>
      <c r="L3" s="57" t="s">
        <v>317</v>
      </c>
      <c r="M3" s="2">
        <v>138700</v>
      </c>
      <c r="N3" s="3" t="s">
        <v>318</v>
      </c>
      <c r="W3" s="766"/>
      <c r="X3" s="10"/>
      <c r="Y3" s="1379"/>
      <c r="Z3" s="10"/>
      <c r="AA3" s="10"/>
    </row>
    <row r="4" spans="1:52" x14ac:dyDescent="0.2">
      <c r="A4" s="654" t="s">
        <v>330</v>
      </c>
      <c r="B4" s="655"/>
      <c r="C4" s="656"/>
      <c r="D4" s="655"/>
      <c r="E4" s="226" t="s">
        <v>357</v>
      </c>
      <c r="F4" s="53"/>
      <c r="L4" s="57" t="s">
        <v>435</v>
      </c>
      <c r="M4" s="2">
        <v>120726</v>
      </c>
      <c r="N4" s="3" t="s">
        <v>318</v>
      </c>
      <c r="O4" s="3" t="s">
        <v>436</v>
      </c>
      <c r="W4" s="766"/>
    </row>
    <row r="5" spans="1:52" ht="16" x14ac:dyDescent="0.2">
      <c r="A5" s="58"/>
      <c r="B5" s="48"/>
      <c r="C5" s="59"/>
      <c r="D5" s="48"/>
      <c r="E5" s="53"/>
      <c r="F5" s="53"/>
      <c r="G5" s="1262"/>
      <c r="L5" s="612"/>
      <c r="X5" s="1378" t="s">
        <v>327</v>
      </c>
    </row>
    <row r="6" spans="1:52" ht="17" thickBot="1" x14ac:dyDescent="0.25">
      <c r="D6" s="48"/>
      <c r="E6" s="48"/>
      <c r="F6" s="3"/>
      <c r="G6" s="1262"/>
      <c r="H6" s="3"/>
      <c r="I6" s="3"/>
      <c r="J6" s="3"/>
      <c r="K6" s="3"/>
      <c r="U6" s="496" t="s">
        <v>451</v>
      </c>
      <c r="X6" s="1375">
        <f>2.24/2.86</f>
        <v>0.78321678321678334</v>
      </c>
      <c r="Y6" s="1375">
        <f>2.34/2.2</f>
        <v>1.0636363636363635</v>
      </c>
      <c r="Z6" s="1375">
        <f>AVERAGE(2.54/2.77,2.54/2.64,2.65/2.56,2.43/2.57,3.11/3.42)</f>
        <v>0.95382539762429508</v>
      </c>
      <c r="AA6" s="1380">
        <v>1</v>
      </c>
      <c r="AB6" s="1375">
        <f>AVERAGE(3.14/3.15,3.13/3.14,2.68/2.93,2.65/2.91)</f>
        <v>0.95474234308247208</v>
      </c>
      <c r="AC6" s="1380">
        <v>1</v>
      </c>
      <c r="AD6" s="1375">
        <f>1.93/2.23</f>
        <v>0.86547085201793716</v>
      </c>
      <c r="AE6" s="1380">
        <v>1</v>
      </c>
      <c r="AF6" s="7"/>
      <c r="AG6" s="53"/>
      <c r="AH6" s="612"/>
      <c r="AU6" s="3" t="s">
        <v>429</v>
      </c>
    </row>
    <row r="7" spans="1:52" ht="16.5" customHeight="1" thickBot="1" x14ac:dyDescent="0.25">
      <c r="A7" s="1543" t="s">
        <v>282</v>
      </c>
      <c r="B7" s="1544"/>
      <c r="C7" s="1544"/>
      <c r="D7" s="1544"/>
      <c r="E7" s="1544"/>
      <c r="F7" s="1544"/>
      <c r="G7" s="1544"/>
      <c r="H7" s="1544"/>
      <c r="I7" s="1544"/>
      <c r="J7" s="1544"/>
      <c r="K7" s="1544"/>
      <c r="L7" s="1544"/>
      <c r="M7" s="1544"/>
      <c r="N7" s="1544"/>
      <c r="O7" s="1544"/>
      <c r="P7" s="1544"/>
      <c r="Q7" s="1544"/>
      <c r="R7" s="1544"/>
      <c r="S7" s="1544"/>
      <c r="T7" s="1544"/>
      <c r="U7" s="1381" t="b">
        <v>1</v>
      </c>
      <c r="W7" s="1543" t="s">
        <v>281</v>
      </c>
      <c r="X7" s="1544"/>
      <c r="Y7" s="1544"/>
      <c r="Z7" s="1544"/>
      <c r="AA7" s="1544"/>
      <c r="AB7" s="1544"/>
      <c r="AC7" s="1544"/>
      <c r="AD7" s="1544"/>
      <c r="AE7" s="1544"/>
      <c r="AF7" s="1544"/>
      <c r="AG7" s="1544"/>
      <c r="AH7" s="1544"/>
      <c r="AI7" s="1544"/>
      <c r="AJ7" s="1544"/>
      <c r="AK7" s="1544"/>
      <c r="AL7" s="1544"/>
      <c r="AM7" s="1544"/>
      <c r="AN7" s="1544"/>
      <c r="AO7" s="1544"/>
      <c r="AP7" s="1545"/>
      <c r="AQ7" s="970"/>
      <c r="AU7" s="3" t="s">
        <v>431</v>
      </c>
    </row>
    <row r="8" spans="1:52" ht="12.75" customHeight="1" x14ac:dyDescent="0.2">
      <c r="A8" s="557"/>
      <c r="B8" s="1546" t="s">
        <v>425</v>
      </c>
      <c r="C8" s="1546"/>
      <c r="D8" s="1546"/>
      <c r="E8" s="1546"/>
      <c r="F8" s="1546"/>
      <c r="G8" s="1546"/>
      <c r="H8" s="1546"/>
      <c r="I8" s="1546"/>
      <c r="J8" s="953"/>
      <c r="K8" s="953"/>
      <c r="L8" s="1547" t="s">
        <v>426</v>
      </c>
      <c r="M8" s="1547"/>
      <c r="N8" s="1547"/>
      <c r="O8" s="1547"/>
      <c r="P8" s="1547"/>
      <c r="Q8" s="1547"/>
      <c r="R8" s="1547"/>
      <c r="S8" s="1547"/>
      <c r="T8" s="558"/>
      <c r="U8" s="496"/>
      <c r="W8" s="960"/>
      <c r="X8" s="1547" t="s">
        <v>427</v>
      </c>
      <c r="Y8" s="1547"/>
      <c r="Z8" s="1547"/>
      <c r="AA8" s="1547"/>
      <c r="AB8" s="1547"/>
      <c r="AC8" s="1547"/>
      <c r="AD8" s="1547"/>
      <c r="AE8" s="1547"/>
      <c r="AF8" s="1369"/>
      <c r="AG8" s="1369"/>
      <c r="AH8" s="1547" t="s">
        <v>426</v>
      </c>
      <c r="AI8" s="1547"/>
      <c r="AJ8" s="1547"/>
      <c r="AK8" s="1547"/>
      <c r="AL8" s="1547"/>
      <c r="AM8" s="1547"/>
      <c r="AN8" s="1547"/>
      <c r="AO8" s="1547"/>
      <c r="AP8" s="961"/>
      <c r="AQ8" s="971"/>
      <c r="AU8" s="3" t="s">
        <v>432</v>
      </c>
      <c r="AW8" s="3" t="s">
        <v>433</v>
      </c>
      <c r="AY8" s="3" t="s">
        <v>434</v>
      </c>
    </row>
    <row r="9" spans="1:52" ht="12.75" hidden="1" customHeight="1" x14ac:dyDescent="0.2">
      <c r="A9" s="559"/>
      <c r="B9" s="1548"/>
      <c r="C9" s="1548"/>
      <c r="D9" s="1548"/>
      <c r="E9" s="1548"/>
      <c r="F9" s="1548"/>
      <c r="G9" s="1548"/>
      <c r="H9" s="1548"/>
      <c r="I9" s="1548"/>
      <c r="J9" s="954"/>
      <c r="K9" s="954"/>
      <c r="L9" s="1549"/>
      <c r="M9" s="1549"/>
      <c r="N9" s="1549"/>
      <c r="O9" s="1549"/>
      <c r="P9" s="1549"/>
      <c r="Q9" s="1549"/>
      <c r="R9" s="1549"/>
      <c r="S9" s="1549"/>
      <c r="T9" s="560"/>
      <c r="U9" s="496"/>
      <c r="W9" s="559"/>
      <c r="X9" s="1548"/>
      <c r="Y9" s="1548"/>
      <c r="Z9" s="1548"/>
      <c r="AA9" s="1548"/>
      <c r="AB9" s="1548"/>
      <c r="AC9" s="1548"/>
      <c r="AD9" s="1548"/>
      <c r="AE9" s="1548"/>
      <c r="AF9" s="1370"/>
      <c r="AG9" s="1370"/>
      <c r="AH9" s="1549"/>
      <c r="AI9" s="1549"/>
      <c r="AJ9" s="1549"/>
      <c r="AK9" s="1549"/>
      <c r="AL9" s="1549"/>
      <c r="AM9" s="1549"/>
      <c r="AN9" s="1549"/>
      <c r="AO9" s="1549"/>
      <c r="AP9" s="560"/>
      <c r="AQ9" s="971"/>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522" t="s">
        <v>421</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1"/>
      <c r="AT10" s="1373" t="s">
        <v>430</v>
      </c>
      <c r="AU10" s="3" t="s">
        <v>0</v>
      </c>
      <c r="AV10" s="3" t="s">
        <v>5</v>
      </c>
      <c r="AW10" s="3" t="s">
        <v>0</v>
      </c>
      <c r="AX10" s="3" t="s">
        <v>5</v>
      </c>
      <c r="AY10" s="3" t="s">
        <v>0</v>
      </c>
      <c r="AZ10" s="3" t="s">
        <v>5</v>
      </c>
    </row>
    <row r="11" spans="1:52" ht="15" thickBot="1" x14ac:dyDescent="0.25">
      <c r="A11" s="962">
        <v>2007</v>
      </c>
      <c r="B11" s="1374">
        <v>23.831382999999999</v>
      </c>
      <c r="C11" s="1374">
        <v>27.431152000000001</v>
      </c>
      <c r="D11" s="963">
        <f>AY11</f>
        <v>19.139039844907355</v>
      </c>
      <c r="E11" s="1374">
        <v>15.767529</v>
      </c>
      <c r="F11" s="963">
        <f>AZ11</f>
        <v>16.870047225373874</v>
      </c>
      <c r="G11" s="1374">
        <v>9.1869709999999998</v>
      </c>
      <c r="H11" s="1374">
        <v>13.840966</v>
      </c>
      <c r="I11" s="1374">
        <v>32.004199999999997</v>
      </c>
      <c r="J11" s="1311">
        <f t="shared" ref="J11:J18" si="0">K62/$M$2*10^6</f>
        <v>74.515648286140092</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10.335320417287631</v>
      </c>
      <c r="U11" s="1376">
        <v>2</v>
      </c>
      <c r="W11" s="556">
        <v>2007</v>
      </c>
      <c r="X11" s="568">
        <f t="shared" ref="X11:X58" si="11">$X$6*B11</f>
        <v>18.665139132867136</v>
      </c>
      <c r="Y11" s="568">
        <f t="shared" ref="Y11:Y58" si="12">$Y$6*C11</f>
        <v>29.176770763636359</v>
      </c>
      <c r="Z11" s="568">
        <f t="shared" ref="Z11:Z58" si="13">$Z$6*D11</f>
        <v>18.255302290215983</v>
      </c>
      <c r="AA11" s="568">
        <f>$AA$6*E11</f>
        <v>15.767529</v>
      </c>
      <c r="AB11" s="568">
        <f t="shared" ref="AB11:AB58" si="14">$AB$6*F11</f>
        <v>16.106548415865408</v>
      </c>
      <c r="AC11" s="568">
        <f>$AC$6*G11</f>
        <v>9.1869709999999998</v>
      </c>
      <c r="AD11" s="568">
        <f t="shared" ref="AD11:AD54" si="15">$AD$6*H11</f>
        <v>11.9789526367713</v>
      </c>
      <c r="AE11" s="568">
        <f>$AE$6*I11</f>
        <v>32.004199999999997</v>
      </c>
      <c r="AF11" s="652">
        <f t="shared" ref="AF11:AF18" si="16">AG62/$M$2*10^6</f>
        <v>74.515648286140092</v>
      </c>
      <c r="AG11" s="546">
        <f t="shared" ref="AG11:AG15" si="17">W11</f>
        <v>2007</v>
      </c>
      <c r="AH11" s="547">
        <f t="shared" ref="AH11:AH54" si="18">X11*HVDiesel/10^6</f>
        <v>2.5888547977286716</v>
      </c>
      <c r="AI11" s="547">
        <f t="shared" ref="AI11:AI54" si="19">Y11*HVDiesel/10^6</f>
        <v>4.0468181049163627</v>
      </c>
      <c r="AJ11" s="547">
        <f t="shared" ref="AJ11:AJ54" si="20">Z11*HVDiesel/10^6</f>
        <v>2.5320104276529567</v>
      </c>
      <c r="AK11" s="547">
        <f t="shared" ref="AK11:AK54" si="21">AA11*HVDiesel/10^6</f>
        <v>2.1869562722999998</v>
      </c>
      <c r="AL11" s="547">
        <f t="shared" ref="AL11:AL54" si="22">AB11*HVDiesel/10^6</f>
        <v>2.2339782652805322</v>
      </c>
      <c r="AM11" s="547">
        <f t="shared" ref="AM11:AM54" si="23">AC11*HVDiesel/10^6</f>
        <v>1.2742328777</v>
      </c>
      <c r="AN11" s="547">
        <f t="shared" ref="AN11:AN54" si="24">AD11*HVDiesel/10^6</f>
        <v>1.6614807307201793</v>
      </c>
      <c r="AO11" s="547">
        <f t="shared" ref="AO11:AO54" si="25">IF($U$7,U11,1)*AE11*HVDiesel/10^6</f>
        <v>8.877965080000001</v>
      </c>
      <c r="AP11" s="548">
        <f t="shared" ref="AP11:AP54" si="26">AF11*HVDiesel/10^6</f>
        <v>10.335320417287631</v>
      </c>
      <c r="AQ11" s="10"/>
      <c r="AR11" s="1" t="s">
        <v>210</v>
      </c>
      <c r="AT11" s="3">
        <v>5.3440000000000003</v>
      </c>
      <c r="AU11" s="3">
        <v>2.8488790800000006</v>
      </c>
      <c r="AV11" s="3">
        <v>2.8849999999999998</v>
      </c>
      <c r="AW11" s="3">
        <f t="shared" ref="AW11:AW23" si="27">AU11*(HVDiesel/HVGasoline)*$AT11/$AT$23</f>
        <v>2.6545848264886494</v>
      </c>
      <c r="AX11" s="3">
        <f>AV11*$AT11/$AT$23</f>
        <v>2.3398755501593564</v>
      </c>
      <c r="AY11" s="3">
        <f t="shared" ref="AY11:AY23" si="28">(AU11/HVGasoline)*($AT11/$AT$23)*10^6</f>
        <v>19.139039844907355</v>
      </c>
      <c r="AZ11" s="3">
        <f t="shared" ref="AZ11:AZ23" si="29">(AV11/HVDiesel)*($AT11/$AT$23)*10^6</f>
        <v>16.870047225373874</v>
      </c>
    </row>
    <row r="12" spans="1:52" ht="15" thickTop="1" x14ac:dyDescent="0.2">
      <c r="A12" s="487">
        <v>2008</v>
      </c>
      <c r="B12" s="1351">
        <v>28.925077000000002</v>
      </c>
      <c r="C12" s="1351">
        <v>33.544201000000001</v>
      </c>
      <c r="D12" s="569">
        <f t="shared" ref="D12:D22" si="30">AY12</f>
        <v>23.14446391167051</v>
      </c>
      <c r="E12" s="1351">
        <v>24.678422999999999</v>
      </c>
      <c r="F12" s="569">
        <f t="shared" ref="F12:F22" si="31">AZ12</f>
        <v>23.0911244330991</v>
      </c>
      <c r="G12" s="1351">
        <v>15.781518</v>
      </c>
      <c r="H12" s="1351">
        <v>20.719681000000001</v>
      </c>
      <c r="I12" s="1351">
        <v>41.567065999999997</v>
      </c>
      <c r="J12" s="1312">
        <f t="shared" si="0"/>
        <v>74.515648286140092</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10.335320417287631</v>
      </c>
      <c r="U12" s="1376">
        <v>2</v>
      </c>
      <c r="W12" s="487">
        <v>2008</v>
      </c>
      <c r="X12" s="569">
        <f t="shared" si="11"/>
        <v>22.654605762237768</v>
      </c>
      <c r="Y12" s="569">
        <f t="shared" si="12"/>
        <v>35.678831972727266</v>
      </c>
      <c r="Z12" s="569">
        <f t="shared" si="13"/>
        <v>22.075777493350273</v>
      </c>
      <c r="AA12" s="569">
        <f t="shared" ref="AA12:AA54" si="32">$AA$6*E12</f>
        <v>24.678422999999999</v>
      </c>
      <c r="AB12" s="569">
        <f t="shared" si="14"/>
        <v>22.046074245665956</v>
      </c>
      <c r="AC12" s="569">
        <f t="shared" ref="AC12:AC54" si="33">$AC$6*G12</f>
        <v>15.781518</v>
      </c>
      <c r="AD12" s="569">
        <f t="shared" si="15"/>
        <v>17.932279968609866</v>
      </c>
      <c r="AE12" s="569">
        <f t="shared" ref="AE12:AE54" si="34">$AE$6*I12</f>
        <v>41.567065999999997</v>
      </c>
      <c r="AF12" s="652">
        <f t="shared" si="16"/>
        <v>74.515648286140092</v>
      </c>
      <c r="AG12" s="549">
        <f t="shared" si="17"/>
        <v>2008</v>
      </c>
      <c r="AH12" s="544">
        <f t="shared" si="18"/>
        <v>3.1421938192223786</v>
      </c>
      <c r="AI12" s="544">
        <f t="shared" si="19"/>
        <v>4.9486539946172723</v>
      </c>
      <c r="AJ12" s="544">
        <f t="shared" si="20"/>
        <v>3.0619103383276829</v>
      </c>
      <c r="AK12" s="544">
        <f t="shared" si="21"/>
        <v>3.4228972701</v>
      </c>
      <c r="AL12" s="544">
        <f t="shared" si="22"/>
        <v>3.0577904978738677</v>
      </c>
      <c r="AM12" s="544">
        <f t="shared" si="23"/>
        <v>2.1888965466000001</v>
      </c>
      <c r="AN12" s="544">
        <f t="shared" si="24"/>
        <v>2.4872072316461886</v>
      </c>
      <c r="AO12" s="544">
        <f t="shared" si="25"/>
        <v>11.530704108399998</v>
      </c>
      <c r="AP12" s="550">
        <f t="shared" si="26"/>
        <v>10.335320417287631</v>
      </c>
      <c r="AQ12" s="10"/>
      <c r="AR12" s="967" t="str">
        <f t="array" ref="AR12:AR20">TRANSPOSE(AH10:AP10)</f>
        <v>LPG</v>
      </c>
      <c r="AT12" s="3">
        <v>5.5490000000000004</v>
      </c>
      <c r="AU12" s="3">
        <v>3.31781923</v>
      </c>
      <c r="AV12" s="3">
        <v>3.8029999999999999</v>
      </c>
      <c r="AW12" s="3">
        <f t="shared" si="27"/>
        <v>3.2101371445486993</v>
      </c>
      <c r="AX12" s="3">
        <f t="shared" ref="AX12:AX23" si="35">AV12*$AT12/$AT$23</f>
        <v>3.202738958870845</v>
      </c>
      <c r="AY12" s="3">
        <f t="shared" si="28"/>
        <v>23.14446391167051</v>
      </c>
      <c r="AZ12" s="3">
        <f t="shared" si="29"/>
        <v>23.0911244330991</v>
      </c>
    </row>
    <row r="13" spans="1:52" x14ac:dyDescent="0.2">
      <c r="A13" s="487">
        <v>2009</v>
      </c>
      <c r="B13" s="1351">
        <v>27.142980999999999</v>
      </c>
      <c r="C13" s="1351">
        <v>22.027393</v>
      </c>
      <c r="D13" s="569">
        <f t="shared" si="30"/>
        <v>16.686242881839721</v>
      </c>
      <c r="E13" s="1351">
        <v>13.673363</v>
      </c>
      <c r="F13" s="569">
        <f t="shared" si="31"/>
        <v>14.925186643575737</v>
      </c>
      <c r="G13" s="1351">
        <v>11.342912999999999</v>
      </c>
      <c r="H13" s="1351">
        <v>16.473005000000001</v>
      </c>
      <c r="I13" s="1351">
        <v>62.290424000000002</v>
      </c>
      <c r="J13" s="1312">
        <f t="shared" si="0"/>
        <v>74.515648286140092</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10.335320417287631</v>
      </c>
      <c r="U13" s="1376">
        <v>2</v>
      </c>
      <c r="W13" s="487">
        <v>2009</v>
      </c>
      <c r="X13" s="569">
        <f t="shared" si="11"/>
        <v>21.258838265734269</v>
      </c>
      <c r="Y13" s="569">
        <f t="shared" si="12"/>
        <v>23.429136190909087</v>
      </c>
      <c r="Z13" s="569">
        <f t="shared" si="13"/>
        <v>15.915762251626335</v>
      </c>
      <c r="AA13" s="569">
        <f t="shared" si="32"/>
        <v>13.673363</v>
      </c>
      <c r="AB13" s="569">
        <f t="shared" si="14"/>
        <v>14.249707667030716</v>
      </c>
      <c r="AC13" s="569">
        <f t="shared" si="33"/>
        <v>11.342912999999999</v>
      </c>
      <c r="AD13" s="569">
        <f t="shared" si="15"/>
        <v>14.25690567264574</v>
      </c>
      <c r="AE13" s="569">
        <f t="shared" si="34"/>
        <v>62.290424000000002</v>
      </c>
      <c r="AF13" s="652">
        <f t="shared" si="16"/>
        <v>74.515648286140092</v>
      </c>
      <c r="AG13" s="549">
        <f t="shared" si="17"/>
        <v>2009</v>
      </c>
      <c r="AH13" s="544">
        <f t="shared" si="18"/>
        <v>2.9486008674573432</v>
      </c>
      <c r="AI13" s="544">
        <f t="shared" si="19"/>
        <v>3.2496211896790905</v>
      </c>
      <c r="AJ13" s="544">
        <f t="shared" si="20"/>
        <v>2.2075162243005728</v>
      </c>
      <c r="AK13" s="544">
        <f t="shared" si="21"/>
        <v>1.8964954480999998</v>
      </c>
      <c r="AL13" s="544">
        <f t="shared" si="22"/>
        <v>1.9764344534171603</v>
      </c>
      <c r="AM13" s="544">
        <f t="shared" si="23"/>
        <v>1.5732620330999998</v>
      </c>
      <c r="AN13" s="544">
        <f t="shared" si="24"/>
        <v>1.9774328167959641</v>
      </c>
      <c r="AO13" s="544">
        <f t="shared" si="25"/>
        <v>17.279363617600001</v>
      </c>
      <c r="AP13" s="550">
        <f t="shared" si="26"/>
        <v>10.335320417287631</v>
      </c>
      <c r="AQ13" s="10"/>
      <c r="AR13" s="968" t="str">
        <v>E85</v>
      </c>
      <c r="AT13" s="3">
        <v>5.5289999999999999</v>
      </c>
      <c r="AU13" s="3">
        <v>2.40066903</v>
      </c>
      <c r="AV13" s="3">
        <v>2.4670000000000001</v>
      </c>
      <c r="AW13" s="3">
        <f t="shared" si="27"/>
        <v>2.314381887711169</v>
      </c>
      <c r="AX13" s="3">
        <f t="shared" si="35"/>
        <v>2.0701233874639549</v>
      </c>
      <c r="AY13" s="3">
        <f t="shared" si="28"/>
        <v>16.686242881839721</v>
      </c>
      <c r="AZ13" s="3">
        <f t="shared" si="29"/>
        <v>14.925186643575737</v>
      </c>
    </row>
    <row r="14" spans="1:52" x14ac:dyDescent="0.2">
      <c r="A14" s="488">
        <v>2010</v>
      </c>
      <c r="B14" s="1351">
        <v>26.497553</v>
      </c>
      <c r="C14" s="1351">
        <v>26.790133000000001</v>
      </c>
      <c r="D14" s="569">
        <f t="shared" si="30"/>
        <v>20.042935750421385</v>
      </c>
      <c r="E14" s="1351">
        <v>17.441685</v>
      </c>
      <c r="F14" s="569">
        <f t="shared" si="31"/>
        <v>18.399326924350003</v>
      </c>
      <c r="G14" s="1351">
        <v>11.209270999999999</v>
      </c>
      <c r="H14" s="1351">
        <v>17.178132999999999</v>
      </c>
      <c r="I14" s="1351">
        <v>44.797077000000002</v>
      </c>
      <c r="J14" s="1312">
        <f t="shared" si="0"/>
        <v>74.515648286140092</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10.335320417287631</v>
      </c>
      <c r="U14" s="1376">
        <v>2</v>
      </c>
      <c r="W14" s="488">
        <v>2010</v>
      </c>
      <c r="X14" s="569">
        <f t="shared" si="11"/>
        <v>20.753328223776226</v>
      </c>
      <c r="Y14" s="569">
        <f t="shared" si="12"/>
        <v>28.494959645454543</v>
      </c>
      <c r="Z14" s="569">
        <f t="shared" si="13"/>
        <v>19.117461161703876</v>
      </c>
      <c r="AA14" s="569">
        <f t="shared" si="32"/>
        <v>17.441685</v>
      </c>
      <c r="AB14" s="569">
        <f t="shared" si="14"/>
        <v>17.566616498894337</v>
      </c>
      <c r="AC14" s="569">
        <f t="shared" si="33"/>
        <v>11.209270999999999</v>
      </c>
      <c r="AD14" s="569">
        <f t="shared" si="15"/>
        <v>14.867173403587442</v>
      </c>
      <c r="AE14" s="569">
        <f t="shared" si="34"/>
        <v>44.797077000000002</v>
      </c>
      <c r="AF14" s="652">
        <f t="shared" si="16"/>
        <v>74.515648286140092</v>
      </c>
      <c r="AG14" s="551">
        <f t="shared" si="17"/>
        <v>2010</v>
      </c>
      <c r="AH14" s="545">
        <f t="shared" si="18"/>
        <v>2.8784866246377625</v>
      </c>
      <c r="AI14" s="545">
        <f t="shared" si="19"/>
        <v>3.9522509028245452</v>
      </c>
      <c r="AJ14" s="545">
        <f t="shared" si="20"/>
        <v>2.6515918631283277</v>
      </c>
      <c r="AK14" s="545">
        <f t="shared" si="21"/>
        <v>2.4191617095</v>
      </c>
      <c r="AL14" s="545">
        <f t="shared" si="22"/>
        <v>2.4364897083966448</v>
      </c>
      <c r="AM14" s="545">
        <f t="shared" si="23"/>
        <v>1.5547258876999999</v>
      </c>
      <c r="AN14" s="545">
        <f t="shared" si="24"/>
        <v>2.0620769510775783</v>
      </c>
      <c r="AO14" s="545">
        <f t="shared" si="25"/>
        <v>12.4267091598</v>
      </c>
      <c r="AP14" s="552">
        <f t="shared" si="26"/>
        <v>10.335320417287631</v>
      </c>
      <c r="AQ14" s="10"/>
      <c r="AR14" s="968" t="str">
        <v>Gasoline</v>
      </c>
      <c r="AT14" s="3">
        <v>5.62</v>
      </c>
      <c r="AU14" s="3">
        <v>2.8369085599999999</v>
      </c>
      <c r="AV14" s="3">
        <v>2.992</v>
      </c>
      <c r="AW14" s="3">
        <f t="shared" si="27"/>
        <v>2.7799551885834464</v>
      </c>
      <c r="AX14" s="3">
        <f t="shared" si="35"/>
        <v>2.5519866444073456</v>
      </c>
      <c r="AY14" s="3">
        <f t="shared" si="28"/>
        <v>20.042935750421385</v>
      </c>
      <c r="AZ14" s="3">
        <f t="shared" si="29"/>
        <v>18.399326924350003</v>
      </c>
    </row>
    <row r="15" spans="1:52" x14ac:dyDescent="0.2">
      <c r="A15" s="489">
        <v>2011</v>
      </c>
      <c r="B15" s="1351">
        <v>27.153307000000002</v>
      </c>
      <c r="C15" s="1351">
        <v>34.314692999999998</v>
      </c>
      <c r="D15" s="569">
        <f t="shared" si="30"/>
        <v>26.064227985794453</v>
      </c>
      <c r="E15" s="1351">
        <v>23.669519000000001</v>
      </c>
      <c r="F15" s="569">
        <f t="shared" si="31"/>
        <v>24.357827814441997</v>
      </c>
      <c r="G15" s="1351">
        <v>18.559363999999999</v>
      </c>
      <c r="H15" s="1351">
        <v>17.058402999999998</v>
      </c>
      <c r="I15" s="1351">
        <v>35.388840000000002</v>
      </c>
      <c r="J15" s="1312">
        <f t="shared" si="0"/>
        <v>74.515648286140092</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10.335320417287631</v>
      </c>
      <c r="U15" s="1376">
        <v>2</v>
      </c>
      <c r="W15" s="489">
        <v>2011</v>
      </c>
      <c r="X15" s="569">
        <f t="shared" si="11"/>
        <v>21.266925762237769</v>
      </c>
      <c r="Y15" s="569">
        <f t="shared" si="12"/>
        <v>36.498355281818178</v>
      </c>
      <c r="Z15" s="569">
        <f t="shared" si="13"/>
        <v>24.860722622320672</v>
      </c>
      <c r="AA15" s="569">
        <f t="shared" si="32"/>
        <v>23.669519000000001</v>
      </c>
      <c r="AB15" s="569">
        <f t="shared" si="14"/>
        <v>23.255449599959761</v>
      </c>
      <c r="AC15" s="569">
        <f t="shared" si="33"/>
        <v>18.559363999999999</v>
      </c>
      <c r="AD15" s="569">
        <f t="shared" si="15"/>
        <v>14.763550578475334</v>
      </c>
      <c r="AE15" s="569">
        <f t="shared" si="34"/>
        <v>35.388840000000002</v>
      </c>
      <c r="AF15" s="652">
        <f t="shared" si="16"/>
        <v>74.515648286140092</v>
      </c>
      <c r="AG15" s="549">
        <f t="shared" si="17"/>
        <v>2011</v>
      </c>
      <c r="AH15" s="544">
        <f t="shared" si="18"/>
        <v>2.9497226032223787</v>
      </c>
      <c r="AI15" s="544">
        <f t="shared" si="19"/>
        <v>5.0623218775881806</v>
      </c>
      <c r="AJ15" s="544">
        <f t="shared" si="20"/>
        <v>3.4481822277158773</v>
      </c>
      <c r="AK15" s="544">
        <f t="shared" si="21"/>
        <v>3.2829622853</v>
      </c>
      <c r="AL15" s="544">
        <f t="shared" si="22"/>
        <v>3.2255308595144192</v>
      </c>
      <c r="AM15" s="544">
        <f t="shared" si="23"/>
        <v>2.5741837867999999</v>
      </c>
      <c r="AN15" s="544">
        <f t="shared" si="24"/>
        <v>2.0477044652345286</v>
      </c>
      <c r="AO15" s="544">
        <f t="shared" si="25"/>
        <v>9.8168642160000008</v>
      </c>
      <c r="AP15" s="550">
        <f t="shared" si="26"/>
        <v>10.335320417287631</v>
      </c>
      <c r="AQ15" s="10"/>
      <c r="AR15" s="968" t="str">
        <v>Jet Fuel</v>
      </c>
      <c r="AT15" s="3">
        <v>5.7969999999999997</v>
      </c>
      <c r="AU15" s="3">
        <v>3.5765300999999998</v>
      </c>
      <c r="AV15" s="3">
        <v>3.84</v>
      </c>
      <c r="AW15" s="3">
        <f t="shared" si="27"/>
        <v>3.61510842162969</v>
      </c>
      <c r="AX15" s="3">
        <f t="shared" si="35"/>
        <v>3.3784307178631048</v>
      </c>
      <c r="AY15" s="3">
        <f t="shared" si="28"/>
        <v>26.064227985794453</v>
      </c>
      <c r="AZ15" s="3">
        <f t="shared" si="29"/>
        <v>24.357827814441997</v>
      </c>
    </row>
    <row r="16" spans="1:52" x14ac:dyDescent="0.2">
      <c r="A16" s="964">
        <v>2012</v>
      </c>
      <c r="B16" s="1372">
        <v>26.060852000000001</v>
      </c>
      <c r="C16" s="1372">
        <v>36.734264000000003</v>
      </c>
      <c r="D16" s="570">
        <f t="shared" si="30"/>
        <v>27.478804154101759</v>
      </c>
      <c r="E16" s="1372">
        <v>23.645123000000002</v>
      </c>
      <c r="F16" s="570">
        <f t="shared" si="31"/>
        <v>25.690778463111101</v>
      </c>
      <c r="G16" s="1372">
        <v>20.590979000000001</v>
      </c>
      <c r="H16" s="1372">
        <v>17.207750000000001</v>
      </c>
      <c r="I16" s="1372">
        <v>30.248889999999999</v>
      </c>
      <c r="J16" s="1312">
        <f t="shared" si="0"/>
        <v>74.515648286140092</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10.335320417287631</v>
      </c>
      <c r="U16" s="1376">
        <v>2</v>
      </c>
      <c r="W16" s="964">
        <v>2012</v>
      </c>
      <c r="X16" s="570">
        <f t="shared" si="11"/>
        <v>20.411296671328675</v>
      </c>
      <c r="Y16" s="570">
        <f t="shared" si="12"/>
        <v>39.07189898181818</v>
      </c>
      <c r="Z16" s="570">
        <f t="shared" si="13"/>
        <v>26.209981298526241</v>
      </c>
      <c r="AA16" s="570">
        <f t="shared" si="32"/>
        <v>23.645123000000002</v>
      </c>
      <c r="AB16" s="570">
        <f t="shared" si="14"/>
        <v>24.528074025483402</v>
      </c>
      <c r="AC16" s="570">
        <f t="shared" si="33"/>
        <v>20.590979000000001</v>
      </c>
      <c r="AD16" s="570">
        <f t="shared" si="15"/>
        <v>14.892806053811659</v>
      </c>
      <c r="AE16" s="570">
        <f t="shared" si="34"/>
        <v>30.248889999999999</v>
      </c>
      <c r="AF16" s="652">
        <f t="shared" si="16"/>
        <v>74.515648286140092</v>
      </c>
      <c r="AG16" s="549">
        <v>2012</v>
      </c>
      <c r="AH16" s="544">
        <f t="shared" si="18"/>
        <v>2.8310468483132873</v>
      </c>
      <c r="AI16" s="544">
        <f t="shared" si="19"/>
        <v>5.4192723887781815</v>
      </c>
      <c r="AJ16" s="544">
        <f t="shared" si="20"/>
        <v>3.6353244061055894</v>
      </c>
      <c r="AK16" s="544">
        <f t="shared" si="21"/>
        <v>3.2795785601000005</v>
      </c>
      <c r="AL16" s="544">
        <f t="shared" si="22"/>
        <v>3.4020438673345481</v>
      </c>
      <c r="AM16" s="544">
        <f t="shared" si="23"/>
        <v>2.8559687873000001</v>
      </c>
      <c r="AN16" s="544">
        <f t="shared" si="24"/>
        <v>2.0656321996636771</v>
      </c>
      <c r="AO16" s="544">
        <f t="shared" si="25"/>
        <v>8.3910420859999988</v>
      </c>
      <c r="AP16" s="550">
        <f t="shared" si="26"/>
        <v>10.335320417287631</v>
      </c>
      <c r="AQ16" s="10"/>
      <c r="AR16" s="968" t="str">
        <v>Diesel</v>
      </c>
      <c r="AT16" s="3">
        <v>5.9169999999999998</v>
      </c>
      <c r="AU16" s="3">
        <v>3.6941674600000001</v>
      </c>
      <c r="AV16" s="3">
        <v>3.968</v>
      </c>
      <c r="AW16" s="3">
        <f t="shared" si="27"/>
        <v>3.8113101361739137</v>
      </c>
      <c r="AX16" s="3">
        <f t="shared" si="35"/>
        <v>3.5633109728335102</v>
      </c>
      <c r="AY16" s="3">
        <f t="shared" si="28"/>
        <v>27.478804154101759</v>
      </c>
      <c r="AZ16" s="3">
        <f t="shared" si="29"/>
        <v>25.690778463111101</v>
      </c>
    </row>
    <row r="17" spans="1:52" x14ac:dyDescent="0.2">
      <c r="A17" s="964">
        <v>2013</v>
      </c>
      <c r="B17" s="1372">
        <v>25.294118999999998</v>
      </c>
      <c r="C17" s="1372">
        <v>33.997013000000003</v>
      </c>
      <c r="D17" s="570">
        <f t="shared" si="30"/>
        <v>27.042850352976672</v>
      </c>
      <c r="E17" s="1372">
        <v>22.417128000000002</v>
      </c>
      <c r="F17" s="570">
        <f t="shared" si="31"/>
        <v>25.766314550818404</v>
      </c>
      <c r="G17" s="1372">
        <v>19.805682999999998</v>
      </c>
      <c r="H17" s="1372">
        <v>18.155642</v>
      </c>
      <c r="I17" s="1372">
        <v>31.006128</v>
      </c>
      <c r="J17" s="1312">
        <f t="shared" si="0"/>
        <v>74.515648286140092</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10.335320417287631</v>
      </c>
      <c r="U17" s="1376">
        <v>2</v>
      </c>
      <c r="W17" s="964">
        <v>2013</v>
      </c>
      <c r="X17" s="570">
        <f t="shared" si="11"/>
        <v>19.810778517482518</v>
      </c>
      <c r="Y17" s="570">
        <f t="shared" si="12"/>
        <v>36.160459281818177</v>
      </c>
      <c r="Z17" s="570">
        <f t="shared" si="13"/>
        <v>25.794157490822283</v>
      </c>
      <c r="AA17" s="570">
        <f t="shared" si="32"/>
        <v>22.417128000000002</v>
      </c>
      <c r="AB17" s="570">
        <f t="shared" si="14"/>
        <v>24.600191526848356</v>
      </c>
      <c r="AC17" s="570">
        <f t="shared" si="33"/>
        <v>19.805682999999998</v>
      </c>
      <c r="AD17" s="570">
        <f t="shared" si="15"/>
        <v>15.713178950672646</v>
      </c>
      <c r="AE17" s="570">
        <f t="shared" si="34"/>
        <v>31.006128</v>
      </c>
      <c r="AF17" s="652">
        <f t="shared" si="16"/>
        <v>74.515648286140092</v>
      </c>
      <c r="AG17" s="549">
        <v>2013</v>
      </c>
      <c r="AH17" s="544">
        <f t="shared" si="18"/>
        <v>2.7477549803748254</v>
      </c>
      <c r="AI17" s="544">
        <f t="shared" si="19"/>
        <v>5.0154557023881816</v>
      </c>
      <c r="AJ17" s="544">
        <f t="shared" si="20"/>
        <v>3.5776496439770509</v>
      </c>
      <c r="AK17" s="544">
        <f t="shared" si="21"/>
        <v>3.1092556536000004</v>
      </c>
      <c r="AL17" s="544">
        <f t="shared" si="22"/>
        <v>3.4120465647738669</v>
      </c>
      <c r="AM17" s="544">
        <f t="shared" si="23"/>
        <v>2.7470482320999996</v>
      </c>
      <c r="AN17" s="544">
        <f t="shared" si="24"/>
        <v>2.1794179204582957</v>
      </c>
      <c r="AO17" s="544">
        <f t="shared" si="25"/>
        <v>8.6010999072000001</v>
      </c>
      <c r="AP17" s="550">
        <f t="shared" si="26"/>
        <v>10.335320417287631</v>
      </c>
      <c r="AQ17" s="10"/>
      <c r="AR17" s="968" t="str">
        <v>Residual Fuel Oil</v>
      </c>
      <c r="AT17" s="3">
        <v>6.0039999999999996</v>
      </c>
      <c r="AU17" s="3">
        <v>3.58287866</v>
      </c>
      <c r="AV17" s="3">
        <v>3.9220000000000002</v>
      </c>
      <c r="AW17" s="3">
        <f t="shared" si="27"/>
        <v>3.7508433439578632</v>
      </c>
      <c r="AX17" s="3">
        <f t="shared" si="35"/>
        <v>3.5737878281985127</v>
      </c>
      <c r="AY17" s="3">
        <f t="shared" si="28"/>
        <v>27.042850352976672</v>
      </c>
      <c r="AZ17" s="3">
        <f t="shared" si="29"/>
        <v>25.766314550818404</v>
      </c>
    </row>
    <row r="18" spans="1:52" x14ac:dyDescent="0.2">
      <c r="A18" s="964">
        <v>2014</v>
      </c>
      <c r="B18" s="1372">
        <v>24.395772999999998</v>
      </c>
      <c r="C18" s="1372">
        <v>33.250518999999997</v>
      </c>
      <c r="D18" s="570">
        <f t="shared" si="30"/>
        <v>26.273234518958141</v>
      </c>
      <c r="E18" s="1372">
        <v>20.819944</v>
      </c>
      <c r="F18" s="570">
        <f t="shared" si="31"/>
        <v>25.535037257590947</v>
      </c>
      <c r="G18" s="1372">
        <v>14.62518</v>
      </c>
      <c r="H18" s="1372">
        <v>18.43741</v>
      </c>
      <c r="I18" s="1372">
        <v>32.181133000000003</v>
      </c>
      <c r="J18" s="1312">
        <f t="shared" si="0"/>
        <v>74.515648286140092</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10.335320417287631</v>
      </c>
      <c r="U18" s="1376">
        <v>2</v>
      </c>
      <c r="W18" s="964">
        <v>2014</v>
      </c>
      <c r="X18" s="570">
        <f t="shared" si="11"/>
        <v>19.107178853146856</v>
      </c>
      <c r="Y18" s="570">
        <f t="shared" si="12"/>
        <v>35.36646111818181</v>
      </c>
      <c r="Z18" s="570">
        <f t="shared" si="13"/>
        <v>25.060078361921605</v>
      </c>
      <c r="AA18" s="570">
        <f t="shared" si="32"/>
        <v>20.819944</v>
      </c>
      <c r="AB18" s="570">
        <f t="shared" si="14"/>
        <v>24.379381302010604</v>
      </c>
      <c r="AC18" s="570">
        <f t="shared" si="33"/>
        <v>14.62518</v>
      </c>
      <c r="AD18" s="570">
        <f t="shared" si="15"/>
        <v>15.957040941704035</v>
      </c>
      <c r="AE18" s="570">
        <f t="shared" si="34"/>
        <v>32.181133000000003</v>
      </c>
      <c r="AF18" s="652">
        <f t="shared" si="16"/>
        <v>74.515648286140092</v>
      </c>
      <c r="AG18" s="549">
        <v>2014</v>
      </c>
      <c r="AH18" s="544">
        <f t="shared" si="18"/>
        <v>2.6501657069314692</v>
      </c>
      <c r="AI18" s="544">
        <f t="shared" si="19"/>
        <v>4.9053281570918168</v>
      </c>
      <c r="AJ18" s="544">
        <f t="shared" si="20"/>
        <v>3.4758328687985265</v>
      </c>
      <c r="AK18" s="544">
        <f t="shared" si="21"/>
        <v>2.8877262328</v>
      </c>
      <c r="AL18" s="544">
        <f t="shared" si="22"/>
        <v>3.3814201865888709</v>
      </c>
      <c r="AM18" s="544">
        <f t="shared" si="23"/>
        <v>2.028512466</v>
      </c>
      <c r="AN18" s="544">
        <f t="shared" si="24"/>
        <v>2.2132415786143493</v>
      </c>
      <c r="AO18" s="544">
        <f t="shared" si="25"/>
        <v>8.927046294200002</v>
      </c>
      <c r="AP18" s="550">
        <f t="shared" si="26"/>
        <v>10.335320417287631</v>
      </c>
      <c r="AQ18" s="10"/>
      <c r="AR18" s="968" t="str">
        <v>CNG</v>
      </c>
      <c r="AT18" s="3">
        <v>6.101</v>
      </c>
      <c r="AU18" s="3">
        <v>3.4255699199999996</v>
      </c>
      <c r="AV18" s="3">
        <v>3.8250000000000002</v>
      </c>
      <c r="AW18" s="3">
        <f t="shared" si="27"/>
        <v>3.6440976277794945</v>
      </c>
      <c r="AX18" s="3">
        <f t="shared" si="35"/>
        <v>3.5417096676278645</v>
      </c>
      <c r="AY18" s="3">
        <f t="shared" si="28"/>
        <v>26.273234518958141</v>
      </c>
      <c r="AZ18" s="3">
        <f t="shared" si="29"/>
        <v>25.535037257590947</v>
      </c>
    </row>
    <row r="19" spans="1:52" x14ac:dyDescent="0.2">
      <c r="A19" s="965">
        <v>2015</v>
      </c>
      <c r="B19" s="1372">
        <v>17.964410999999998</v>
      </c>
      <c r="C19" s="1372">
        <v>23.267790000000002</v>
      </c>
      <c r="D19" s="570">
        <f t="shared" si="30"/>
        <v>19.276370412676094</v>
      </c>
      <c r="E19" s="1372">
        <v>11.972967000000001</v>
      </c>
      <c r="F19" s="570">
        <f t="shared" si="31"/>
        <v>18.095159363615679</v>
      </c>
      <c r="G19" s="1372">
        <v>8.1054680000000001</v>
      </c>
      <c r="H19" s="1372">
        <v>16.648273</v>
      </c>
      <c r="I19" s="1372">
        <v>29.485486999999999</v>
      </c>
      <c r="J19" s="1312">
        <f>P2*K70/$M$2*10^6</f>
        <v>107.48372071696917</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14.907992063443624</v>
      </c>
      <c r="U19" s="1376">
        <v>2</v>
      </c>
      <c r="W19" s="965">
        <v>2015</v>
      </c>
      <c r="X19" s="570">
        <f t="shared" si="11"/>
        <v>14.070028195804197</v>
      </c>
      <c r="Y19" s="570">
        <f t="shared" si="12"/>
        <v>24.748467545454545</v>
      </c>
      <c r="Z19" s="570">
        <f t="shared" si="13"/>
        <v>18.386291673623973</v>
      </c>
      <c r="AA19" s="570">
        <f t="shared" si="32"/>
        <v>11.972967000000001</v>
      </c>
      <c r="AB19" s="570">
        <f t="shared" si="14"/>
        <v>17.276214849269167</v>
      </c>
      <c r="AC19" s="570">
        <f t="shared" si="33"/>
        <v>8.1054680000000001</v>
      </c>
      <c r="AD19" s="570">
        <f t="shared" si="15"/>
        <v>14.408595017937218</v>
      </c>
      <c r="AE19" s="570">
        <f t="shared" si="34"/>
        <v>29.485486999999999</v>
      </c>
      <c r="AF19" s="652">
        <f>$P$2*AG70/$M$2*10^6</f>
        <v>76.774086226406567</v>
      </c>
      <c r="AG19" s="551">
        <v>2015</v>
      </c>
      <c r="AH19" s="545">
        <f t="shared" si="18"/>
        <v>1.951512910758042</v>
      </c>
      <c r="AI19" s="545">
        <f t="shared" si="19"/>
        <v>3.4326124485545457</v>
      </c>
      <c r="AJ19" s="545">
        <f t="shared" si="20"/>
        <v>2.5501786551316452</v>
      </c>
      <c r="AK19" s="545">
        <f t="shared" si="21"/>
        <v>1.6606505228999999</v>
      </c>
      <c r="AL19" s="545">
        <f t="shared" si="22"/>
        <v>2.3962109995936332</v>
      </c>
      <c r="AM19" s="545">
        <f t="shared" si="23"/>
        <v>1.1242284116000001</v>
      </c>
      <c r="AN19" s="545">
        <f t="shared" si="24"/>
        <v>1.9984721289878922</v>
      </c>
      <c r="AO19" s="545">
        <f t="shared" si="25"/>
        <v>8.1792740938000001</v>
      </c>
      <c r="AP19" s="552">
        <f t="shared" si="26"/>
        <v>10.648565759602592</v>
      </c>
      <c r="AQ19" s="10"/>
      <c r="AR19" s="968" t="str">
        <v>Electricity</v>
      </c>
      <c r="AT19" s="3">
        <v>6.109</v>
      </c>
      <c r="AU19" s="3">
        <v>2.5100100299999997</v>
      </c>
      <c r="AV19" s="3">
        <v>2.7069999999999999</v>
      </c>
      <c r="AW19" s="3">
        <f t="shared" si="27"/>
        <v>2.6736325762381741</v>
      </c>
      <c r="AX19" s="3">
        <f t="shared" si="35"/>
        <v>2.5097986037334952</v>
      </c>
      <c r="AY19" s="3">
        <f t="shared" si="28"/>
        <v>19.276370412676094</v>
      </c>
      <c r="AZ19" s="3">
        <f t="shared" si="29"/>
        <v>18.095159363615679</v>
      </c>
    </row>
    <row r="20" spans="1:52" x14ac:dyDescent="0.2">
      <c r="A20" s="964">
        <v>2016</v>
      </c>
      <c r="B20" s="1351">
        <v>17.741709</v>
      </c>
      <c r="C20" s="1351">
        <v>20.812339999999999</v>
      </c>
      <c r="D20" s="569">
        <f t="shared" si="30"/>
        <v>17.133898361264325</v>
      </c>
      <c r="E20" s="1351">
        <v>9.9809680000000007</v>
      </c>
      <c r="F20" s="569">
        <f t="shared" si="31"/>
        <v>15.595396535463674</v>
      </c>
      <c r="G20" s="1351">
        <v>6.2571779999999997</v>
      </c>
      <c r="H20" s="1351">
        <v>14.278964</v>
      </c>
      <c r="I20" s="1351">
        <v>28.885411999999999</v>
      </c>
      <c r="J20" s="1312">
        <f>$P$2*K71/$M$2*10^6</f>
        <v>107.48372071696917</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14.907992063443624</v>
      </c>
      <c r="U20" s="1376">
        <v>2</v>
      </c>
      <c r="W20" s="964">
        <v>2016</v>
      </c>
      <c r="X20" s="1351">
        <f t="shared" si="11"/>
        <v>13.895604251748255</v>
      </c>
      <c r="Y20" s="1351">
        <f t="shared" si="12"/>
        <v>22.136761636363634</v>
      </c>
      <c r="Z20" s="1351">
        <f t="shared" si="13"/>
        <v>16.342747417287203</v>
      </c>
      <c r="AA20" s="1351">
        <f t="shared" si="32"/>
        <v>9.9809680000000007</v>
      </c>
      <c r="AB20" s="1351">
        <f t="shared" si="14"/>
        <v>14.889585429568855</v>
      </c>
      <c r="AC20" s="1351">
        <f t="shared" si="33"/>
        <v>6.2571779999999997</v>
      </c>
      <c r="AD20" s="1351">
        <f t="shared" si="15"/>
        <v>12.358027139013453</v>
      </c>
      <c r="AE20" s="1351">
        <f t="shared" si="34"/>
        <v>28.885411999999999</v>
      </c>
      <c r="AF20" s="652">
        <f>$P$2*AG71/$M$2*10^6</f>
        <v>76.774086226406567</v>
      </c>
      <c r="AG20" s="549">
        <v>2016</v>
      </c>
      <c r="AH20" s="544">
        <f t="shared" si="18"/>
        <v>1.9273203097174829</v>
      </c>
      <c r="AI20" s="544">
        <f t="shared" si="19"/>
        <v>3.0703688389636361</v>
      </c>
      <c r="AJ20" s="544">
        <f t="shared" si="20"/>
        <v>2.2667390667777352</v>
      </c>
      <c r="AK20" s="544">
        <f t="shared" si="21"/>
        <v>1.3843602616000001</v>
      </c>
      <c r="AL20" s="544">
        <f t="shared" si="22"/>
        <v>2.0651854990812004</v>
      </c>
      <c r="AM20" s="544">
        <f t="shared" si="23"/>
        <v>0.86787058859999988</v>
      </c>
      <c r="AN20" s="544">
        <f t="shared" si="24"/>
        <v>1.714058364181166</v>
      </c>
      <c r="AO20" s="544">
        <f t="shared" si="25"/>
        <v>8.0128132887999985</v>
      </c>
      <c r="AP20" s="550">
        <f t="shared" si="26"/>
        <v>10.648565759602592</v>
      </c>
      <c r="AQ20" s="10"/>
      <c r="AR20" s="968" t="str">
        <v>Hydrogen</v>
      </c>
      <c r="AT20" s="3">
        <v>6.1859999999999999</v>
      </c>
      <c r="AU20" s="3">
        <v>2.2032642600000001</v>
      </c>
      <c r="AV20" s="3">
        <v>2.3039999999999998</v>
      </c>
      <c r="AW20" s="3">
        <f t="shared" si="27"/>
        <v>2.3764717027073621</v>
      </c>
      <c r="AX20" s="3">
        <f t="shared" si="35"/>
        <v>2.1630814994688112</v>
      </c>
      <c r="AY20" s="3">
        <f t="shared" si="28"/>
        <v>17.133898361264325</v>
      </c>
      <c r="AZ20" s="3">
        <f t="shared" si="29"/>
        <v>15.595396535463674</v>
      </c>
    </row>
    <row r="21" spans="1:52" ht="15" thickBot="1" x14ac:dyDescent="0.25">
      <c r="A21" s="964">
        <v>2017</v>
      </c>
      <c r="B21" s="1372">
        <v>19.093874</v>
      </c>
      <c r="C21" s="1372">
        <v>22.146609999999999</v>
      </c>
      <c r="D21" s="570">
        <f t="shared" si="30"/>
        <v>19.605030446056329</v>
      </c>
      <c r="E21" s="1372">
        <v>12.362413999999999</v>
      </c>
      <c r="F21" s="570">
        <f t="shared" si="31"/>
        <v>18.320171162026067</v>
      </c>
      <c r="G21" s="1372">
        <v>8.6428510000000003</v>
      </c>
      <c r="H21" s="1372">
        <v>14.744268999999999</v>
      </c>
      <c r="I21" s="1372">
        <v>29.101451999999998</v>
      </c>
      <c r="J21" s="1312">
        <f t="shared" ref="J21:J54" si="36">$P$2*K72/$M$2*10^6</f>
        <v>107.48372071696917</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14.907992063443624</v>
      </c>
      <c r="U21" s="1376">
        <v>2</v>
      </c>
      <c r="W21" s="964">
        <v>2017</v>
      </c>
      <c r="X21" s="1372">
        <f t="shared" si="11"/>
        <v>14.954642573426575</v>
      </c>
      <c r="Y21" s="1372">
        <f t="shared" si="12"/>
        <v>23.555939727272722</v>
      </c>
      <c r="Z21" s="1372">
        <f t="shared" si="13"/>
        <v>18.69977596064609</v>
      </c>
      <c r="AA21" s="1372">
        <f t="shared" si="32"/>
        <v>12.362413999999999</v>
      </c>
      <c r="AB21" s="1372">
        <f t="shared" si="14"/>
        <v>17.491043140904704</v>
      </c>
      <c r="AC21" s="1372">
        <f t="shared" si="33"/>
        <v>8.6428510000000003</v>
      </c>
      <c r="AD21" s="1372">
        <f t="shared" si="15"/>
        <v>12.760735053811658</v>
      </c>
      <c r="AE21" s="1372">
        <f t="shared" si="34"/>
        <v>29.101451999999998</v>
      </c>
      <c r="AF21" s="652">
        <f t="shared" ref="AF21:AF54" si="37">$P$2*AG72/$M$2*10^6</f>
        <v>76.774086226406567</v>
      </c>
      <c r="AG21" s="549">
        <v>2017</v>
      </c>
      <c r="AH21" s="544">
        <f t="shared" si="18"/>
        <v>2.0742089249342661</v>
      </c>
      <c r="AI21" s="544">
        <f t="shared" si="19"/>
        <v>3.2672088401727266</v>
      </c>
      <c r="AJ21" s="544">
        <f t="shared" si="20"/>
        <v>2.5936589257416123</v>
      </c>
      <c r="AK21" s="544">
        <f t="shared" si="21"/>
        <v>1.7146668217999999</v>
      </c>
      <c r="AL21" s="544">
        <f t="shared" si="22"/>
        <v>2.4260076836434825</v>
      </c>
      <c r="AM21" s="544">
        <f t="shared" si="23"/>
        <v>1.1987634336999999</v>
      </c>
      <c r="AN21" s="544">
        <f t="shared" si="24"/>
        <v>1.7699139519636768</v>
      </c>
      <c r="AO21" s="544">
        <f t="shared" si="25"/>
        <v>8.0727427847999991</v>
      </c>
      <c r="AP21" s="550">
        <f t="shared" si="26"/>
        <v>10.648565759602592</v>
      </c>
      <c r="AQ21" s="10"/>
      <c r="AR21" s="969" t="s">
        <v>229</v>
      </c>
      <c r="AT21" s="3">
        <v>6.3179999999999996</v>
      </c>
      <c r="AU21" s="3">
        <v>2.4683584000000001</v>
      </c>
      <c r="AV21" s="3">
        <v>2.65</v>
      </c>
      <c r="AW21" s="3">
        <f t="shared" si="27"/>
        <v>2.719217722868013</v>
      </c>
      <c r="AX21" s="3">
        <f t="shared" si="35"/>
        <v>2.5410077401730153</v>
      </c>
      <c r="AY21" s="3">
        <f t="shared" si="28"/>
        <v>19.605030446056329</v>
      </c>
      <c r="AZ21" s="3">
        <f t="shared" si="29"/>
        <v>18.320171162026067</v>
      </c>
    </row>
    <row r="22" spans="1:52" ht="15" thickTop="1" x14ac:dyDescent="0.2">
      <c r="A22" s="964">
        <v>2018</v>
      </c>
      <c r="B22" s="1372">
        <v>18.011908999999999</v>
      </c>
      <c r="C22" s="1372">
        <v>29.232935000000001</v>
      </c>
      <c r="D22" s="570">
        <f t="shared" si="30"/>
        <v>22.739042504488459</v>
      </c>
      <c r="E22" s="1372">
        <v>16.156372000000001</v>
      </c>
      <c r="F22" s="570">
        <f t="shared" si="31"/>
        <v>22.505902487847884</v>
      </c>
      <c r="G22" s="1372">
        <v>10.938333999999999</v>
      </c>
      <c r="H22" s="1372">
        <v>14.392683999999999</v>
      </c>
      <c r="I22" s="1372">
        <v>33.287472000000001</v>
      </c>
      <c r="J22" s="1312">
        <f t="shared" si="36"/>
        <v>107.48372071696917</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14.907992063443624</v>
      </c>
      <c r="U22" s="1376">
        <v>2</v>
      </c>
      <c r="W22" s="964">
        <v>2018</v>
      </c>
      <c r="X22" s="1372">
        <f t="shared" si="11"/>
        <v>14.107229426573427</v>
      </c>
      <c r="Y22" s="1372">
        <f t="shared" si="12"/>
        <v>31.09321268181818</v>
      </c>
      <c r="Z22" s="1372">
        <f t="shared" si="13"/>
        <v>21.689076258439453</v>
      </c>
      <c r="AA22" s="1372">
        <f t="shared" si="32"/>
        <v>16.156372000000001</v>
      </c>
      <c r="AB22" s="1372">
        <f t="shared" si="14"/>
        <v>21.487338074433527</v>
      </c>
      <c r="AC22" s="1372">
        <f t="shared" si="33"/>
        <v>10.938333999999999</v>
      </c>
      <c r="AD22" s="1372">
        <f t="shared" si="15"/>
        <v>12.45644848430493</v>
      </c>
      <c r="AE22" s="1372">
        <f t="shared" si="34"/>
        <v>33.287472000000001</v>
      </c>
      <c r="AF22" s="652">
        <f t="shared" si="37"/>
        <v>76.774086226406567</v>
      </c>
      <c r="AG22" s="549">
        <v>2018</v>
      </c>
      <c r="AH22" s="544">
        <f t="shared" si="18"/>
        <v>1.9566727214657342</v>
      </c>
      <c r="AI22" s="544">
        <f t="shared" si="19"/>
        <v>4.3126285989681818</v>
      </c>
      <c r="AJ22" s="544">
        <f t="shared" si="20"/>
        <v>3.0082748770455523</v>
      </c>
      <c r="AK22" s="544">
        <f t="shared" si="21"/>
        <v>2.2408887964000002</v>
      </c>
      <c r="AL22" s="544">
        <f t="shared" si="22"/>
        <v>2.9802937909239304</v>
      </c>
      <c r="AM22" s="544">
        <f t="shared" si="23"/>
        <v>1.5171469257999999</v>
      </c>
      <c r="AN22" s="544">
        <f t="shared" si="24"/>
        <v>1.7277094047730939</v>
      </c>
      <c r="AO22" s="544">
        <f t="shared" si="25"/>
        <v>9.2339447327999995</v>
      </c>
      <c r="AP22" s="550">
        <f t="shared" si="26"/>
        <v>10.648565759602592</v>
      </c>
      <c r="AQ22" s="10"/>
      <c r="AT22" s="3">
        <v>6.4720000000000004</v>
      </c>
      <c r="AU22" s="3">
        <v>2.7948209099999999</v>
      </c>
      <c r="AV22" s="3">
        <v>3.1779999999999999</v>
      </c>
      <c r="AW22" s="3">
        <f t="shared" si="27"/>
        <v>3.1539051953725488</v>
      </c>
      <c r="AX22" s="3">
        <f t="shared" si="35"/>
        <v>3.1215686750645011</v>
      </c>
      <c r="AY22" s="3">
        <f t="shared" si="28"/>
        <v>22.739042504488459</v>
      </c>
      <c r="AZ22" s="3">
        <f t="shared" si="29"/>
        <v>22.505902487847884</v>
      </c>
    </row>
    <row r="23" spans="1:52" x14ac:dyDescent="0.2">
      <c r="A23" s="964">
        <v>2019</v>
      </c>
      <c r="B23" s="491">
        <v>16.634917999999999</v>
      </c>
      <c r="C23" s="491">
        <v>24.537946999999999</v>
      </c>
      <c r="D23" s="491">
        <v>22.170871999999999</v>
      </c>
      <c r="E23" s="491">
        <v>14.641048</v>
      </c>
      <c r="F23" s="491">
        <v>22.110787999999999</v>
      </c>
      <c r="G23" s="491">
        <v>9.5779259999999997</v>
      </c>
      <c r="H23" s="491">
        <v>13.698598</v>
      </c>
      <c r="I23" s="491">
        <v>33.252597999999999</v>
      </c>
      <c r="J23" s="1312">
        <f t="shared" si="36"/>
        <v>107.48372071696917</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14.907992063443624</v>
      </c>
      <c r="U23" s="1376">
        <v>2</v>
      </c>
      <c r="W23" s="964">
        <v>2019</v>
      </c>
      <c r="X23" s="491">
        <f t="shared" si="11"/>
        <v>13.028746965034966</v>
      </c>
      <c r="Y23" s="491">
        <f t="shared" si="12"/>
        <v>26.099452718181812</v>
      </c>
      <c r="Z23" s="491">
        <f t="shared" si="13"/>
        <v>21.147140801077349</v>
      </c>
      <c r="AA23" s="491">
        <f t="shared" si="32"/>
        <v>14.641048</v>
      </c>
      <c r="AB23" s="491">
        <f t="shared" si="14"/>
        <v>21.110105542519808</v>
      </c>
      <c r="AC23" s="491">
        <f t="shared" si="33"/>
        <v>9.5779259999999997</v>
      </c>
      <c r="AD23" s="491">
        <f t="shared" si="15"/>
        <v>11.85573728251121</v>
      </c>
      <c r="AE23" s="491">
        <f t="shared" si="34"/>
        <v>33.252597999999999</v>
      </c>
      <c r="AF23" s="652">
        <f t="shared" si="37"/>
        <v>76.774086226406567</v>
      </c>
      <c r="AG23" s="549">
        <v>2019</v>
      </c>
      <c r="AH23" s="544">
        <f t="shared" si="18"/>
        <v>1.8070872040503498</v>
      </c>
      <c r="AI23" s="544">
        <f t="shared" si="19"/>
        <v>3.6199940920118174</v>
      </c>
      <c r="AJ23" s="544">
        <f t="shared" si="20"/>
        <v>2.9331084291094283</v>
      </c>
      <c r="AK23" s="544">
        <f t="shared" si="21"/>
        <v>2.0307133575999998</v>
      </c>
      <c r="AL23" s="544">
        <f t="shared" si="22"/>
        <v>2.9279716387474974</v>
      </c>
      <c r="AM23" s="544">
        <f t="shared" si="23"/>
        <v>1.3284583362</v>
      </c>
      <c r="AN23" s="544">
        <f t="shared" si="24"/>
        <v>1.6443907610843049</v>
      </c>
      <c r="AO23" s="544">
        <f t="shared" si="25"/>
        <v>9.2242706852000005</v>
      </c>
      <c r="AP23" s="550">
        <f t="shared" si="26"/>
        <v>10.648565759602592</v>
      </c>
      <c r="AQ23" s="10"/>
      <c r="AT23" s="3">
        <v>6.5890000000000004</v>
      </c>
      <c r="AU23" s="3">
        <v>2.6971813500000001</v>
      </c>
      <c r="AV23" s="3">
        <v>3.056</v>
      </c>
      <c r="AW23" s="3">
        <f t="shared" si="27"/>
        <v>3.0987447049102927</v>
      </c>
      <c r="AX23" s="3">
        <f t="shared" si="35"/>
        <v>3.056</v>
      </c>
      <c r="AY23" s="3">
        <f t="shared" si="28"/>
        <v>22.341346106058349</v>
      </c>
      <c r="AZ23" s="3">
        <f t="shared" si="29"/>
        <v>22.033165104542178</v>
      </c>
    </row>
    <row r="24" spans="1:52" x14ac:dyDescent="0.2">
      <c r="A24" s="965">
        <v>2020</v>
      </c>
      <c r="B24" s="491">
        <v>15.560148999999999</v>
      </c>
      <c r="C24" s="491">
        <v>24.243863999999999</v>
      </c>
      <c r="D24" s="491">
        <v>21.954423999999999</v>
      </c>
      <c r="E24" s="491">
        <v>14.449450000000001</v>
      </c>
      <c r="F24" s="491">
        <v>21.343924999999999</v>
      </c>
      <c r="G24" s="491">
        <v>10.569046</v>
      </c>
      <c r="H24" s="491">
        <v>13.285862</v>
      </c>
      <c r="I24" s="491">
        <v>33.912785</v>
      </c>
      <c r="J24" s="1312">
        <f t="shared" si="36"/>
        <v>107.48372071696917</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14.907992063443624</v>
      </c>
      <c r="U24" s="1376">
        <f t="shared" ref="U24:U37" si="38">U25</f>
        <v>2</v>
      </c>
      <c r="W24" s="965">
        <v>2020</v>
      </c>
      <c r="X24" s="491">
        <f t="shared" si="11"/>
        <v>12.186969846153847</v>
      </c>
      <c r="Y24" s="491">
        <f t="shared" si="12"/>
        <v>25.786655345454541</v>
      </c>
      <c r="Z24" s="491">
        <f t="shared" si="13"/>
        <v>20.940687201412366</v>
      </c>
      <c r="AA24" s="491">
        <f t="shared" si="32"/>
        <v>14.449450000000001</v>
      </c>
      <c r="AB24" s="491">
        <f t="shared" si="14"/>
        <v>20.377948965076552</v>
      </c>
      <c r="AC24" s="491">
        <f t="shared" si="33"/>
        <v>10.569046</v>
      </c>
      <c r="AD24" s="491">
        <f t="shared" si="15"/>
        <v>11.498526304932735</v>
      </c>
      <c r="AE24" s="491">
        <f t="shared" si="34"/>
        <v>33.912785</v>
      </c>
      <c r="AF24" s="652">
        <f t="shared" si="37"/>
        <v>76.774086226406567</v>
      </c>
      <c r="AG24" s="551">
        <v>2020</v>
      </c>
      <c r="AH24" s="545">
        <f t="shared" si="18"/>
        <v>1.6903327176615386</v>
      </c>
      <c r="AI24" s="545">
        <f t="shared" si="19"/>
        <v>3.5766090964145447</v>
      </c>
      <c r="AJ24" s="545">
        <f t="shared" si="20"/>
        <v>2.9044733148358954</v>
      </c>
      <c r="AK24" s="545">
        <f t="shared" si="21"/>
        <v>2.0041387150000003</v>
      </c>
      <c r="AL24" s="545">
        <f t="shared" si="22"/>
        <v>2.8264215214561177</v>
      </c>
      <c r="AM24" s="545">
        <f t="shared" si="23"/>
        <v>1.4659266802000002</v>
      </c>
      <c r="AN24" s="545">
        <f t="shared" si="24"/>
        <v>1.5948455984941705</v>
      </c>
      <c r="AO24" s="545">
        <f t="shared" si="25"/>
        <v>9.407406559</v>
      </c>
      <c r="AP24" s="552">
        <f t="shared" si="26"/>
        <v>10.648565759602592</v>
      </c>
      <c r="AQ24" s="10"/>
    </row>
    <row r="25" spans="1:52" x14ac:dyDescent="0.2">
      <c r="A25" s="964">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2">
        <f t="shared" si="36"/>
        <v>107.48372071696917</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14.907992063443624</v>
      </c>
      <c r="U25" s="1376">
        <f t="shared" si="38"/>
        <v>2</v>
      </c>
      <c r="W25" s="964">
        <v>2021</v>
      </c>
      <c r="X25" s="491">
        <f t="shared" si="11"/>
        <v>12.547705398601401</v>
      </c>
      <c r="Y25" s="491">
        <f t="shared" si="12"/>
        <v>31.812847772727267</v>
      </c>
      <c r="Z25" s="491">
        <f t="shared" si="13"/>
        <v>20.963633379003014</v>
      </c>
      <c r="AA25" s="491">
        <f t="shared" si="32"/>
        <v>14.469915</v>
      </c>
      <c r="AB25" s="491">
        <f t="shared" si="14"/>
        <v>20.485171303916431</v>
      </c>
      <c r="AC25" s="491">
        <f t="shared" si="33"/>
        <v>10.419720999999999</v>
      </c>
      <c r="AD25" s="491">
        <f t="shared" si="15"/>
        <v>10.955606919282509</v>
      </c>
      <c r="AE25" s="491">
        <f t="shared" si="34"/>
        <v>33.971561000000001</v>
      </c>
      <c r="AF25" s="652">
        <f t="shared" si="37"/>
        <v>73.703122777350288</v>
      </c>
      <c r="AG25" s="549">
        <v>2021</v>
      </c>
      <c r="AH25" s="544">
        <f t="shared" si="18"/>
        <v>1.7403667387860142</v>
      </c>
      <c r="AI25" s="544">
        <f t="shared" si="19"/>
        <v>4.4124419860772726</v>
      </c>
      <c r="AJ25" s="544">
        <f t="shared" si="20"/>
        <v>2.9076559496677179</v>
      </c>
      <c r="AK25" s="544">
        <f t="shared" si="21"/>
        <v>2.0069772105000001</v>
      </c>
      <c r="AL25" s="544">
        <f t="shared" si="22"/>
        <v>2.841293259853209</v>
      </c>
      <c r="AM25" s="544">
        <f t="shared" si="23"/>
        <v>1.4452153026999999</v>
      </c>
      <c r="AN25" s="544">
        <f t="shared" si="24"/>
        <v>1.519542679704484</v>
      </c>
      <c r="AO25" s="544">
        <f t="shared" si="25"/>
        <v>9.4237110214000008</v>
      </c>
      <c r="AP25" s="550">
        <f t="shared" si="26"/>
        <v>10.222623129218485</v>
      </c>
      <c r="AQ25" s="10"/>
    </row>
    <row r="26" spans="1:52" x14ac:dyDescent="0.2">
      <c r="A26" s="964">
        <v>2022</v>
      </c>
      <c r="B26" s="491">
        <v>16.712645999999999</v>
      </c>
      <c r="C26" s="491">
        <v>28.426769</v>
      </c>
      <c r="D26" s="491">
        <v>21.98358</v>
      </c>
      <c r="E26" s="491">
        <v>14.677915</v>
      </c>
      <c r="F26" s="491">
        <v>21.792422999999999</v>
      </c>
      <c r="G26" s="491">
        <v>10.188439000000001</v>
      </c>
      <c r="H26" s="491">
        <v>12.415777</v>
      </c>
      <c r="I26" s="491">
        <v>34.360657000000003</v>
      </c>
      <c r="J26" s="1312">
        <f t="shared" si="36"/>
        <v>107.48372071696917</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14.907992063443624</v>
      </c>
      <c r="U26" s="1376">
        <f t="shared" si="38"/>
        <v>2</v>
      </c>
      <c r="W26" s="964">
        <v>2022</v>
      </c>
      <c r="X26" s="491">
        <f t="shared" si="11"/>
        <v>13.089624839160841</v>
      </c>
      <c r="Y26" s="491">
        <f t="shared" si="12"/>
        <v>30.235745209090904</v>
      </c>
      <c r="Z26" s="491">
        <f t="shared" si="13"/>
        <v>20.968496934705502</v>
      </c>
      <c r="AA26" s="491">
        <f t="shared" si="32"/>
        <v>14.677915</v>
      </c>
      <c r="AB26" s="491">
        <f t="shared" si="14"/>
        <v>20.806148996464355</v>
      </c>
      <c r="AC26" s="491">
        <f t="shared" si="33"/>
        <v>10.188439000000001</v>
      </c>
      <c r="AD26" s="491">
        <f t="shared" si="15"/>
        <v>10.745493098654707</v>
      </c>
      <c r="AE26" s="491">
        <f t="shared" si="34"/>
        <v>34.360657000000003</v>
      </c>
      <c r="AF26" s="652">
        <f t="shared" si="37"/>
        <v>68.328936741501849</v>
      </c>
      <c r="AG26" s="549">
        <v>2022</v>
      </c>
      <c r="AH26" s="544">
        <f t="shared" si="18"/>
        <v>1.8155309651916085</v>
      </c>
      <c r="AI26" s="544">
        <f t="shared" si="19"/>
        <v>4.1936978605009081</v>
      </c>
      <c r="AJ26" s="544">
        <f t="shared" si="20"/>
        <v>2.9083305248436533</v>
      </c>
      <c r="AK26" s="544">
        <f t="shared" si="21"/>
        <v>2.0358268105000001</v>
      </c>
      <c r="AL26" s="544">
        <f t="shared" si="22"/>
        <v>2.8858128658096058</v>
      </c>
      <c r="AM26" s="544">
        <f t="shared" si="23"/>
        <v>1.4131364893</v>
      </c>
      <c r="AN26" s="544">
        <f t="shared" si="24"/>
        <v>1.4903998927834079</v>
      </c>
      <c r="AO26" s="544">
        <f t="shared" si="25"/>
        <v>9.5316462517999998</v>
      </c>
      <c r="AP26" s="550">
        <f t="shared" si="26"/>
        <v>9.4772235260463056</v>
      </c>
      <c r="AQ26" s="10"/>
    </row>
    <row r="27" spans="1:52" x14ac:dyDescent="0.2">
      <c r="A27" s="964">
        <v>2023</v>
      </c>
      <c r="B27" s="491">
        <v>17.151492999999999</v>
      </c>
      <c r="C27" s="491">
        <v>28.618099000000001</v>
      </c>
      <c r="D27" s="491">
        <v>21.894874999999999</v>
      </c>
      <c r="E27" s="491">
        <v>14.784328</v>
      </c>
      <c r="F27" s="491">
        <v>21.917566000000001</v>
      </c>
      <c r="G27" s="491">
        <v>8.9142880000000009</v>
      </c>
      <c r="H27" s="491">
        <v>12.426674999999999</v>
      </c>
      <c r="I27" s="491">
        <v>34.89761</v>
      </c>
      <c r="J27" s="1312">
        <f t="shared" si="36"/>
        <v>95.967607783008191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13.310707199503236</v>
      </c>
      <c r="U27" s="1376">
        <f t="shared" si="38"/>
        <v>2</v>
      </c>
      <c r="W27" s="964">
        <v>2023</v>
      </c>
      <c r="X27" s="491">
        <f t="shared" si="11"/>
        <v>13.433337174825176</v>
      </c>
      <c r="Y27" s="491">
        <f t="shared" si="12"/>
        <v>30.439250754545451</v>
      </c>
      <c r="Z27" s="491">
        <f t="shared" si="13"/>
        <v>20.883887852809238</v>
      </c>
      <c r="AA27" s="491">
        <f t="shared" si="32"/>
        <v>14.784328</v>
      </c>
      <c r="AB27" s="491">
        <f t="shared" si="14"/>
        <v>20.925628317504724</v>
      </c>
      <c r="AC27" s="491">
        <f t="shared" si="33"/>
        <v>8.9142880000000009</v>
      </c>
      <c r="AD27" s="491">
        <f t="shared" si="15"/>
        <v>10.754924999999998</v>
      </c>
      <c r="AE27" s="491">
        <f t="shared" si="34"/>
        <v>34.89761</v>
      </c>
      <c r="AF27" s="652">
        <f t="shared" si="37"/>
        <v>59.116046394333054</v>
      </c>
      <c r="AG27" s="549">
        <v>2023</v>
      </c>
      <c r="AH27" s="544">
        <f t="shared" si="18"/>
        <v>1.863203866148252</v>
      </c>
      <c r="AI27" s="544">
        <f t="shared" si="19"/>
        <v>4.2219240796554542</v>
      </c>
      <c r="AJ27" s="544">
        <f t="shared" si="20"/>
        <v>2.8965952451846415</v>
      </c>
      <c r="AK27" s="544">
        <f t="shared" si="21"/>
        <v>2.0505862935999999</v>
      </c>
      <c r="AL27" s="544">
        <f t="shared" si="22"/>
        <v>2.9023846476379052</v>
      </c>
      <c r="AM27" s="544">
        <f t="shared" si="23"/>
        <v>1.2364117456000001</v>
      </c>
      <c r="AN27" s="544">
        <f t="shared" si="24"/>
        <v>1.4917080974999997</v>
      </c>
      <c r="AO27" s="544">
        <f t="shared" si="25"/>
        <v>9.6805970139999999</v>
      </c>
      <c r="AP27" s="550">
        <f t="shared" si="26"/>
        <v>8.1993956348939943</v>
      </c>
      <c r="AQ27" s="10"/>
    </row>
    <row r="28" spans="1:52" x14ac:dyDescent="0.2">
      <c r="A28" s="964">
        <v>2024</v>
      </c>
      <c r="B28" s="491">
        <v>17.636644</v>
      </c>
      <c r="C28" s="491">
        <v>28.520074999999999</v>
      </c>
      <c r="D28" s="491">
        <v>21.602947</v>
      </c>
      <c r="E28" s="491">
        <v>15.181978000000001</v>
      </c>
      <c r="F28" s="491">
        <v>22.312809000000001</v>
      </c>
      <c r="G28" s="491">
        <v>9.2094129999999996</v>
      </c>
      <c r="H28" s="491">
        <v>12.301192</v>
      </c>
      <c r="I28" s="491">
        <v>35.386074000000001</v>
      </c>
      <c r="J28" s="1312">
        <f t="shared" si="36"/>
        <v>69.096677603765912</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9.5837091836423323</v>
      </c>
      <c r="U28" s="1376">
        <f t="shared" si="38"/>
        <v>2</v>
      </c>
      <c r="W28" s="964">
        <v>2024</v>
      </c>
      <c r="X28" s="491">
        <f t="shared" si="11"/>
        <v>13.813315580419584</v>
      </c>
      <c r="Y28" s="491">
        <f t="shared" si="12"/>
        <v>30.334988863636358</v>
      </c>
      <c r="Z28" s="491">
        <f t="shared" si="13"/>
        <v>20.605439512131571</v>
      </c>
      <c r="AA28" s="491">
        <f t="shared" si="32"/>
        <v>15.181978000000001</v>
      </c>
      <c r="AB28" s="491">
        <f t="shared" si="14"/>
        <v>21.302983545411671</v>
      </c>
      <c r="AC28" s="491">
        <f t="shared" si="33"/>
        <v>9.2094129999999996</v>
      </c>
      <c r="AD28" s="491">
        <f t="shared" si="15"/>
        <v>10.646323121076232</v>
      </c>
      <c r="AE28" s="491">
        <f t="shared" si="34"/>
        <v>35.386074000000001</v>
      </c>
      <c r="AF28" s="652">
        <f t="shared" si="37"/>
        <v>49.903156047164266</v>
      </c>
      <c r="AG28" s="549">
        <v>2024</v>
      </c>
      <c r="AH28" s="544">
        <f t="shared" si="18"/>
        <v>1.9159068710041964</v>
      </c>
      <c r="AI28" s="544">
        <f t="shared" si="19"/>
        <v>4.2074629553863634</v>
      </c>
      <c r="AJ28" s="544">
        <f t="shared" si="20"/>
        <v>2.8579744603326489</v>
      </c>
      <c r="AK28" s="544">
        <f t="shared" si="21"/>
        <v>2.1057403485999999</v>
      </c>
      <c r="AL28" s="544">
        <f t="shared" si="22"/>
        <v>2.9547238177485986</v>
      </c>
      <c r="AM28" s="544">
        <f t="shared" si="23"/>
        <v>1.2773455831</v>
      </c>
      <c r="AN28" s="544">
        <f t="shared" si="24"/>
        <v>1.4766450168932734</v>
      </c>
      <c r="AO28" s="544">
        <f t="shared" si="25"/>
        <v>9.8160969276000003</v>
      </c>
      <c r="AP28" s="550">
        <f t="shared" si="26"/>
        <v>6.9215677437416838</v>
      </c>
      <c r="AQ28" s="10"/>
    </row>
    <row r="29" spans="1:52" s="48" customFormat="1" x14ac:dyDescent="0.2">
      <c r="A29" s="965">
        <v>2025</v>
      </c>
      <c r="B29" s="491">
        <v>18.329802999999998</v>
      </c>
      <c r="C29" s="491">
        <v>27.862691999999999</v>
      </c>
      <c r="D29" s="491">
        <v>21.847075</v>
      </c>
      <c r="E29" s="491">
        <v>15.254274000000001</v>
      </c>
      <c r="F29" s="491">
        <v>22.445829</v>
      </c>
      <c r="G29" s="491">
        <v>9.4572199999999995</v>
      </c>
      <c r="H29" s="491">
        <v>12.310214999999999</v>
      </c>
      <c r="I29" s="491">
        <v>36.138537999999997</v>
      </c>
      <c r="J29" s="1312">
        <f t="shared" si="36"/>
        <v>53.741860358484587</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7.4539960317218119</v>
      </c>
      <c r="U29" s="1376">
        <f t="shared" si="38"/>
        <v>2</v>
      </c>
      <c r="V29"/>
      <c r="W29" s="965">
        <v>2025</v>
      </c>
      <c r="X29" s="491">
        <f t="shared" si="11"/>
        <v>14.356209342657344</v>
      </c>
      <c r="Y29" s="491">
        <f t="shared" si="12"/>
        <v>29.635772399999993</v>
      </c>
      <c r="Z29" s="491">
        <f t="shared" si="13"/>
        <v>20.838294998802798</v>
      </c>
      <c r="AA29" s="491">
        <f t="shared" si="32"/>
        <v>15.254274000000001</v>
      </c>
      <c r="AB29" s="491">
        <f t="shared" si="14"/>
        <v>21.4299833718885</v>
      </c>
      <c r="AC29" s="491">
        <f t="shared" si="33"/>
        <v>9.4572199999999995</v>
      </c>
      <c r="AD29" s="491">
        <f t="shared" si="15"/>
        <v>10.65413226457399</v>
      </c>
      <c r="AE29" s="491">
        <f t="shared" si="34"/>
        <v>36.138537999999997</v>
      </c>
      <c r="AF29" s="652">
        <f t="shared" si="37"/>
        <v>46.064451735843932</v>
      </c>
      <c r="AG29" s="551">
        <v>2025</v>
      </c>
      <c r="AH29" s="545">
        <f t="shared" si="18"/>
        <v>1.9912062358265736</v>
      </c>
      <c r="AI29" s="545">
        <f t="shared" si="19"/>
        <v>4.110481631879999</v>
      </c>
      <c r="AJ29" s="545">
        <f t="shared" si="20"/>
        <v>2.8902715163339479</v>
      </c>
      <c r="AK29" s="545">
        <f t="shared" si="21"/>
        <v>2.1157678037999998</v>
      </c>
      <c r="AL29" s="545">
        <f t="shared" si="22"/>
        <v>2.9723386936809351</v>
      </c>
      <c r="AM29" s="545">
        <f t="shared" si="23"/>
        <v>1.3117164139999999</v>
      </c>
      <c r="AN29" s="545">
        <f t="shared" si="24"/>
        <v>1.4777281450964124</v>
      </c>
      <c r="AO29" s="545">
        <f t="shared" si="25"/>
        <v>10.024830441199999</v>
      </c>
      <c r="AP29" s="552">
        <f t="shared" si="26"/>
        <v>6.389139455761554</v>
      </c>
      <c r="AQ29" s="10"/>
    </row>
    <row r="30" spans="1:52" x14ac:dyDescent="0.2">
      <c r="A30" s="964">
        <v>2026</v>
      </c>
      <c r="B30" s="491">
        <v>18.998629000000001</v>
      </c>
      <c r="C30" s="491">
        <v>27.936610999999999</v>
      </c>
      <c r="D30" s="491">
        <v>22.031654</v>
      </c>
      <c r="E30" s="491">
        <v>15.71048</v>
      </c>
      <c r="F30" s="491">
        <v>22.857292000000001</v>
      </c>
      <c r="G30" s="491">
        <v>10.104760000000001</v>
      </c>
      <c r="H30" s="491">
        <v>12.265231</v>
      </c>
      <c r="I30" s="491">
        <v>36.758361999999998</v>
      </c>
      <c r="J30" s="1312">
        <f t="shared" si="36"/>
        <v>51.438637771692399</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7.1345390589337354</v>
      </c>
      <c r="U30" s="1376">
        <f t="shared" si="38"/>
        <v>2</v>
      </c>
      <c r="W30" s="964">
        <v>2026</v>
      </c>
      <c r="X30" s="491">
        <f t="shared" si="11"/>
        <v>14.880045090909094</v>
      </c>
      <c r="Y30" s="491">
        <f t="shared" si="12"/>
        <v>29.71439533636363</v>
      </c>
      <c r="Z30" s="491">
        <f t="shared" si="13"/>
        <v>21.014351136870889</v>
      </c>
      <c r="AA30" s="491">
        <f t="shared" si="32"/>
        <v>15.71048</v>
      </c>
      <c r="AB30" s="491">
        <f t="shared" si="14"/>
        <v>21.822824520600246</v>
      </c>
      <c r="AC30" s="491">
        <f t="shared" si="33"/>
        <v>10.104760000000001</v>
      </c>
      <c r="AD30" s="491">
        <f t="shared" si="15"/>
        <v>10.615199923766815</v>
      </c>
      <c r="AE30" s="491">
        <f t="shared" si="34"/>
        <v>36.758361999999998</v>
      </c>
      <c r="AF30" s="652">
        <f t="shared" si="37"/>
        <v>44.682518183768622</v>
      </c>
      <c r="AG30" s="549">
        <v>2026</v>
      </c>
      <c r="AH30" s="544">
        <f t="shared" si="18"/>
        <v>2.0638622541090914</v>
      </c>
      <c r="AI30" s="544">
        <f t="shared" si="19"/>
        <v>4.1213866331536355</v>
      </c>
      <c r="AJ30" s="544">
        <f t="shared" si="20"/>
        <v>2.9146905026839924</v>
      </c>
      <c r="AK30" s="544">
        <f t="shared" si="21"/>
        <v>2.1790435759999998</v>
      </c>
      <c r="AL30" s="544">
        <f t="shared" si="22"/>
        <v>3.0268257610072542</v>
      </c>
      <c r="AM30" s="544">
        <f t="shared" si="23"/>
        <v>1.4015302120000002</v>
      </c>
      <c r="AN30" s="544">
        <f t="shared" si="24"/>
        <v>1.472328229426457</v>
      </c>
      <c r="AO30" s="544">
        <f t="shared" si="25"/>
        <v>10.196769618799999</v>
      </c>
      <c r="AP30" s="550">
        <f t="shared" si="26"/>
        <v>6.1974652720887073</v>
      </c>
      <c r="AQ30" s="10"/>
    </row>
    <row r="31" spans="1:52" x14ac:dyDescent="0.2">
      <c r="A31" s="964">
        <v>2027</v>
      </c>
      <c r="B31" s="491">
        <v>19.332518</v>
      </c>
      <c r="C31" s="491">
        <v>28.162009999999999</v>
      </c>
      <c r="D31" s="491">
        <v>22.300404</v>
      </c>
      <c r="E31" s="491">
        <v>15.739540999999999</v>
      </c>
      <c r="F31" s="491">
        <v>22.914766</v>
      </c>
      <c r="G31" s="491">
        <v>10.913876999999999</v>
      </c>
      <c r="H31" s="491">
        <v>12.143967999999999</v>
      </c>
      <c r="I31" s="491">
        <v>37.028300999999999</v>
      </c>
      <c r="J31" s="1312">
        <f t="shared" si="36"/>
        <v>49.903156047164266</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6.9215677437416838</v>
      </c>
      <c r="U31" s="1376">
        <f t="shared" si="38"/>
        <v>2</v>
      </c>
      <c r="W31" s="964">
        <v>2027</v>
      </c>
      <c r="X31" s="491">
        <f t="shared" si="11"/>
        <v>15.141552559440562</v>
      </c>
      <c r="Y31" s="491">
        <f t="shared" si="12"/>
        <v>29.954137909090903</v>
      </c>
      <c r="Z31" s="491">
        <f t="shared" si="13"/>
        <v>21.270691712482421</v>
      </c>
      <c r="AA31" s="491">
        <f t="shared" si="32"/>
        <v>15.739540999999999</v>
      </c>
      <c r="AB31" s="491">
        <f t="shared" si="14"/>
        <v>21.877697382026568</v>
      </c>
      <c r="AC31" s="491">
        <f t="shared" si="33"/>
        <v>10.913876999999999</v>
      </c>
      <c r="AD31" s="491">
        <f t="shared" si="15"/>
        <v>10.510250331838563</v>
      </c>
      <c r="AE31" s="491">
        <f t="shared" si="34"/>
        <v>37.028300999999999</v>
      </c>
      <c r="AF31" s="652">
        <f t="shared" si="37"/>
        <v>43.607680976598928</v>
      </c>
      <c r="AG31" s="549">
        <v>2027</v>
      </c>
      <c r="AH31" s="544">
        <f t="shared" si="18"/>
        <v>2.100133339994406</v>
      </c>
      <c r="AI31" s="544">
        <f t="shared" si="19"/>
        <v>4.1546389279909084</v>
      </c>
      <c r="AJ31" s="544">
        <f t="shared" si="20"/>
        <v>2.950244940521312</v>
      </c>
      <c r="AK31" s="544">
        <f t="shared" si="21"/>
        <v>2.1830743366999998</v>
      </c>
      <c r="AL31" s="544">
        <f t="shared" si="22"/>
        <v>3.0344366268870848</v>
      </c>
      <c r="AM31" s="544">
        <f t="shared" si="23"/>
        <v>1.5137547399</v>
      </c>
      <c r="AN31" s="544">
        <f t="shared" si="24"/>
        <v>1.4577717210260088</v>
      </c>
      <c r="AO31" s="544">
        <f t="shared" si="25"/>
        <v>10.2716506974</v>
      </c>
      <c r="AP31" s="550">
        <f t="shared" si="26"/>
        <v>6.0483853514542707</v>
      </c>
      <c r="AQ31" s="10"/>
    </row>
    <row r="32" spans="1:52" x14ac:dyDescent="0.2">
      <c r="A32" s="964">
        <v>2028</v>
      </c>
      <c r="B32" s="491">
        <v>19.533010000000001</v>
      </c>
      <c r="C32" s="491">
        <v>28.425083000000001</v>
      </c>
      <c r="D32" s="491">
        <v>22.412120999999999</v>
      </c>
      <c r="E32" s="491">
        <v>16.214652999999998</v>
      </c>
      <c r="F32" s="491">
        <v>23.266224000000001</v>
      </c>
      <c r="G32" s="491">
        <v>11.290391</v>
      </c>
      <c r="H32" s="491">
        <v>11.942882000000001</v>
      </c>
      <c r="I32" s="491">
        <v>36.980328</v>
      </c>
      <c r="J32" s="1312">
        <f t="shared" si="36"/>
        <v>47.983803891504095</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6.655353599751618</v>
      </c>
      <c r="U32" s="1376">
        <f t="shared" si="38"/>
        <v>2</v>
      </c>
      <c r="W32" s="964">
        <v>2028</v>
      </c>
      <c r="X32" s="491">
        <f t="shared" si="11"/>
        <v>15.298581258741262</v>
      </c>
      <c r="Y32" s="491">
        <f t="shared" si="12"/>
        <v>30.233951918181816</v>
      </c>
      <c r="Z32" s="491">
        <f t="shared" si="13"/>
        <v>21.377250224428813</v>
      </c>
      <c r="AA32" s="491">
        <f t="shared" si="32"/>
        <v>16.214652999999998</v>
      </c>
      <c r="AB32" s="491">
        <f t="shared" si="14"/>
        <v>22.213249216441646</v>
      </c>
      <c r="AC32" s="491">
        <f t="shared" si="33"/>
        <v>11.290391</v>
      </c>
      <c r="AD32" s="491">
        <f t="shared" si="15"/>
        <v>10.336216260089687</v>
      </c>
      <c r="AE32" s="491">
        <f t="shared" si="34"/>
        <v>36.980328</v>
      </c>
      <c r="AF32" s="652">
        <f t="shared" si="37"/>
        <v>42.532843769429235</v>
      </c>
      <c r="AG32" s="549">
        <v>2028</v>
      </c>
      <c r="AH32" s="544">
        <f t="shared" si="18"/>
        <v>2.1219132205874129</v>
      </c>
      <c r="AI32" s="544">
        <f t="shared" si="19"/>
        <v>4.1934491310518176</v>
      </c>
      <c r="AJ32" s="544">
        <f t="shared" si="20"/>
        <v>2.9650246061282761</v>
      </c>
      <c r="AK32" s="544">
        <f t="shared" si="21"/>
        <v>2.2489723710999998</v>
      </c>
      <c r="AL32" s="544">
        <f t="shared" si="22"/>
        <v>3.080977666320456</v>
      </c>
      <c r="AM32" s="544">
        <f t="shared" si="23"/>
        <v>1.5659772316999998</v>
      </c>
      <c r="AN32" s="544">
        <f t="shared" si="24"/>
        <v>1.4336331952744397</v>
      </c>
      <c r="AO32" s="544">
        <f t="shared" si="25"/>
        <v>10.258342987199999</v>
      </c>
      <c r="AP32" s="550">
        <f t="shared" si="26"/>
        <v>5.8993054308198349</v>
      </c>
      <c r="AQ32" s="10"/>
    </row>
    <row r="33" spans="1:43" x14ac:dyDescent="0.2">
      <c r="A33" s="964">
        <v>2029</v>
      </c>
      <c r="B33" s="491">
        <v>19.624012</v>
      </c>
      <c r="C33" s="491">
        <v>28.713608000000001</v>
      </c>
      <c r="D33" s="491">
        <v>22.707564999999999</v>
      </c>
      <c r="E33" s="491">
        <v>16.425370999999998</v>
      </c>
      <c r="F33" s="491">
        <v>23.483311</v>
      </c>
      <c r="G33" s="491">
        <v>11.574986000000001</v>
      </c>
      <c r="H33" s="491">
        <v>11.674177</v>
      </c>
      <c r="I33" s="491">
        <v>36.851902000000003</v>
      </c>
      <c r="J33" s="1312">
        <f t="shared" si="36"/>
        <v>46.448322166975963</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6.4423822845595655</v>
      </c>
      <c r="U33" s="1376">
        <f t="shared" si="38"/>
        <v>2</v>
      </c>
      <c r="W33" s="964">
        <v>2029</v>
      </c>
      <c r="X33" s="491">
        <f t="shared" si="11"/>
        <v>15.369855552447556</v>
      </c>
      <c r="Y33" s="491">
        <f t="shared" si="12"/>
        <v>30.540837599999996</v>
      </c>
      <c r="Z33" s="491">
        <f t="shared" si="13"/>
        <v>21.659052215204525</v>
      </c>
      <c r="AA33" s="491">
        <f t="shared" si="32"/>
        <v>16.425370999999998</v>
      </c>
      <c r="AB33" s="491">
        <f t="shared" si="14"/>
        <v>22.42051136747439</v>
      </c>
      <c r="AC33" s="491">
        <f t="shared" si="33"/>
        <v>11.574986000000001</v>
      </c>
      <c r="AD33" s="491">
        <f t="shared" si="15"/>
        <v>10.103659914798206</v>
      </c>
      <c r="AE33" s="491">
        <f t="shared" si="34"/>
        <v>36.851902000000003</v>
      </c>
      <c r="AF33" s="652">
        <f t="shared" si="37"/>
        <v>41.91865107961798</v>
      </c>
      <c r="AG33" s="549">
        <v>2029</v>
      </c>
      <c r="AH33" s="544">
        <f t="shared" si="18"/>
        <v>2.1317989651244758</v>
      </c>
      <c r="AI33" s="544">
        <f t="shared" si="19"/>
        <v>4.2360141751200002</v>
      </c>
      <c r="AJ33" s="544">
        <f t="shared" si="20"/>
        <v>3.0041105422488674</v>
      </c>
      <c r="AK33" s="544">
        <f t="shared" si="21"/>
        <v>2.2781989576999995</v>
      </c>
      <c r="AL33" s="544">
        <f t="shared" si="22"/>
        <v>3.1097249266686982</v>
      </c>
      <c r="AM33" s="544">
        <f t="shared" si="23"/>
        <v>1.6054505582</v>
      </c>
      <c r="AN33" s="544">
        <f t="shared" si="24"/>
        <v>1.4013776301825112</v>
      </c>
      <c r="AO33" s="544">
        <f t="shared" si="25"/>
        <v>10.222717614800001</v>
      </c>
      <c r="AP33" s="550">
        <f t="shared" si="26"/>
        <v>5.8141169047430141</v>
      </c>
      <c r="AQ33" s="10"/>
    </row>
    <row r="34" spans="1:43" x14ac:dyDescent="0.2">
      <c r="A34" s="965">
        <v>2030</v>
      </c>
      <c r="B34" s="491">
        <v>20.097501999999999</v>
      </c>
      <c r="C34" s="491">
        <v>30.057896</v>
      </c>
      <c r="D34" s="491">
        <v>23.410488000000001</v>
      </c>
      <c r="E34" s="491">
        <v>16.664819999999999</v>
      </c>
      <c r="F34" s="491">
        <v>23.973053</v>
      </c>
      <c r="G34" s="491">
        <v>11.016311</v>
      </c>
      <c r="H34" s="491">
        <v>12.097020000000001</v>
      </c>
      <c r="I34" s="491">
        <v>36.703060000000001</v>
      </c>
      <c r="J34" s="1312">
        <f t="shared" si="36"/>
        <v>45.450259046032684</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6.3039509296847331</v>
      </c>
      <c r="U34" s="1376">
        <f t="shared" si="38"/>
        <v>2</v>
      </c>
      <c r="W34" s="965">
        <v>2030</v>
      </c>
      <c r="X34" s="491">
        <f t="shared" si="11"/>
        <v>15.740700867132869</v>
      </c>
      <c r="Y34" s="491">
        <f t="shared" si="12"/>
        <v>31.970671199999995</v>
      </c>
      <c r="Z34" s="491">
        <f t="shared" si="13"/>
        <v>22.329518025178789</v>
      </c>
      <c r="AA34" s="491">
        <f t="shared" si="32"/>
        <v>16.664819999999999</v>
      </c>
      <c r="AB34" s="491">
        <f t="shared" si="14"/>
        <v>22.888088792060287</v>
      </c>
      <c r="AC34" s="491">
        <f t="shared" si="33"/>
        <v>11.016311</v>
      </c>
      <c r="AD34" s="491">
        <f t="shared" si="15"/>
        <v>10.469618206278026</v>
      </c>
      <c r="AE34" s="491">
        <f t="shared" si="34"/>
        <v>36.703060000000001</v>
      </c>
      <c r="AF34" s="652">
        <f t="shared" si="37"/>
        <v>41.304458389806726</v>
      </c>
      <c r="AG34" s="551">
        <v>2030</v>
      </c>
      <c r="AH34" s="545">
        <f t="shared" si="18"/>
        <v>2.1832352102713291</v>
      </c>
      <c r="AI34" s="545">
        <f t="shared" si="19"/>
        <v>4.4343320954399994</v>
      </c>
      <c r="AJ34" s="545">
        <f t="shared" si="20"/>
        <v>3.097104150092298</v>
      </c>
      <c r="AK34" s="545">
        <f t="shared" si="21"/>
        <v>2.3114105340000002</v>
      </c>
      <c r="AL34" s="545">
        <f t="shared" si="22"/>
        <v>3.1745779154587619</v>
      </c>
      <c r="AM34" s="545">
        <f t="shared" si="23"/>
        <v>1.5279623356999998</v>
      </c>
      <c r="AN34" s="545">
        <f t="shared" si="24"/>
        <v>1.4521360452107621</v>
      </c>
      <c r="AO34" s="545">
        <f t="shared" si="25"/>
        <v>10.181428844000001</v>
      </c>
      <c r="AP34" s="552">
        <f t="shared" si="26"/>
        <v>5.7289283786661933</v>
      </c>
      <c r="AQ34" s="10"/>
    </row>
    <row r="35" spans="1:43" x14ac:dyDescent="0.2">
      <c r="A35" s="964">
        <v>2031</v>
      </c>
      <c r="B35" s="491">
        <v>20.105340999999999</v>
      </c>
      <c r="C35" s="491">
        <v>30.388204999999999</v>
      </c>
      <c r="D35" s="491">
        <v>23.573322000000001</v>
      </c>
      <c r="E35" s="491">
        <v>17.012841999999999</v>
      </c>
      <c r="F35" s="491">
        <v>24.241781</v>
      </c>
      <c r="G35" s="491">
        <v>11.238101</v>
      </c>
      <c r="H35" s="491">
        <v>11.824804</v>
      </c>
      <c r="I35" s="491">
        <v>36.648471999999998</v>
      </c>
      <c r="J35" s="1312">
        <f t="shared" si="36"/>
        <v>44.145099580183775</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6.1229253117714899</v>
      </c>
      <c r="U35" s="1376">
        <f t="shared" si="38"/>
        <v>2</v>
      </c>
      <c r="W35" s="964">
        <v>2031</v>
      </c>
      <c r="X35" s="491">
        <f t="shared" si="11"/>
        <v>15.746840503496506</v>
      </c>
      <c r="Y35" s="491">
        <f t="shared" si="12"/>
        <v>32.321999863636357</v>
      </c>
      <c r="Z35" s="491">
        <f t="shared" si="13"/>
        <v>22.484833229975543</v>
      </c>
      <c r="AA35" s="491">
        <f t="shared" si="32"/>
        <v>17.012841999999999</v>
      </c>
      <c r="AB35" s="491">
        <f t="shared" si="14"/>
        <v>23.144654792432153</v>
      </c>
      <c r="AC35" s="491">
        <f t="shared" si="33"/>
        <v>11.238101</v>
      </c>
      <c r="AD35" s="491">
        <f t="shared" si="15"/>
        <v>10.234023192825111</v>
      </c>
      <c r="AE35" s="491">
        <f t="shared" si="34"/>
        <v>36.648471999999998</v>
      </c>
      <c r="AF35" s="652">
        <f t="shared" si="37"/>
        <v>40.690265699995479</v>
      </c>
      <c r="AG35" s="549">
        <v>2031</v>
      </c>
      <c r="AH35" s="544">
        <f t="shared" si="18"/>
        <v>2.1840867778349655</v>
      </c>
      <c r="AI35" s="544">
        <f t="shared" si="19"/>
        <v>4.4830613810863627</v>
      </c>
      <c r="AJ35" s="544">
        <f t="shared" si="20"/>
        <v>3.1186463689976081</v>
      </c>
      <c r="AK35" s="544">
        <f t="shared" si="21"/>
        <v>2.3596811853999999</v>
      </c>
      <c r="AL35" s="544">
        <f t="shared" si="22"/>
        <v>3.2101636197103396</v>
      </c>
      <c r="AM35" s="544">
        <f t="shared" si="23"/>
        <v>1.5587246087</v>
      </c>
      <c r="AN35" s="544">
        <f t="shared" si="24"/>
        <v>1.4194590168448429</v>
      </c>
      <c r="AO35" s="544">
        <f t="shared" si="25"/>
        <v>10.1662861328</v>
      </c>
      <c r="AP35" s="550">
        <f t="shared" si="26"/>
        <v>5.6437398525893725</v>
      </c>
      <c r="AQ35" s="10"/>
    </row>
    <row r="36" spans="1:43" x14ac:dyDescent="0.2">
      <c r="A36" s="964">
        <v>2032</v>
      </c>
      <c r="B36" s="491">
        <v>20.179995000000002</v>
      </c>
      <c r="C36" s="491">
        <v>30.548780000000001</v>
      </c>
      <c r="D36" s="491">
        <v>23.781666000000001</v>
      </c>
      <c r="E36" s="491">
        <v>17.187419999999999</v>
      </c>
      <c r="F36" s="491">
        <v>24.417619999999999</v>
      </c>
      <c r="G36" s="491">
        <v>11.303734</v>
      </c>
      <c r="H36" s="491">
        <v>11.655065</v>
      </c>
      <c r="I36" s="491">
        <v>36.629832999999998</v>
      </c>
      <c r="J36" s="1312">
        <f t="shared" si="36"/>
        <v>42.609617855655642</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5.9099539965794374</v>
      </c>
      <c r="U36" s="1376">
        <f t="shared" si="38"/>
        <v>2</v>
      </c>
      <c r="W36" s="964">
        <v>2032</v>
      </c>
      <c r="X36" s="491">
        <f t="shared" si="11"/>
        <v>15.805310769230774</v>
      </c>
      <c r="Y36" s="491">
        <f t="shared" si="12"/>
        <v>32.492793272727269</v>
      </c>
      <c r="Z36" s="491">
        <f t="shared" si="13"/>
        <v>22.683557028618182</v>
      </c>
      <c r="AA36" s="491">
        <f t="shared" si="32"/>
        <v>17.187419999999999</v>
      </c>
      <c r="AB36" s="491">
        <f t="shared" si="14"/>
        <v>23.31253573129743</v>
      </c>
      <c r="AC36" s="491">
        <f t="shared" si="33"/>
        <v>11.303734</v>
      </c>
      <c r="AD36" s="491">
        <f t="shared" si="15"/>
        <v>10.087119035874439</v>
      </c>
      <c r="AE36" s="491">
        <f t="shared" si="34"/>
        <v>36.629832999999998</v>
      </c>
      <c r="AF36" s="652">
        <f t="shared" si="37"/>
        <v>40.076073010184224</v>
      </c>
      <c r="AG36" s="549">
        <v>2032</v>
      </c>
      <c r="AH36" s="544">
        <f t="shared" si="18"/>
        <v>2.1921966036923086</v>
      </c>
      <c r="AI36" s="544">
        <f t="shared" si="19"/>
        <v>4.5067504269272725</v>
      </c>
      <c r="AJ36" s="544">
        <f t="shared" si="20"/>
        <v>3.1462093598693417</v>
      </c>
      <c r="AK36" s="544">
        <f t="shared" si="21"/>
        <v>2.3838951540000002</v>
      </c>
      <c r="AL36" s="544">
        <f t="shared" si="22"/>
        <v>3.2334487059309533</v>
      </c>
      <c r="AM36" s="544">
        <f t="shared" si="23"/>
        <v>1.5678279058</v>
      </c>
      <c r="AN36" s="544">
        <f t="shared" si="24"/>
        <v>1.3990834102757848</v>
      </c>
      <c r="AO36" s="544">
        <f t="shared" si="25"/>
        <v>10.1611156742</v>
      </c>
      <c r="AP36" s="550">
        <f t="shared" si="26"/>
        <v>5.5585513265125517</v>
      </c>
      <c r="AQ36" s="10"/>
    </row>
    <row r="37" spans="1:43" x14ac:dyDescent="0.2">
      <c r="A37" s="964">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2">
        <f t="shared" si="36"/>
        <v>41.150910217353918</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5.7076312471469883</v>
      </c>
      <c r="U37" s="1376">
        <f t="shared" si="38"/>
        <v>2</v>
      </c>
      <c r="W37" s="964">
        <v>2033</v>
      </c>
      <c r="X37" s="491">
        <f t="shared" si="11"/>
        <v>16.05212900699301</v>
      </c>
      <c r="Y37" s="491">
        <f t="shared" si="12"/>
        <v>33.194531618181813</v>
      </c>
      <c r="Z37" s="491">
        <f t="shared" si="13"/>
        <v>23.086776223384476</v>
      </c>
      <c r="AA37" s="491">
        <f t="shared" si="32"/>
        <v>17.583839000000001</v>
      </c>
      <c r="AB37" s="491">
        <f t="shared" si="14"/>
        <v>23.687610079746754</v>
      </c>
      <c r="AC37" s="491">
        <f t="shared" si="33"/>
        <v>11.559741000000001</v>
      </c>
      <c r="AD37" s="491">
        <f t="shared" si="15"/>
        <v>10.084421363228699</v>
      </c>
      <c r="AE37" s="491">
        <f t="shared" si="34"/>
        <v>36.830044000000001</v>
      </c>
      <c r="AF37" s="652">
        <f t="shared" si="37"/>
        <v>39.46188032037297</v>
      </c>
      <c r="AG37" s="549">
        <v>2033</v>
      </c>
      <c r="AH37" s="544">
        <f t="shared" si="18"/>
        <v>2.2264302932699302</v>
      </c>
      <c r="AI37" s="544">
        <f t="shared" si="19"/>
        <v>4.6040815354418179</v>
      </c>
      <c r="AJ37" s="544">
        <f t="shared" si="20"/>
        <v>3.2021358621834271</v>
      </c>
      <c r="AK37" s="544">
        <f t="shared" si="21"/>
        <v>2.4388784693000001</v>
      </c>
      <c r="AL37" s="544">
        <f t="shared" si="22"/>
        <v>3.2854715180608745</v>
      </c>
      <c r="AM37" s="544">
        <f t="shared" si="23"/>
        <v>1.6033360767</v>
      </c>
      <c r="AN37" s="544">
        <f t="shared" si="24"/>
        <v>1.3987092430798207</v>
      </c>
      <c r="AO37" s="544">
        <f t="shared" si="25"/>
        <v>10.216654205600001</v>
      </c>
      <c r="AP37" s="550">
        <f t="shared" si="26"/>
        <v>5.4733628004357309</v>
      </c>
      <c r="AQ37" s="10"/>
    </row>
    <row r="38" spans="1:43" x14ac:dyDescent="0.2">
      <c r="A38" s="964">
        <v>2034</v>
      </c>
      <c r="B38" s="491">
        <v>20.705454</v>
      </c>
      <c r="C38" s="491">
        <v>31.695506999999999</v>
      </c>
      <c r="D38" s="491">
        <v>24.592258000000001</v>
      </c>
      <c r="E38" s="491">
        <v>17.868292</v>
      </c>
      <c r="F38" s="491">
        <v>25.010679</v>
      </c>
      <c r="G38" s="491">
        <v>11.693218</v>
      </c>
      <c r="H38" s="491">
        <v>11.562685999999999</v>
      </c>
      <c r="I38" s="491">
        <v>36.911639999999998</v>
      </c>
      <c r="J38" s="1312">
        <f t="shared" si="36"/>
        <v>39.692202579052193</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5.5053084977145392</v>
      </c>
      <c r="U38" s="1376">
        <f>U39</f>
        <v>2</v>
      </c>
      <c r="W38" s="964">
        <v>2034</v>
      </c>
      <c r="X38" s="491">
        <f t="shared" si="11"/>
        <v>16.216859076923079</v>
      </c>
      <c r="Y38" s="491">
        <f t="shared" si="12"/>
        <v>33.712493809090901</v>
      </c>
      <c r="Z38" s="491">
        <f t="shared" si="13"/>
        <v>23.456720265329253</v>
      </c>
      <c r="AA38" s="491">
        <f t="shared" si="32"/>
        <v>17.868292</v>
      </c>
      <c r="AB38" s="491">
        <f t="shared" si="14"/>
        <v>23.878754270543578</v>
      </c>
      <c r="AC38" s="491">
        <f t="shared" si="33"/>
        <v>11.693218</v>
      </c>
      <c r="AD38" s="491">
        <f t="shared" si="15"/>
        <v>10.007167704035874</v>
      </c>
      <c r="AE38" s="491">
        <f t="shared" si="34"/>
        <v>36.911639999999998</v>
      </c>
      <c r="AF38" s="652">
        <f t="shared" si="37"/>
        <v>38.92446171678813</v>
      </c>
      <c r="AG38" s="549">
        <v>2034</v>
      </c>
      <c r="AH38" s="544">
        <f t="shared" si="18"/>
        <v>2.2492783539692311</v>
      </c>
      <c r="AI38" s="544">
        <f t="shared" si="19"/>
        <v>4.6759228913209085</v>
      </c>
      <c r="AJ38" s="544">
        <f t="shared" si="20"/>
        <v>3.2534471008011674</v>
      </c>
      <c r="AK38" s="544">
        <f t="shared" si="21"/>
        <v>2.4783321003999998</v>
      </c>
      <c r="AL38" s="544">
        <f t="shared" si="22"/>
        <v>3.3119832173243942</v>
      </c>
      <c r="AM38" s="544">
        <f t="shared" si="23"/>
        <v>1.6218493366</v>
      </c>
      <c r="AN38" s="544">
        <f t="shared" si="24"/>
        <v>1.3879941605497756</v>
      </c>
      <c r="AO38" s="544">
        <f t="shared" si="25"/>
        <v>10.239288935999999</v>
      </c>
      <c r="AP38" s="550">
        <f t="shared" si="26"/>
        <v>5.3988228401185134</v>
      </c>
      <c r="AQ38" s="10"/>
    </row>
    <row r="39" spans="1:43" x14ac:dyDescent="0.2">
      <c r="A39" s="965">
        <v>2035</v>
      </c>
      <c r="B39" s="491">
        <v>20.923535999999999</v>
      </c>
      <c r="C39" s="491">
        <v>32.776066</v>
      </c>
      <c r="D39" s="491">
        <v>24.848427000000001</v>
      </c>
      <c r="E39" s="491">
        <v>18.138349999999999</v>
      </c>
      <c r="F39" s="491">
        <v>25.234774000000002</v>
      </c>
      <c r="G39" s="491">
        <v>12.392016999999999</v>
      </c>
      <c r="H39" s="491">
        <v>11.455206</v>
      </c>
      <c r="I39" s="491">
        <v>36.571807999999997</v>
      </c>
      <c r="J39" s="1312">
        <f t="shared" si="36"/>
        <v>38.387043113203283</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5.324282879801296</v>
      </c>
      <c r="U39" s="1377">
        <f>'S-curves'!AN24</f>
        <v>2</v>
      </c>
      <c r="W39" s="965">
        <v>2035</v>
      </c>
      <c r="X39" s="491">
        <f t="shared" si="11"/>
        <v>16.387664559440562</v>
      </c>
      <c r="Y39" s="491">
        <f t="shared" si="12"/>
        <v>34.861815654545453</v>
      </c>
      <c r="Z39" s="491">
        <f t="shared" si="13"/>
        <v>23.70106076361327</v>
      </c>
      <c r="AA39" s="491">
        <f t="shared" si="32"/>
        <v>18.138349999999999</v>
      </c>
      <c r="AB39" s="491">
        <f t="shared" si="14"/>
        <v>24.092707255916647</v>
      </c>
      <c r="AC39" s="491">
        <f t="shared" si="33"/>
        <v>12.392016999999999</v>
      </c>
      <c r="AD39" s="491">
        <f t="shared" si="15"/>
        <v>9.914146896860986</v>
      </c>
      <c r="AE39" s="491">
        <f t="shared" si="34"/>
        <v>36.571807999999997</v>
      </c>
      <c r="AF39" s="652">
        <f t="shared" si="37"/>
        <v>38.387043113203283</v>
      </c>
      <c r="AG39" s="551">
        <v>2035</v>
      </c>
      <c r="AH39" s="545">
        <f t="shared" si="18"/>
        <v>2.272969074394406</v>
      </c>
      <c r="AI39" s="545">
        <f t="shared" si="19"/>
        <v>4.8353338312854541</v>
      </c>
      <c r="AJ39" s="545">
        <f t="shared" si="20"/>
        <v>3.2873371279131609</v>
      </c>
      <c r="AK39" s="545">
        <f t="shared" si="21"/>
        <v>2.5157891449999998</v>
      </c>
      <c r="AL39" s="545">
        <f t="shared" si="22"/>
        <v>3.3416584963956391</v>
      </c>
      <c r="AM39" s="545">
        <f t="shared" si="23"/>
        <v>1.7187727578999998</v>
      </c>
      <c r="AN39" s="545">
        <f t="shared" si="24"/>
        <v>1.3750921745946187</v>
      </c>
      <c r="AO39" s="545">
        <f t="shared" si="25"/>
        <v>10.145019539199998</v>
      </c>
      <c r="AP39" s="552">
        <f t="shared" si="26"/>
        <v>5.324282879801296</v>
      </c>
      <c r="AQ39" s="10"/>
    </row>
    <row r="40" spans="1:43" x14ac:dyDescent="0.2">
      <c r="A40" s="964">
        <v>2036</v>
      </c>
      <c r="B40" s="491">
        <v>21.173369999999998</v>
      </c>
      <c r="C40" s="491">
        <v>32.661560000000001</v>
      </c>
      <c r="D40" s="491">
        <v>25.145551999999999</v>
      </c>
      <c r="E40" s="491">
        <v>18.383088999999998</v>
      </c>
      <c r="F40" s="491">
        <v>25.49099</v>
      </c>
      <c r="G40" s="491">
        <v>12.827140999999999</v>
      </c>
      <c r="H40" s="491">
        <v>11.366446</v>
      </c>
      <c r="I40" s="491">
        <v>36.300902999999998</v>
      </c>
      <c r="J40" s="1312">
        <f t="shared" si="36"/>
        <v>37.235431819807175</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5.1645543934072551</v>
      </c>
      <c r="U40" s="1377">
        <f>'S-curves'!AN25</f>
        <v>1.9998475958244206</v>
      </c>
      <c r="W40" s="964">
        <v>2036</v>
      </c>
      <c r="X40" s="491">
        <f t="shared" si="11"/>
        <v>16.583338741258743</v>
      </c>
      <c r="Y40" s="491">
        <f t="shared" si="12"/>
        <v>34.740022909090904</v>
      </c>
      <c r="Z40" s="491">
        <f t="shared" si="13"/>
        <v>23.984466134882386</v>
      </c>
      <c r="AA40" s="491">
        <f t="shared" si="32"/>
        <v>18.383088999999998</v>
      </c>
      <c r="AB40" s="491">
        <f t="shared" si="14"/>
        <v>24.337327520091865</v>
      </c>
      <c r="AC40" s="491">
        <f t="shared" si="33"/>
        <v>12.827140999999999</v>
      </c>
      <c r="AD40" s="491">
        <f t="shared" si="15"/>
        <v>9.8373277040358733</v>
      </c>
      <c r="AE40" s="491">
        <f t="shared" si="34"/>
        <v>36.300902999999998</v>
      </c>
      <c r="AF40" s="652">
        <f t="shared" si="37"/>
        <v>37.235431819807175</v>
      </c>
      <c r="AG40" s="549">
        <v>2036</v>
      </c>
      <c r="AH40" s="544">
        <f t="shared" si="18"/>
        <v>2.3001090834125875</v>
      </c>
      <c r="AI40" s="544">
        <f t="shared" si="19"/>
        <v>4.8184411774909091</v>
      </c>
      <c r="AJ40" s="544">
        <f t="shared" si="20"/>
        <v>3.3266454529081866</v>
      </c>
      <c r="AK40" s="544">
        <f t="shared" si="21"/>
        <v>2.5497344442999994</v>
      </c>
      <c r="AL40" s="544">
        <f t="shared" si="22"/>
        <v>3.3755873270367416</v>
      </c>
      <c r="AM40" s="544">
        <f t="shared" si="23"/>
        <v>1.7791244567</v>
      </c>
      <c r="AN40" s="544">
        <f t="shared" si="24"/>
        <v>1.3644373525497757</v>
      </c>
      <c r="AO40" s="544">
        <f t="shared" si="25"/>
        <v>10.069103147044721</v>
      </c>
      <c r="AP40" s="550">
        <f t="shared" si="26"/>
        <v>5.1645543934072551</v>
      </c>
      <c r="AQ40" s="10"/>
    </row>
    <row r="41" spans="1:43" x14ac:dyDescent="0.2">
      <c r="A41" s="964">
        <v>2037</v>
      </c>
      <c r="B41" s="491">
        <v>21.440998</v>
      </c>
      <c r="C41" s="491">
        <v>32.834831000000001</v>
      </c>
      <c r="D41" s="491">
        <v>25.222816000000002</v>
      </c>
      <c r="E41" s="491">
        <v>18.624289999999998</v>
      </c>
      <c r="F41" s="491">
        <v>25.664202</v>
      </c>
      <c r="G41" s="491">
        <v>12.921616999999999</v>
      </c>
      <c r="H41" s="491">
        <v>11.344866</v>
      </c>
      <c r="I41" s="491">
        <v>36.140179000000003</v>
      </c>
      <c r="J41" s="1312">
        <f t="shared" si="36"/>
        <v>36.314142785090304</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5.0367716042920252</v>
      </c>
      <c r="U41" s="1377">
        <f>'S-curves'!AN26</f>
        <v>1.997564318453297</v>
      </c>
      <c r="W41" s="964">
        <v>2037</v>
      </c>
      <c r="X41" s="491">
        <f t="shared" si="11"/>
        <v>16.792949482517486</v>
      </c>
      <c r="Y41" s="491">
        <f t="shared" si="12"/>
        <v>34.924320245454545</v>
      </c>
      <c r="Z41" s="491">
        <f t="shared" si="13"/>
        <v>24.058162500404432</v>
      </c>
      <c r="AA41" s="491">
        <f t="shared" si="32"/>
        <v>18.624289999999998</v>
      </c>
      <c r="AB41" s="491">
        <f t="shared" si="14"/>
        <v>24.502700350821865</v>
      </c>
      <c r="AC41" s="491">
        <f t="shared" si="33"/>
        <v>12.921616999999999</v>
      </c>
      <c r="AD41" s="491">
        <f t="shared" si="15"/>
        <v>9.8186508430493262</v>
      </c>
      <c r="AE41" s="491">
        <f t="shared" si="34"/>
        <v>36.140179000000003</v>
      </c>
      <c r="AF41" s="652">
        <f t="shared" si="37"/>
        <v>36.314142785090304</v>
      </c>
      <c r="AG41" s="549">
        <v>2037</v>
      </c>
      <c r="AH41" s="544">
        <f t="shared" si="18"/>
        <v>2.329182093225175</v>
      </c>
      <c r="AI41" s="544">
        <f t="shared" si="19"/>
        <v>4.8440032180445458</v>
      </c>
      <c r="AJ41" s="544">
        <f t="shared" si="20"/>
        <v>3.3368671388060949</v>
      </c>
      <c r="AK41" s="544">
        <f t="shared" si="21"/>
        <v>2.5831890229999996</v>
      </c>
      <c r="AL41" s="544">
        <f t="shared" si="22"/>
        <v>3.3985245386589931</v>
      </c>
      <c r="AM41" s="544">
        <f t="shared" si="23"/>
        <v>1.7922282778999998</v>
      </c>
      <c r="AN41" s="544">
        <f t="shared" si="24"/>
        <v>1.3618468719309416</v>
      </c>
      <c r="AO41" s="544">
        <f t="shared" si="25"/>
        <v>10.013076452965333</v>
      </c>
      <c r="AP41" s="550">
        <f t="shared" si="26"/>
        <v>5.0367716042920252</v>
      </c>
      <c r="AQ41" s="10"/>
    </row>
    <row r="42" spans="1:43" x14ac:dyDescent="0.2">
      <c r="A42" s="964">
        <v>2038</v>
      </c>
      <c r="B42" s="491">
        <v>21.689045</v>
      </c>
      <c r="C42" s="491">
        <v>33.766201000000002</v>
      </c>
      <c r="D42" s="491">
        <v>25.499110999999999</v>
      </c>
      <c r="E42" s="491">
        <v>18.83005</v>
      </c>
      <c r="F42" s="491">
        <v>25.881091999999999</v>
      </c>
      <c r="G42" s="491">
        <v>13.491559000000001</v>
      </c>
      <c r="H42" s="491">
        <v>11.310649</v>
      </c>
      <c r="I42" s="491">
        <v>36.026969999999999</v>
      </c>
      <c r="J42" s="1312">
        <f t="shared" si="36"/>
        <v>35.469627836599827</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4.919637380936396</v>
      </c>
      <c r="U42" s="1377">
        <f>'S-curves'!AN27</f>
        <v>1.9877302162356105</v>
      </c>
      <c r="W42" s="964">
        <v>2038</v>
      </c>
      <c r="X42" s="491">
        <f t="shared" si="11"/>
        <v>16.987224055944058</v>
      </c>
      <c r="Y42" s="491">
        <f t="shared" si="12"/>
        <v>35.91495924545454</v>
      </c>
      <c r="Z42" s="491">
        <f t="shared" si="13"/>
        <v>24.321699688641036</v>
      </c>
      <c r="AA42" s="491">
        <f t="shared" si="32"/>
        <v>18.83005</v>
      </c>
      <c r="AB42" s="491">
        <f t="shared" si="14"/>
        <v>24.709774417613023</v>
      </c>
      <c r="AC42" s="491">
        <f t="shared" si="33"/>
        <v>13.491559000000001</v>
      </c>
      <c r="AD42" s="491">
        <f t="shared" si="15"/>
        <v>9.7890370269058291</v>
      </c>
      <c r="AE42" s="491">
        <f t="shared" si="34"/>
        <v>36.026969999999999</v>
      </c>
      <c r="AF42" s="652">
        <f t="shared" si="37"/>
        <v>35.469627836599827</v>
      </c>
      <c r="AG42" s="549">
        <v>2038</v>
      </c>
      <c r="AH42" s="544">
        <f t="shared" si="18"/>
        <v>2.3561279765594407</v>
      </c>
      <c r="AI42" s="544">
        <f t="shared" si="19"/>
        <v>4.9814048473445451</v>
      </c>
      <c r="AJ42" s="544">
        <f t="shared" si="20"/>
        <v>3.3734197468145117</v>
      </c>
      <c r="AK42" s="544">
        <f t="shared" si="21"/>
        <v>2.6117279350000002</v>
      </c>
      <c r="AL42" s="544">
        <f t="shared" si="22"/>
        <v>3.427245711722926</v>
      </c>
      <c r="AM42" s="544">
        <f t="shared" si="23"/>
        <v>1.8712792332999999</v>
      </c>
      <c r="AN42" s="544">
        <f t="shared" si="24"/>
        <v>1.3577394356318384</v>
      </c>
      <c r="AO42" s="544">
        <f t="shared" si="25"/>
        <v>9.932570095649</v>
      </c>
      <c r="AP42" s="550">
        <f t="shared" si="26"/>
        <v>4.919637380936396</v>
      </c>
      <c r="AQ42" s="10"/>
    </row>
    <row r="43" spans="1:43" x14ac:dyDescent="0.2">
      <c r="A43" s="964">
        <v>2039</v>
      </c>
      <c r="B43" s="491">
        <v>21.912479000000001</v>
      </c>
      <c r="C43" s="491">
        <v>34.771796999999999</v>
      </c>
      <c r="D43" s="491">
        <v>25.840990000000001</v>
      </c>
      <c r="E43" s="491">
        <v>19.106794000000001</v>
      </c>
      <c r="F43" s="491">
        <v>26.103442999999999</v>
      </c>
      <c r="G43" s="491">
        <v>13.652015</v>
      </c>
      <c r="H43" s="491">
        <v>11.269885</v>
      </c>
      <c r="I43" s="491">
        <v>35.831085000000002</v>
      </c>
      <c r="J43" s="1312">
        <f t="shared" si="36"/>
        <v>34.548338801882956</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4.7918545918211661</v>
      </c>
      <c r="U43" s="1377">
        <f>'S-curves'!AN28</f>
        <v>1.9617329724046002</v>
      </c>
      <c r="W43" s="964">
        <v>2039</v>
      </c>
      <c r="X43" s="491">
        <f t="shared" si="11"/>
        <v>17.162221314685318</v>
      </c>
      <c r="Y43" s="491">
        <f t="shared" si="12"/>
        <v>36.984547718181815</v>
      </c>
      <c r="Z43" s="491">
        <f t="shared" si="13"/>
        <v>24.647792561755434</v>
      </c>
      <c r="AA43" s="491">
        <f t="shared" si="32"/>
        <v>19.106794000000001</v>
      </c>
      <c r="AB43" s="491">
        <f t="shared" si="14"/>
        <v>24.922062332339753</v>
      </c>
      <c r="AC43" s="491">
        <f t="shared" si="33"/>
        <v>13.652015</v>
      </c>
      <c r="AD43" s="491">
        <f t="shared" si="15"/>
        <v>9.7537569730941698</v>
      </c>
      <c r="AE43" s="491">
        <f t="shared" si="34"/>
        <v>35.831085000000002</v>
      </c>
      <c r="AF43" s="652">
        <f t="shared" si="37"/>
        <v>34.548338801882956</v>
      </c>
      <c r="AG43" s="549">
        <v>2039</v>
      </c>
      <c r="AH43" s="544">
        <f t="shared" si="18"/>
        <v>2.3804000963468539</v>
      </c>
      <c r="AI43" s="544">
        <f t="shared" si="19"/>
        <v>5.1297567685118182</v>
      </c>
      <c r="AJ43" s="544">
        <f t="shared" si="20"/>
        <v>3.4186488283154786</v>
      </c>
      <c r="AK43" s="544">
        <f t="shared" si="21"/>
        <v>2.6501123278000001</v>
      </c>
      <c r="AL43" s="544">
        <f t="shared" si="22"/>
        <v>3.4566900454955234</v>
      </c>
      <c r="AM43" s="544">
        <f t="shared" si="23"/>
        <v>1.8935344805000001</v>
      </c>
      <c r="AN43" s="544">
        <f t="shared" si="24"/>
        <v>1.3528460921681613</v>
      </c>
      <c r="AO43" s="544">
        <f t="shared" si="25"/>
        <v>9.7493645962684727</v>
      </c>
      <c r="AP43" s="550">
        <f t="shared" si="26"/>
        <v>4.7918545918211661</v>
      </c>
      <c r="AQ43" s="10"/>
    </row>
    <row r="44" spans="1:43" x14ac:dyDescent="0.2">
      <c r="A44" s="965">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2">
        <f t="shared" si="36"/>
        <v>33.780597939618893</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4.6853689342251403</v>
      </c>
      <c r="U44" s="1377">
        <f>'S-curves'!AN29</f>
        <v>1.9091366474068348</v>
      </c>
      <c r="W44" s="965">
        <v>2040</v>
      </c>
      <c r="X44" s="491">
        <f t="shared" si="11"/>
        <v>17.310561006993012</v>
      </c>
      <c r="Y44" s="491">
        <f t="shared" si="12"/>
        <v>37.874732645454536</v>
      </c>
      <c r="Z44" s="491">
        <f t="shared" si="13"/>
        <v>24.735589328130555</v>
      </c>
      <c r="AA44" s="491">
        <f t="shared" si="32"/>
        <v>19.197942999999999</v>
      </c>
      <c r="AB44" s="491">
        <f t="shared" si="14"/>
        <v>24.923169833457731</v>
      </c>
      <c r="AC44" s="491">
        <f t="shared" si="33"/>
        <v>13.829222</v>
      </c>
      <c r="AD44" s="491">
        <f t="shared" si="15"/>
        <v>9.7124419910313904</v>
      </c>
      <c r="AE44" s="491">
        <f t="shared" si="34"/>
        <v>35.613166999999997</v>
      </c>
      <c r="AF44" s="652">
        <f t="shared" si="37"/>
        <v>33.780597939618893</v>
      </c>
      <c r="AG44" s="551">
        <v>2040</v>
      </c>
      <c r="AH44" s="545">
        <f t="shared" si="18"/>
        <v>2.400974811669931</v>
      </c>
      <c r="AI44" s="545">
        <f t="shared" si="19"/>
        <v>5.2532254179245434</v>
      </c>
      <c r="AJ44" s="545">
        <f t="shared" si="20"/>
        <v>3.4308262398117075</v>
      </c>
      <c r="AK44" s="545">
        <f t="shared" si="21"/>
        <v>2.6627546940999998</v>
      </c>
      <c r="AL44" s="545">
        <f t="shared" si="22"/>
        <v>3.4568436559005873</v>
      </c>
      <c r="AM44" s="545">
        <f t="shared" si="23"/>
        <v>1.9181130914</v>
      </c>
      <c r="AN44" s="545">
        <f t="shared" si="24"/>
        <v>1.347115704156054</v>
      </c>
      <c r="AO44" s="545">
        <f t="shared" si="25"/>
        <v>9.4302687920638633</v>
      </c>
      <c r="AP44" s="552">
        <f t="shared" si="26"/>
        <v>4.6853689342251403</v>
      </c>
      <c r="AQ44" s="10"/>
    </row>
    <row r="45" spans="1:43" x14ac:dyDescent="0.2">
      <c r="A45" s="964">
        <v>2041</v>
      </c>
      <c r="B45" s="491">
        <v>22.279131</v>
      </c>
      <c r="C45" s="491">
        <v>35.916091999999999</v>
      </c>
      <c r="D45" s="491">
        <v>26.118065000000001</v>
      </c>
      <c r="E45" s="491">
        <v>19.450199000000001</v>
      </c>
      <c r="F45" s="491">
        <v>26.271511</v>
      </c>
      <c r="G45" s="491">
        <v>13.942467000000001</v>
      </c>
      <c r="H45" s="491">
        <v>11.174136000000001</v>
      </c>
      <c r="I45" s="491">
        <v>35.422935000000003</v>
      </c>
      <c r="J45" s="1312">
        <f t="shared" si="36"/>
        <v>33.012857077354823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4.5788832766291137</v>
      </c>
      <c r="U45" s="1377">
        <f>'S-curves'!AN30</f>
        <v>1.8207548082982679</v>
      </c>
      <c r="W45" s="964">
        <v>2041</v>
      </c>
      <c r="X45" s="491">
        <f t="shared" si="11"/>
        <v>17.449389314685316</v>
      </c>
      <c r="Y45" s="491">
        <f t="shared" si="12"/>
        <v>38.201661490909082</v>
      </c>
      <c r="Z45" s="491">
        <f t="shared" si="13"/>
        <v>24.912073733802185</v>
      </c>
      <c r="AA45" s="491">
        <f t="shared" si="32"/>
        <v>19.450199000000001</v>
      </c>
      <c r="AB45" s="491">
        <f t="shared" si="14"/>
        <v>25.08252396845694</v>
      </c>
      <c r="AC45" s="491">
        <f t="shared" si="33"/>
        <v>13.942467000000001</v>
      </c>
      <c r="AD45" s="491">
        <f t="shared" si="15"/>
        <v>9.6708890044843052</v>
      </c>
      <c r="AE45" s="491">
        <f t="shared" si="34"/>
        <v>35.422935000000003</v>
      </c>
      <c r="AF45" s="652">
        <f t="shared" si="37"/>
        <v>33.012857077354823</v>
      </c>
      <c r="AG45" s="549">
        <v>2041</v>
      </c>
      <c r="AH45" s="544">
        <f t="shared" si="18"/>
        <v>2.4202302979468535</v>
      </c>
      <c r="AI45" s="544">
        <f t="shared" si="19"/>
        <v>5.2985704487890901</v>
      </c>
      <c r="AJ45" s="544">
        <f t="shared" si="20"/>
        <v>3.4553046268783629</v>
      </c>
      <c r="AK45" s="544">
        <f t="shared" si="21"/>
        <v>2.6977426013000003</v>
      </c>
      <c r="AL45" s="544">
        <f t="shared" si="22"/>
        <v>3.4789460744249774</v>
      </c>
      <c r="AM45" s="544">
        <f t="shared" si="23"/>
        <v>1.9338201729000002</v>
      </c>
      <c r="AN45" s="544">
        <f t="shared" si="24"/>
        <v>1.3413523049219731</v>
      </c>
      <c r="AO45" s="544">
        <f t="shared" si="25"/>
        <v>8.9456616685473076</v>
      </c>
      <c r="AP45" s="550">
        <f t="shared" si="26"/>
        <v>4.5788832766291137</v>
      </c>
      <c r="AQ45" s="10"/>
    </row>
    <row r="46" spans="1:43" x14ac:dyDescent="0.2">
      <c r="A46" s="964">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2">
        <f t="shared" si="36"/>
        <v>32.398664387543569</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4.4936947505522928</v>
      </c>
      <c r="U46" s="1377">
        <f>'S-curves'!AN31</f>
        <v>1.6935372605193146</v>
      </c>
      <c r="W46" s="964">
        <v>2042</v>
      </c>
      <c r="X46" s="491">
        <f t="shared" si="11"/>
        <v>17.679904895104897</v>
      </c>
      <c r="Y46" s="491">
        <f t="shared" si="12"/>
        <v>39.864867545454544</v>
      </c>
      <c r="Z46" s="491">
        <f t="shared" si="13"/>
        <v>25.296499706759093</v>
      </c>
      <c r="AA46" s="491">
        <f t="shared" si="32"/>
        <v>19.834574</v>
      </c>
      <c r="AB46" s="491">
        <f t="shared" si="14"/>
        <v>25.449459138431482</v>
      </c>
      <c r="AC46" s="491">
        <f t="shared" si="33"/>
        <v>13.968139000000001</v>
      </c>
      <c r="AD46" s="491">
        <f t="shared" si="15"/>
        <v>9.6588944439461883</v>
      </c>
      <c r="AE46" s="491">
        <f t="shared" si="34"/>
        <v>35.253875999999998</v>
      </c>
      <c r="AF46" s="652">
        <f t="shared" si="37"/>
        <v>32.398664387543569</v>
      </c>
      <c r="AG46" s="549">
        <v>2042</v>
      </c>
      <c r="AH46" s="544">
        <f t="shared" si="18"/>
        <v>2.452202808951049</v>
      </c>
      <c r="AI46" s="544">
        <f t="shared" si="19"/>
        <v>5.5292571285545451</v>
      </c>
      <c r="AJ46" s="544">
        <f t="shared" si="20"/>
        <v>3.5086245093274862</v>
      </c>
      <c r="AK46" s="544">
        <f t="shared" si="21"/>
        <v>2.7510554138000001</v>
      </c>
      <c r="AL46" s="544">
        <f t="shared" si="22"/>
        <v>3.5298399825004463</v>
      </c>
      <c r="AM46" s="544">
        <f t="shared" si="23"/>
        <v>1.9373808793000002</v>
      </c>
      <c r="AN46" s="544">
        <f t="shared" si="24"/>
        <v>1.3396886593753363</v>
      </c>
      <c r="AO46" s="544">
        <f t="shared" si="25"/>
        <v>8.2809104833630194</v>
      </c>
      <c r="AP46" s="550">
        <f t="shared" si="26"/>
        <v>4.4936947505522928</v>
      </c>
      <c r="AQ46" s="10"/>
    </row>
    <row r="47" spans="1:43" x14ac:dyDescent="0.2">
      <c r="A47" s="964">
        <v>2043</v>
      </c>
      <c r="B47" s="491">
        <v>22.785976000000002</v>
      </c>
      <c r="C47" s="491">
        <v>37.935295000000004</v>
      </c>
      <c r="D47" s="491">
        <v>26.736353000000001</v>
      </c>
      <c r="E47" s="491">
        <v>20.040814999999998</v>
      </c>
      <c r="F47" s="491">
        <v>26.817506999999999</v>
      </c>
      <c r="G47" s="491">
        <v>14.613647</v>
      </c>
      <c r="H47" s="491">
        <v>11.142837999999999</v>
      </c>
      <c r="I47" s="491">
        <v>34.979267</v>
      </c>
      <c r="J47" s="1312">
        <f t="shared" si="36"/>
        <v>31.861245783958722</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4.4191547902350754</v>
      </c>
      <c r="U47" s="1377">
        <f>'S-curves'!AN32</f>
        <v>1.5356388796484046</v>
      </c>
      <c r="W47" s="964">
        <v>2043</v>
      </c>
      <c r="X47" s="491">
        <f t="shared" si="11"/>
        <v>17.846358825174828</v>
      </c>
      <c r="Y47" s="491">
        <f t="shared" si="12"/>
        <v>40.349359227272728</v>
      </c>
      <c r="Z47" s="491">
        <f t="shared" si="13"/>
        <v>25.501812531248515</v>
      </c>
      <c r="AA47" s="491">
        <f t="shared" si="32"/>
        <v>20.040814999999998</v>
      </c>
      <c r="AB47" s="491">
        <f t="shared" si="14"/>
        <v>25.603809468810596</v>
      </c>
      <c r="AC47" s="491">
        <f t="shared" si="33"/>
        <v>14.613647</v>
      </c>
      <c r="AD47" s="491">
        <f t="shared" si="15"/>
        <v>9.6438014977578472</v>
      </c>
      <c r="AE47" s="491">
        <f t="shared" si="34"/>
        <v>34.979267</v>
      </c>
      <c r="AF47" s="652">
        <f t="shared" si="37"/>
        <v>31.861245783958722</v>
      </c>
      <c r="AG47" s="549">
        <v>2043</v>
      </c>
      <c r="AH47" s="544">
        <f t="shared" si="18"/>
        <v>2.4752899690517487</v>
      </c>
      <c r="AI47" s="544">
        <f t="shared" si="19"/>
        <v>5.5964561248227271</v>
      </c>
      <c r="AJ47" s="544">
        <f t="shared" si="20"/>
        <v>3.5371013980841686</v>
      </c>
      <c r="AK47" s="544">
        <f t="shared" si="21"/>
        <v>2.7796610404999997</v>
      </c>
      <c r="AL47" s="544">
        <f t="shared" si="22"/>
        <v>3.5512483733240297</v>
      </c>
      <c r="AM47" s="544">
        <f t="shared" si="23"/>
        <v>2.0269128389</v>
      </c>
      <c r="AN47" s="544">
        <f t="shared" si="24"/>
        <v>1.3375952677390133</v>
      </c>
      <c r="AO47" s="544">
        <f t="shared" si="25"/>
        <v>7.4503429550494946</v>
      </c>
      <c r="AP47" s="550">
        <f t="shared" si="26"/>
        <v>4.4191547902350754</v>
      </c>
      <c r="AQ47" s="10"/>
    </row>
    <row r="48" spans="1:43" x14ac:dyDescent="0.2">
      <c r="A48" s="964">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2">
        <f t="shared" si="36"/>
        <v>31.247053094147475</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4.3339662641582546</v>
      </c>
      <c r="U48" s="1377">
        <f>'S-curves'!AN33</f>
        <v>1.3678794411714423</v>
      </c>
      <c r="W48" s="964">
        <v>2044</v>
      </c>
      <c r="X48" s="491">
        <f t="shared" si="11"/>
        <v>18.011189146853148</v>
      </c>
      <c r="Y48" s="491">
        <f t="shared" si="12"/>
        <v>40.786452081818176</v>
      </c>
      <c r="Z48" s="491">
        <f t="shared" si="13"/>
        <v>25.701756272574713</v>
      </c>
      <c r="AA48" s="491">
        <f t="shared" si="32"/>
        <v>20.276285000000001</v>
      </c>
      <c r="AB48" s="491">
        <f t="shared" si="14"/>
        <v>25.804069539499174</v>
      </c>
      <c r="AC48" s="491">
        <f t="shared" si="33"/>
        <v>14.869235</v>
      </c>
      <c r="AD48" s="491">
        <f t="shared" si="15"/>
        <v>9.6362918071748886</v>
      </c>
      <c r="AE48" s="491">
        <f t="shared" si="34"/>
        <v>34.808914000000001</v>
      </c>
      <c r="AF48" s="652">
        <f t="shared" si="37"/>
        <v>31.247053094147475</v>
      </c>
      <c r="AG48" s="549">
        <v>2044</v>
      </c>
      <c r="AH48" s="544">
        <f t="shared" si="18"/>
        <v>2.4981519346685315</v>
      </c>
      <c r="AI48" s="544">
        <f t="shared" si="19"/>
        <v>5.6570809037481808</v>
      </c>
      <c r="AJ48" s="544">
        <f t="shared" si="20"/>
        <v>3.5648335950061125</v>
      </c>
      <c r="AK48" s="544">
        <f t="shared" si="21"/>
        <v>2.8123207295000006</v>
      </c>
      <c r="AL48" s="544">
        <f t="shared" si="22"/>
        <v>3.5790244451285353</v>
      </c>
      <c r="AM48" s="544">
        <f t="shared" si="23"/>
        <v>2.0623628945000001</v>
      </c>
      <c r="AN48" s="544">
        <f t="shared" si="24"/>
        <v>1.3365536736551569</v>
      </c>
      <c r="AO48" s="544">
        <f t="shared" si="25"/>
        <v>6.6041169790355356</v>
      </c>
      <c r="AP48" s="550">
        <f t="shared" si="26"/>
        <v>4.3339662641582546</v>
      </c>
      <c r="AQ48" s="10"/>
    </row>
    <row r="49" spans="1:43" x14ac:dyDescent="0.2">
      <c r="A49" s="965">
        <v>2045</v>
      </c>
      <c r="B49" s="491">
        <v>23.208030999999998</v>
      </c>
      <c r="C49" s="491">
        <v>38.771312999999999</v>
      </c>
      <c r="D49" s="491">
        <v>27.292883</v>
      </c>
      <c r="E49" s="491">
        <v>20.70055</v>
      </c>
      <c r="F49" s="491">
        <v>27.398430000000001</v>
      </c>
      <c r="G49" s="491">
        <v>14.895740999999999</v>
      </c>
      <c r="H49" s="491">
        <v>11.127587</v>
      </c>
      <c r="I49" s="491">
        <v>34.676597999999998</v>
      </c>
      <c r="J49" s="1312">
        <f t="shared" si="36"/>
        <v>30.709634490562621</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4.2594263038410354</v>
      </c>
      <c r="U49" s="1377">
        <f>'S-curves'!AN34</f>
        <v>1.2178043921390924</v>
      </c>
      <c r="W49" s="965">
        <v>2045</v>
      </c>
      <c r="X49" s="491">
        <f t="shared" si="11"/>
        <v>18.176919384615385</v>
      </c>
      <c r="Y49" s="491">
        <f t="shared" si="12"/>
        <v>41.238578372727268</v>
      </c>
      <c r="Z49" s="491">
        <f t="shared" si="13"/>
        <v>26.032644979788362</v>
      </c>
      <c r="AA49" s="491">
        <f t="shared" si="32"/>
        <v>20.70055</v>
      </c>
      <c r="AB49" s="491">
        <f t="shared" si="14"/>
        <v>26.158441254981096</v>
      </c>
      <c r="AC49" s="491">
        <f t="shared" si="33"/>
        <v>14.895740999999999</v>
      </c>
      <c r="AD49" s="491">
        <f t="shared" si="15"/>
        <v>9.630602201793721</v>
      </c>
      <c r="AE49" s="491">
        <f t="shared" si="34"/>
        <v>34.676597999999998</v>
      </c>
      <c r="AF49" s="652">
        <f t="shared" si="37"/>
        <v>30.709634490562621</v>
      </c>
      <c r="AG49" s="551">
        <v>2045</v>
      </c>
      <c r="AH49" s="545">
        <f t="shared" si="18"/>
        <v>2.5211387186461538</v>
      </c>
      <c r="AI49" s="545">
        <f t="shared" si="19"/>
        <v>5.7197908202972716</v>
      </c>
      <c r="AJ49" s="545">
        <f t="shared" si="20"/>
        <v>3.6107278586966456</v>
      </c>
      <c r="AK49" s="545">
        <f t="shared" si="21"/>
        <v>2.8711662850000002</v>
      </c>
      <c r="AL49" s="545">
        <f t="shared" si="22"/>
        <v>3.6281758020658783</v>
      </c>
      <c r="AM49" s="545">
        <f t="shared" si="23"/>
        <v>2.0660392766999998</v>
      </c>
      <c r="AN49" s="545">
        <f t="shared" si="24"/>
        <v>1.3357645253887891</v>
      </c>
      <c r="AO49" s="545">
        <f t="shared" si="25"/>
        <v>5.8572057614843391</v>
      </c>
      <c r="AP49" s="552">
        <f t="shared" si="26"/>
        <v>4.2594263038410354</v>
      </c>
      <c r="AQ49" s="10"/>
    </row>
    <row r="50" spans="1:43" x14ac:dyDescent="0.2">
      <c r="A50" s="964">
        <v>2046</v>
      </c>
      <c r="B50" s="491">
        <v>23.411003000000001</v>
      </c>
      <c r="C50" s="491">
        <v>39.264046</v>
      </c>
      <c r="D50" s="491">
        <v>27.377738999999998</v>
      </c>
      <c r="E50" s="491">
        <v>20.752966000000001</v>
      </c>
      <c r="F50" s="491">
        <v>27.414787</v>
      </c>
      <c r="G50" s="491">
        <v>15.526524999999999</v>
      </c>
      <c r="H50" s="491">
        <v>11.152502999999999</v>
      </c>
      <c r="I50" s="491">
        <v>34.547210999999997</v>
      </c>
      <c r="J50" s="1312">
        <f t="shared" si="36"/>
        <v>30.709634490562621</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4.2594263038410354</v>
      </c>
      <c r="U50" s="1377">
        <f>'S-curves'!AN35</f>
        <v>1.1073651555863839</v>
      </c>
      <c r="W50" s="964">
        <v>2046</v>
      </c>
      <c r="X50" s="491">
        <f t="shared" si="11"/>
        <v>18.335890461538465</v>
      </c>
      <c r="Y50" s="491">
        <f t="shared" si="12"/>
        <v>41.762667109090906</v>
      </c>
      <c r="Z50" s="491">
        <f t="shared" si="13"/>
        <v>26.113582787729168</v>
      </c>
      <c r="AA50" s="491">
        <f t="shared" si="32"/>
        <v>20.752966000000001</v>
      </c>
      <c r="AB50" s="491">
        <f t="shared" si="14"/>
        <v>26.174057975486896</v>
      </c>
      <c r="AC50" s="491">
        <f t="shared" si="33"/>
        <v>15.526524999999999</v>
      </c>
      <c r="AD50" s="491">
        <f t="shared" si="15"/>
        <v>9.6521662735425995</v>
      </c>
      <c r="AE50" s="491">
        <f t="shared" si="34"/>
        <v>34.547210999999997</v>
      </c>
      <c r="AF50" s="652">
        <f t="shared" si="37"/>
        <v>30.709634490562621</v>
      </c>
      <c r="AG50" s="549">
        <v>2046</v>
      </c>
      <c r="AH50" s="544">
        <f t="shared" si="18"/>
        <v>2.5431880070153854</v>
      </c>
      <c r="AI50" s="544">
        <f t="shared" si="19"/>
        <v>5.7924819280309094</v>
      </c>
      <c r="AJ50" s="544">
        <f t="shared" si="20"/>
        <v>3.6219539326580357</v>
      </c>
      <c r="AK50" s="544">
        <f t="shared" si="21"/>
        <v>2.8784363842</v>
      </c>
      <c r="AL50" s="544">
        <f t="shared" si="22"/>
        <v>3.6303418412000323</v>
      </c>
      <c r="AM50" s="544">
        <f t="shared" si="23"/>
        <v>2.1535290174999999</v>
      </c>
      <c r="AN50" s="544">
        <f t="shared" si="24"/>
        <v>1.3387554621403586</v>
      </c>
      <c r="AO50" s="544">
        <f t="shared" si="25"/>
        <v>5.3061595847833702</v>
      </c>
      <c r="AP50" s="550">
        <f t="shared" si="26"/>
        <v>4.2594263038410354</v>
      </c>
      <c r="AQ50" s="10"/>
    </row>
    <row r="51" spans="1:43" x14ac:dyDescent="0.2">
      <c r="A51" s="964">
        <v>2047</v>
      </c>
      <c r="B51" s="491">
        <v>23.683239</v>
      </c>
      <c r="C51" s="491">
        <v>42.460051999999997</v>
      </c>
      <c r="D51" s="491">
        <v>27.854393000000002</v>
      </c>
      <c r="E51" s="491">
        <v>21.175343999999999</v>
      </c>
      <c r="F51" s="491">
        <v>27.670738</v>
      </c>
      <c r="G51" s="491">
        <v>15.824721</v>
      </c>
      <c r="H51" s="491">
        <v>11.190495</v>
      </c>
      <c r="I51" s="491">
        <v>34.415016000000001</v>
      </c>
      <c r="J51" s="1312">
        <f t="shared" si="36"/>
        <v>30.709634490562621</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4.2594263038410354</v>
      </c>
      <c r="U51" s="1377">
        <f>'S-curves'!AN36</f>
        <v>1.0424047952694926</v>
      </c>
      <c r="W51" s="964">
        <v>2047</v>
      </c>
      <c r="X51" s="491">
        <f t="shared" si="11"/>
        <v>18.549110265734267</v>
      </c>
      <c r="Y51" s="491">
        <f t="shared" si="12"/>
        <v>45.162055309090903</v>
      </c>
      <c r="Z51" s="491">
        <f t="shared" si="13"/>
        <v>26.568227478808382</v>
      </c>
      <c r="AA51" s="491">
        <f t="shared" si="32"/>
        <v>21.175343999999999</v>
      </c>
      <c r="AB51" s="491">
        <f t="shared" si="14"/>
        <v>26.418425232941196</v>
      </c>
      <c r="AC51" s="491">
        <f t="shared" si="33"/>
        <v>15.824721</v>
      </c>
      <c r="AD51" s="491">
        <f t="shared" si="15"/>
        <v>9.685047242152466</v>
      </c>
      <c r="AE51" s="491">
        <f t="shared" si="34"/>
        <v>34.415016000000001</v>
      </c>
      <c r="AF51" s="652">
        <f t="shared" si="37"/>
        <v>30.709634490562621</v>
      </c>
      <c r="AG51" s="549">
        <v>2047</v>
      </c>
      <c r="AH51" s="544">
        <f t="shared" si="18"/>
        <v>2.5727615938573427</v>
      </c>
      <c r="AI51" s="544">
        <f t="shared" si="19"/>
        <v>6.263977071370908</v>
      </c>
      <c r="AJ51" s="544">
        <f t="shared" si="20"/>
        <v>3.6850131513107223</v>
      </c>
      <c r="AK51" s="544">
        <f t="shared" si="21"/>
        <v>2.9370202127999998</v>
      </c>
      <c r="AL51" s="544">
        <f t="shared" si="22"/>
        <v>3.6642355798089441</v>
      </c>
      <c r="AM51" s="544">
        <f t="shared" si="23"/>
        <v>2.1948888027</v>
      </c>
      <c r="AN51" s="544">
        <f t="shared" si="24"/>
        <v>1.3433160524865471</v>
      </c>
      <c r="AO51" s="544">
        <f t="shared" si="25"/>
        <v>4.9757761880547049</v>
      </c>
      <c r="AP51" s="550">
        <f t="shared" si="26"/>
        <v>4.2594263038410354</v>
      </c>
      <c r="AQ51" s="10"/>
    </row>
    <row r="52" spans="1:43" x14ac:dyDescent="0.2">
      <c r="A52" s="964">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2">
        <f t="shared" si="36"/>
        <v>30.709634490562621</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4.2594263038410354</v>
      </c>
      <c r="U52" s="1377">
        <f>'S-curves'!AN37</f>
        <v>1.0128662537190456</v>
      </c>
      <c r="W52" s="964">
        <v>2048</v>
      </c>
      <c r="X52" s="491">
        <f t="shared" si="11"/>
        <v>18.766499132867136</v>
      </c>
      <c r="Y52" s="491">
        <f t="shared" si="12"/>
        <v>46.315446627272721</v>
      </c>
      <c r="Z52" s="491">
        <f t="shared" si="13"/>
        <v>26.875046402112986</v>
      </c>
      <c r="AA52" s="491">
        <f t="shared" si="32"/>
        <v>21.518598999999998</v>
      </c>
      <c r="AB52" s="491">
        <f t="shared" si="14"/>
        <v>26.642640743760058</v>
      </c>
      <c r="AC52" s="491">
        <f t="shared" si="33"/>
        <v>16.030633999999999</v>
      </c>
      <c r="AD52" s="491">
        <f t="shared" si="15"/>
        <v>9.7018114125560544</v>
      </c>
      <c r="AE52" s="491">
        <f t="shared" si="34"/>
        <v>34.257465000000003</v>
      </c>
      <c r="AF52" s="652">
        <f t="shared" si="37"/>
        <v>30.709634490562621</v>
      </c>
      <c r="AG52" s="549">
        <v>2048</v>
      </c>
      <c r="AH52" s="544">
        <f t="shared" si="18"/>
        <v>2.6029134297286718</v>
      </c>
      <c r="AI52" s="544">
        <f t="shared" si="19"/>
        <v>6.4239524472027263</v>
      </c>
      <c r="AJ52" s="544">
        <f t="shared" si="20"/>
        <v>3.7275689359730708</v>
      </c>
      <c r="AK52" s="544">
        <f t="shared" si="21"/>
        <v>2.9846296812999999</v>
      </c>
      <c r="AL52" s="544">
        <f t="shared" si="22"/>
        <v>3.6953342711595201</v>
      </c>
      <c r="AM52" s="544">
        <f t="shared" si="23"/>
        <v>2.2234489358</v>
      </c>
      <c r="AN52" s="544">
        <f t="shared" si="24"/>
        <v>1.3456412429215248</v>
      </c>
      <c r="AO52" s="544">
        <f t="shared" si="25"/>
        <v>4.8126445337971857</v>
      </c>
      <c r="AP52" s="550">
        <f t="shared" si="26"/>
        <v>4.2594263038410354</v>
      </c>
      <c r="AQ52" s="10"/>
    </row>
    <row r="53" spans="1:43" x14ac:dyDescent="0.2">
      <c r="A53" s="964">
        <v>2049</v>
      </c>
      <c r="B53" s="491">
        <v>24.167490000000001</v>
      </c>
      <c r="C53" s="491">
        <v>43.591911000000003</v>
      </c>
      <c r="D53" s="491">
        <v>28.421361999999998</v>
      </c>
      <c r="E53" s="491">
        <v>21.766680000000001</v>
      </c>
      <c r="F53" s="491">
        <v>28.076466</v>
      </c>
      <c r="G53" s="491">
        <v>16.223696</v>
      </c>
      <c r="H53" s="491">
        <v>11.231529999999999</v>
      </c>
      <c r="I53" s="491">
        <v>34.011459000000002</v>
      </c>
      <c r="J53" s="1312">
        <f t="shared" si="36"/>
        <v>30.709634490562621</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4.2594263038410354</v>
      </c>
      <c r="U53" s="1377">
        <f>'S-curves'!AN38</f>
        <v>1.0028649482287073</v>
      </c>
      <c r="W53" s="964">
        <v>2049</v>
      </c>
      <c r="X53" s="491">
        <f t="shared" si="11"/>
        <v>18.928383776223779</v>
      </c>
      <c r="Y53" s="491">
        <f t="shared" si="12"/>
        <v>46.3659417</v>
      </c>
      <c r="Z53" s="491">
        <f t="shared" si="13"/>
        <v>27.109016910674029</v>
      </c>
      <c r="AA53" s="491">
        <f t="shared" si="32"/>
        <v>21.766680000000001</v>
      </c>
      <c r="AB53" s="491">
        <f t="shared" si="14"/>
        <v>26.805790934315361</v>
      </c>
      <c r="AC53" s="491">
        <f t="shared" si="33"/>
        <v>16.223696</v>
      </c>
      <c r="AD53" s="491">
        <f t="shared" si="15"/>
        <v>9.7205618385650219</v>
      </c>
      <c r="AE53" s="491">
        <f t="shared" si="34"/>
        <v>34.011459000000002</v>
      </c>
      <c r="AF53" s="652">
        <f t="shared" si="37"/>
        <v>30.709634490562621</v>
      </c>
      <c r="AG53" s="549">
        <v>2049</v>
      </c>
      <c r="AH53" s="544">
        <f t="shared" si="18"/>
        <v>2.6253668297622381</v>
      </c>
      <c r="AI53" s="544">
        <f t="shared" si="19"/>
        <v>6.4309561137899998</v>
      </c>
      <c r="AJ53" s="544">
        <f t="shared" si="20"/>
        <v>3.7600206455104876</v>
      </c>
      <c r="AK53" s="544">
        <f t="shared" si="21"/>
        <v>3.0190385160000002</v>
      </c>
      <c r="AL53" s="544">
        <f t="shared" si="22"/>
        <v>3.7179632025895408</v>
      </c>
      <c r="AM53" s="544">
        <f t="shared" si="23"/>
        <v>2.2502266351999998</v>
      </c>
      <c r="AN53" s="544">
        <f t="shared" si="24"/>
        <v>1.3482419270089685</v>
      </c>
      <c r="AO53" s="544">
        <f t="shared" si="25"/>
        <v>4.7309044396005095</v>
      </c>
      <c r="AP53" s="550">
        <f t="shared" si="26"/>
        <v>4.2594263038410354</v>
      </c>
      <c r="AQ53" s="10"/>
    </row>
    <row r="54" spans="1:43" ht="15" thickBot="1" x14ac:dyDescent="0.25">
      <c r="A54" s="966">
        <v>2050</v>
      </c>
      <c r="B54" s="564">
        <v>24.36318</v>
      </c>
      <c r="C54" s="564">
        <v>43.892014000000003</v>
      </c>
      <c r="D54" s="564">
        <v>28.630436</v>
      </c>
      <c r="E54" s="564">
        <v>21.858753</v>
      </c>
      <c r="F54" s="564">
        <v>28.233941999999999</v>
      </c>
      <c r="G54" s="564">
        <v>15.660544</v>
      </c>
      <c r="H54" s="564">
        <v>11.277456000000001</v>
      </c>
      <c r="I54" s="564">
        <v>33.779319999999998</v>
      </c>
      <c r="J54" s="1313">
        <f t="shared" si="36"/>
        <v>30.709634490562621</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4.2594263038410354</v>
      </c>
      <c r="U54" s="1377">
        <f>'S-curves'!AN39</f>
        <v>1.000445617595592</v>
      </c>
      <c r="W54" s="966">
        <v>2050</v>
      </c>
      <c r="X54" s="564">
        <f t="shared" si="11"/>
        <v>19.081651468531472</v>
      </c>
      <c r="Y54" s="564">
        <f t="shared" si="12"/>
        <v>46.685142163636364</v>
      </c>
      <c r="Z54" s="564">
        <f t="shared" si="13"/>
        <v>27.30843700185693</v>
      </c>
      <c r="AA54" s="564">
        <f t="shared" si="32"/>
        <v>21.858753</v>
      </c>
      <c r="AB54" s="564">
        <f t="shared" si="14"/>
        <v>26.956139939534616</v>
      </c>
      <c r="AC54" s="564">
        <f t="shared" si="33"/>
        <v>15.660544</v>
      </c>
      <c r="AD54" s="564">
        <f t="shared" si="15"/>
        <v>9.7603094529147985</v>
      </c>
      <c r="AE54" s="564">
        <f t="shared" si="34"/>
        <v>33.779319999999998</v>
      </c>
      <c r="AF54" s="653">
        <f t="shared" si="37"/>
        <v>30.709634490562621</v>
      </c>
      <c r="AG54" s="553">
        <v>2050</v>
      </c>
      <c r="AH54" s="554">
        <f t="shared" si="18"/>
        <v>2.6466250586853155</v>
      </c>
      <c r="AI54" s="554">
        <f t="shared" si="19"/>
        <v>6.4752292180963638</v>
      </c>
      <c r="AJ54" s="554">
        <f t="shared" si="20"/>
        <v>3.7876802121575563</v>
      </c>
      <c r="AK54" s="554">
        <f t="shared" si="21"/>
        <v>3.0318090410999998</v>
      </c>
      <c r="AL54" s="554">
        <f t="shared" si="22"/>
        <v>3.7388166096134512</v>
      </c>
      <c r="AM54" s="554">
        <f t="shared" si="23"/>
        <v>2.1721174528000002</v>
      </c>
      <c r="AN54" s="554">
        <f t="shared" si="24"/>
        <v>1.3537549211192825</v>
      </c>
      <c r="AO54" s="554">
        <f t="shared" si="25"/>
        <v>4.6872794878531119</v>
      </c>
      <c r="AP54" s="555">
        <f t="shared" si="26"/>
        <v>4.2594263038410354</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9">+B55/8</f>
        <v>#REF!</v>
      </c>
      <c r="M55" s="66" t="e">
        <f t="shared" ref="M55:M58" si="40">+C55/8</f>
        <v>#REF!</v>
      </c>
      <c r="N55" s="57" t="e">
        <f t="shared" ref="N55:N58" si="41">+D55/8</f>
        <v>#REF!</v>
      </c>
      <c r="O55" s="57" t="e">
        <f t="shared" ref="O55:O58" si="42">+E55/8</f>
        <v>#REF!</v>
      </c>
      <c r="P55" s="57" t="e">
        <f t="shared" ref="P55:P58" si="43">+F55/8</f>
        <v>#REF!</v>
      </c>
      <c r="Q55" s="57"/>
      <c r="R55" s="57"/>
      <c r="S55" s="57" t="e">
        <f>+G55/8</f>
        <v>#REF!</v>
      </c>
      <c r="T55" s="57"/>
      <c r="W55" s="3">
        <v>2051</v>
      </c>
      <c r="X55" s="62" t="e">
        <f t="shared" si="11"/>
        <v>#REF!</v>
      </c>
      <c r="Y55" s="63" t="e">
        <f t="shared" si="12"/>
        <v>#REF!</v>
      </c>
      <c r="Z55" s="64" t="e">
        <f t="shared" si="13"/>
        <v>#REF!</v>
      </c>
      <c r="AA55" s="64" t="e">
        <f>+(#REF!/#REF!)^0.2*#REF!</f>
        <v>#REF!</v>
      </c>
      <c r="AB55" s="64" t="e">
        <f t="shared" si="14"/>
        <v>#REF!</v>
      </c>
      <c r="AC55" s="64" t="e">
        <f>+(#REF!/#REF!)^0.2*#REF!</f>
        <v>#REF!</v>
      </c>
      <c r="AD55" s="64"/>
      <c r="AE55" s="64"/>
      <c r="AF55" s="64"/>
      <c r="AG55" s="63"/>
      <c r="AH55" s="65" t="e">
        <f t="shared" ref="AH55:AL58" si="44">+X55/8</f>
        <v>#REF!</v>
      </c>
      <c r="AI55" s="66" t="e">
        <f t="shared" si="44"/>
        <v>#REF!</v>
      </c>
      <c r="AJ55" s="57" t="e">
        <f t="shared" si="44"/>
        <v>#REF!</v>
      </c>
      <c r="AK55" s="57" t="e">
        <f t="shared" si="44"/>
        <v>#REF!</v>
      </c>
      <c r="AL55" s="57" t="e">
        <f t="shared" si="44"/>
        <v>#REF!</v>
      </c>
      <c r="AM55" s="57"/>
      <c r="AN55" s="57"/>
      <c r="AO55" s="57">
        <f t="shared" ref="AO55:AO58" si="45">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9"/>
        <v>#REF!</v>
      </c>
      <c r="M56" s="60" t="e">
        <f t="shared" si="40"/>
        <v>#REF!</v>
      </c>
      <c r="N56" s="57" t="e">
        <f t="shared" si="41"/>
        <v>#REF!</v>
      </c>
      <c r="O56" s="57" t="e">
        <f t="shared" si="42"/>
        <v>#REF!</v>
      </c>
      <c r="P56" s="57" t="e">
        <f t="shared" si="43"/>
        <v>#REF!</v>
      </c>
      <c r="Q56" s="57"/>
      <c r="R56" s="57"/>
      <c r="S56" s="57" t="e">
        <f>+G56/8</f>
        <v>#REF!</v>
      </c>
      <c r="T56" s="57"/>
      <c r="W56" s="67">
        <v>2052</v>
      </c>
      <c r="X56" s="61" t="e">
        <f t="shared" si="11"/>
        <v>#REF!</v>
      </c>
      <c r="Y56" s="63" t="e">
        <f t="shared" si="12"/>
        <v>#REF!</v>
      </c>
      <c r="Z56" s="64" t="e">
        <f t="shared" si="13"/>
        <v>#REF!</v>
      </c>
      <c r="AA56" s="64" t="e">
        <f>+(#REF!/#REF!)^0.2*AA55</f>
        <v>#REF!</v>
      </c>
      <c r="AB56" s="64" t="e">
        <f t="shared" si="14"/>
        <v>#REF!</v>
      </c>
      <c r="AC56" s="64" t="e">
        <f>+(#REF!/#REF!)^0.2*AC55</f>
        <v>#REF!</v>
      </c>
      <c r="AD56" s="64"/>
      <c r="AE56" s="64"/>
      <c r="AF56" s="64"/>
      <c r="AG56" s="63"/>
      <c r="AH56" s="65" t="e">
        <f t="shared" si="44"/>
        <v>#REF!</v>
      </c>
      <c r="AI56" s="60" t="e">
        <f t="shared" si="44"/>
        <v>#REF!</v>
      </c>
      <c r="AJ56" s="57" t="e">
        <f t="shared" si="44"/>
        <v>#REF!</v>
      </c>
      <c r="AK56" s="57" t="e">
        <f t="shared" si="44"/>
        <v>#REF!</v>
      </c>
      <c r="AL56" s="57" t="e">
        <f t="shared" si="44"/>
        <v>#REF!</v>
      </c>
      <c r="AM56" s="57"/>
      <c r="AN56" s="57"/>
      <c r="AO56" s="57">
        <f t="shared" si="45"/>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9"/>
        <v>#REF!</v>
      </c>
      <c r="M57" s="60" t="e">
        <f t="shared" si="40"/>
        <v>#REF!</v>
      </c>
      <c r="N57" s="57" t="e">
        <f t="shared" si="41"/>
        <v>#REF!</v>
      </c>
      <c r="O57" s="57" t="e">
        <f t="shared" si="42"/>
        <v>#REF!</v>
      </c>
      <c r="P57" s="57" t="e">
        <f t="shared" si="43"/>
        <v>#REF!</v>
      </c>
      <c r="Q57" s="57"/>
      <c r="R57" s="57"/>
      <c r="S57" s="57" t="e">
        <f>+G57/8</f>
        <v>#REF!</v>
      </c>
      <c r="T57" s="57"/>
      <c r="W57" s="3">
        <v>2053</v>
      </c>
      <c r="X57" s="61" t="e">
        <f t="shared" si="11"/>
        <v>#REF!</v>
      </c>
      <c r="Y57" s="63" t="e">
        <f t="shared" si="12"/>
        <v>#REF!</v>
      </c>
      <c r="Z57" s="64" t="e">
        <f t="shared" si="13"/>
        <v>#REF!</v>
      </c>
      <c r="AA57" s="64" t="e">
        <f>+(#REF!/#REF!)^0.2*AA56</f>
        <v>#REF!</v>
      </c>
      <c r="AB57" s="64" t="e">
        <f t="shared" si="14"/>
        <v>#REF!</v>
      </c>
      <c r="AC57" s="64" t="e">
        <f>+(#REF!/#REF!)^0.2*AC56</f>
        <v>#REF!</v>
      </c>
      <c r="AD57" s="64"/>
      <c r="AE57" s="64"/>
      <c r="AF57" s="64"/>
      <c r="AG57" s="63"/>
      <c r="AH57" s="65" t="e">
        <f t="shared" si="44"/>
        <v>#REF!</v>
      </c>
      <c r="AI57" s="60" t="e">
        <f t="shared" si="44"/>
        <v>#REF!</v>
      </c>
      <c r="AJ57" s="57" t="e">
        <f t="shared" si="44"/>
        <v>#REF!</v>
      </c>
      <c r="AK57" s="57" t="e">
        <f t="shared" si="44"/>
        <v>#REF!</v>
      </c>
      <c r="AL57" s="57" t="e">
        <f t="shared" si="44"/>
        <v>#REF!</v>
      </c>
      <c r="AM57" s="57"/>
      <c r="AN57" s="57"/>
      <c r="AO57" s="57">
        <f t="shared" si="45"/>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9"/>
        <v>#REF!</v>
      </c>
      <c r="M58" s="60" t="e">
        <f t="shared" si="40"/>
        <v>#REF!</v>
      </c>
      <c r="N58" s="57" t="e">
        <f t="shared" si="41"/>
        <v>#REF!</v>
      </c>
      <c r="O58" s="57" t="e">
        <f t="shared" si="42"/>
        <v>#REF!</v>
      </c>
      <c r="P58" s="57" t="e">
        <f t="shared" si="43"/>
        <v>#REF!</v>
      </c>
      <c r="Q58" s="57"/>
      <c r="R58" s="57"/>
      <c r="S58" s="57" t="e">
        <f>+G58/8</f>
        <v>#REF!</v>
      </c>
      <c r="T58" s="57"/>
      <c r="W58" s="67">
        <v>2054</v>
      </c>
      <c r="X58" s="61" t="e">
        <f t="shared" si="11"/>
        <v>#REF!</v>
      </c>
      <c r="Y58" s="63" t="e">
        <f t="shared" si="12"/>
        <v>#REF!</v>
      </c>
      <c r="Z58" s="64" t="e">
        <f t="shared" si="13"/>
        <v>#REF!</v>
      </c>
      <c r="AA58" s="64" t="e">
        <f>+(#REF!/#REF!)^0.2*AA57</f>
        <v>#REF!</v>
      </c>
      <c r="AB58" s="64" t="e">
        <f t="shared" si="14"/>
        <v>#REF!</v>
      </c>
      <c r="AC58" s="64" t="e">
        <f>+(#REF!/#REF!)^0.2*AC57</f>
        <v>#REF!</v>
      </c>
      <c r="AD58" s="64"/>
      <c r="AE58" s="64"/>
      <c r="AF58" s="64"/>
      <c r="AG58" s="63"/>
      <c r="AH58" s="65" t="e">
        <f t="shared" si="44"/>
        <v>#REF!</v>
      </c>
      <c r="AI58" s="60" t="e">
        <f t="shared" si="44"/>
        <v>#REF!</v>
      </c>
      <c r="AJ58" s="57" t="e">
        <f t="shared" si="44"/>
        <v>#REF!</v>
      </c>
      <c r="AK58" s="57" t="e">
        <f t="shared" si="44"/>
        <v>#REF!</v>
      </c>
      <c r="AL58" s="57" t="e">
        <f t="shared" si="44"/>
        <v>#REF!</v>
      </c>
      <c r="AM58" s="57"/>
      <c r="AN58" s="57"/>
      <c r="AO58" s="57">
        <f t="shared" si="45"/>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437</v>
      </c>
      <c r="F60" s="64"/>
      <c r="J60" s="56" t="s">
        <v>368</v>
      </c>
      <c r="W60" s="56"/>
      <c r="AA60" s="7"/>
      <c r="AB60" s="64"/>
      <c r="AC60" s="7"/>
      <c r="AD60" s="7"/>
      <c r="AE60" s="7"/>
      <c r="AF60" s="56" t="s">
        <v>368</v>
      </c>
      <c r="AG60" s="53"/>
    </row>
    <row r="61" spans="1:43" ht="15" thickBot="1" x14ac:dyDescent="0.25">
      <c r="A61" s="571" t="s">
        <v>438</v>
      </c>
      <c r="F61" s="64"/>
      <c r="K61" s="7" t="s">
        <v>356</v>
      </c>
      <c r="W61" s="571"/>
      <c r="AA61" s="7"/>
      <c r="AB61" s="64"/>
      <c r="AC61" s="7"/>
      <c r="AD61" s="7"/>
      <c r="AF61" s="53"/>
      <c r="AG61" s="7" t="s">
        <v>356</v>
      </c>
    </row>
    <row r="62" spans="1:43" x14ac:dyDescent="0.2">
      <c r="A62" s="69" t="s">
        <v>7</v>
      </c>
      <c r="J62" s="962">
        <v>2007</v>
      </c>
      <c r="K62" s="652">
        <v>10</v>
      </c>
      <c r="W62" s="69"/>
      <c r="AA62" s="7"/>
      <c r="AB62" s="7"/>
      <c r="AC62" s="7"/>
      <c r="AD62" s="7"/>
      <c r="AF62" s="1286">
        <v>2007</v>
      </c>
      <c r="AG62" s="652">
        <v>10</v>
      </c>
    </row>
    <row r="63" spans="1:43" x14ac:dyDescent="0.2">
      <c r="A63" s="3" t="s">
        <v>8</v>
      </c>
      <c r="J63" s="487">
        <v>2008</v>
      </c>
      <c r="K63" s="652">
        <v>10</v>
      </c>
      <c r="AA63" s="7"/>
      <c r="AB63" s="7"/>
      <c r="AC63" s="7"/>
      <c r="AD63" s="7"/>
      <c r="AF63" s="489">
        <v>2008</v>
      </c>
      <c r="AG63" s="652">
        <v>10</v>
      </c>
    </row>
    <row r="64" spans="1:43" x14ac:dyDescent="0.2">
      <c r="J64" s="487">
        <v>2009</v>
      </c>
      <c r="K64" s="652">
        <v>10</v>
      </c>
      <c r="AF64" s="489">
        <v>2009</v>
      </c>
      <c r="AG64" s="652">
        <v>10</v>
      </c>
    </row>
    <row r="65" spans="2:33" x14ac:dyDescent="0.2">
      <c r="J65" s="488">
        <v>2010</v>
      </c>
      <c r="K65" s="652">
        <v>10</v>
      </c>
      <c r="AF65" s="489">
        <v>2010</v>
      </c>
      <c r="AG65" s="652">
        <v>10</v>
      </c>
    </row>
    <row r="66" spans="2:33" x14ac:dyDescent="0.2">
      <c r="J66" s="489">
        <v>2011</v>
      </c>
      <c r="K66" s="652">
        <v>10</v>
      </c>
      <c r="AF66" s="489">
        <v>2011</v>
      </c>
      <c r="AG66" s="652">
        <v>10</v>
      </c>
    </row>
    <row r="67" spans="2:33" x14ac:dyDescent="0.2">
      <c r="J67" s="964">
        <v>2012</v>
      </c>
      <c r="K67" s="652">
        <v>10</v>
      </c>
      <c r="AF67" s="964">
        <v>2012</v>
      </c>
      <c r="AG67" s="652">
        <v>10</v>
      </c>
    </row>
    <row r="68" spans="2:33" x14ac:dyDescent="0.2">
      <c r="J68" s="964">
        <v>2013</v>
      </c>
      <c r="K68" s="652">
        <v>10</v>
      </c>
      <c r="AF68" s="964">
        <v>2013</v>
      </c>
      <c r="AG68" s="652">
        <v>10</v>
      </c>
    </row>
    <row r="69" spans="2:33" x14ac:dyDescent="0.2">
      <c r="J69" s="964">
        <v>2014</v>
      </c>
      <c r="K69" s="652">
        <v>10</v>
      </c>
      <c r="AF69" s="964">
        <v>2014</v>
      </c>
      <c r="AG69" s="652">
        <v>10</v>
      </c>
    </row>
    <row r="70" spans="2:33" x14ac:dyDescent="0.2">
      <c r="J70" s="965">
        <v>2015</v>
      </c>
      <c r="K70" s="652">
        <v>14</v>
      </c>
      <c r="AF70" s="964">
        <v>2015</v>
      </c>
      <c r="AG70" s="652">
        <v>10</v>
      </c>
    </row>
    <row r="71" spans="2:33" x14ac:dyDescent="0.2">
      <c r="B71" s="70"/>
      <c r="D71" s="70"/>
      <c r="J71" s="964">
        <v>2016</v>
      </c>
      <c r="K71" s="651">
        <v>14</v>
      </c>
      <c r="AF71" s="964">
        <v>2016</v>
      </c>
      <c r="AG71" s="651">
        <v>10</v>
      </c>
    </row>
    <row r="72" spans="2:33" x14ac:dyDescent="0.2">
      <c r="B72" s="70"/>
      <c r="D72" s="70"/>
      <c r="J72" s="964">
        <v>2017</v>
      </c>
      <c r="K72" s="652">
        <v>14</v>
      </c>
      <c r="AF72" s="964">
        <v>2017</v>
      </c>
      <c r="AG72" s="652">
        <v>10</v>
      </c>
    </row>
    <row r="73" spans="2:33" x14ac:dyDescent="0.2">
      <c r="B73" s="70"/>
      <c r="D73" s="70"/>
      <c r="J73" s="964">
        <v>2018</v>
      </c>
      <c r="K73" s="652">
        <v>14</v>
      </c>
      <c r="AF73" s="964">
        <v>2018</v>
      </c>
      <c r="AG73" s="652">
        <v>10</v>
      </c>
    </row>
    <row r="74" spans="2:33" x14ac:dyDescent="0.2">
      <c r="B74" s="70"/>
      <c r="D74" s="70"/>
      <c r="J74" s="964">
        <v>2019</v>
      </c>
      <c r="K74" s="652">
        <v>14</v>
      </c>
      <c r="AF74" s="964">
        <v>2019</v>
      </c>
      <c r="AG74" s="652">
        <v>10</v>
      </c>
    </row>
    <row r="75" spans="2:33" x14ac:dyDescent="0.2">
      <c r="B75" s="70"/>
      <c r="D75" s="70"/>
      <c r="J75" s="965">
        <v>2020</v>
      </c>
      <c r="K75" s="652">
        <v>14</v>
      </c>
      <c r="AF75" s="964">
        <v>2020</v>
      </c>
      <c r="AG75" s="652">
        <v>10</v>
      </c>
    </row>
    <row r="76" spans="2:33" x14ac:dyDescent="0.2">
      <c r="B76" s="70"/>
      <c r="D76" s="70"/>
      <c r="J76" s="964">
        <v>2021</v>
      </c>
      <c r="K76" s="652">
        <v>14</v>
      </c>
      <c r="AF76" s="964">
        <v>2021</v>
      </c>
      <c r="AG76" s="652">
        <v>9.6</v>
      </c>
    </row>
    <row r="77" spans="2:33" x14ac:dyDescent="0.2">
      <c r="B77" s="70"/>
      <c r="D77" s="70"/>
      <c r="J77" s="964">
        <v>2022</v>
      </c>
      <c r="K77" s="652">
        <v>14</v>
      </c>
      <c r="AF77" s="964">
        <v>2022</v>
      </c>
      <c r="AG77" s="652">
        <v>8.9</v>
      </c>
    </row>
    <row r="78" spans="2:33" x14ac:dyDescent="0.2">
      <c r="B78" s="70"/>
      <c r="D78" s="70"/>
      <c r="J78" s="964">
        <v>2023</v>
      </c>
      <c r="K78" s="652">
        <v>12.5</v>
      </c>
      <c r="AF78" s="964">
        <v>2023</v>
      </c>
      <c r="AG78" s="652">
        <v>7.7</v>
      </c>
    </row>
    <row r="79" spans="2:33" x14ac:dyDescent="0.2">
      <c r="B79" s="70"/>
      <c r="D79" s="70"/>
      <c r="J79" s="964">
        <v>2024</v>
      </c>
      <c r="K79" s="652">
        <v>9</v>
      </c>
      <c r="AF79" s="964">
        <v>2024</v>
      </c>
      <c r="AG79" s="652">
        <v>6.5</v>
      </c>
    </row>
    <row r="80" spans="2:33" x14ac:dyDescent="0.2">
      <c r="B80" s="70"/>
      <c r="D80" s="70"/>
      <c r="J80" s="965">
        <v>2025</v>
      </c>
      <c r="K80" s="652">
        <v>7</v>
      </c>
      <c r="AF80" s="964">
        <v>2025</v>
      </c>
      <c r="AG80" s="652">
        <v>6</v>
      </c>
    </row>
    <row r="81" spans="2:33" x14ac:dyDescent="0.2">
      <c r="B81" s="70"/>
      <c r="D81" s="70"/>
      <c r="J81" s="964">
        <v>2026</v>
      </c>
      <c r="K81" s="652">
        <v>6.7</v>
      </c>
      <c r="AF81" s="964">
        <v>2026</v>
      </c>
      <c r="AG81" s="652">
        <v>5.82</v>
      </c>
    </row>
    <row r="82" spans="2:33" x14ac:dyDescent="0.2">
      <c r="B82" s="70"/>
      <c r="D82" s="70"/>
      <c r="J82" s="964">
        <v>2027</v>
      </c>
      <c r="K82" s="652">
        <v>6.5</v>
      </c>
      <c r="AF82" s="964">
        <v>2027</v>
      </c>
      <c r="AG82" s="652">
        <v>5.68</v>
      </c>
    </row>
    <row r="83" spans="2:33" x14ac:dyDescent="0.2">
      <c r="B83" s="70"/>
      <c r="D83" s="70"/>
      <c r="J83" s="964">
        <v>2028</v>
      </c>
      <c r="K83" s="652">
        <v>6.25</v>
      </c>
      <c r="AF83" s="964">
        <v>2028</v>
      </c>
      <c r="AG83" s="652">
        <v>5.54</v>
      </c>
    </row>
    <row r="84" spans="2:33" x14ac:dyDescent="0.2">
      <c r="B84" s="70"/>
      <c r="D84" s="70"/>
      <c r="J84" s="964">
        <v>2029</v>
      </c>
      <c r="K84" s="652">
        <v>6.05</v>
      </c>
      <c r="AF84" s="964">
        <v>2029</v>
      </c>
      <c r="AG84" s="652">
        <v>5.46</v>
      </c>
    </row>
    <row r="85" spans="2:33" x14ac:dyDescent="0.2">
      <c r="B85" s="70"/>
      <c r="D85" s="70"/>
      <c r="J85" s="965">
        <v>2030</v>
      </c>
      <c r="K85" s="652">
        <v>5.92</v>
      </c>
      <c r="AF85" s="964">
        <v>2030</v>
      </c>
      <c r="AG85" s="652">
        <v>5.38</v>
      </c>
    </row>
    <row r="86" spans="2:33" x14ac:dyDescent="0.2">
      <c r="B86" s="70"/>
      <c r="D86" s="70"/>
      <c r="J86" s="964">
        <v>2031</v>
      </c>
      <c r="K86" s="652">
        <v>5.75</v>
      </c>
      <c r="AF86" s="964">
        <v>2031</v>
      </c>
      <c r="AG86" s="652">
        <v>5.3</v>
      </c>
    </row>
    <row r="87" spans="2:33" x14ac:dyDescent="0.2">
      <c r="B87" s="70"/>
      <c r="D87" s="70"/>
      <c r="J87" s="964">
        <v>2032</v>
      </c>
      <c r="K87" s="652">
        <v>5.55</v>
      </c>
      <c r="AF87" s="964">
        <v>2032</v>
      </c>
      <c r="AG87" s="652">
        <v>5.22</v>
      </c>
    </row>
    <row r="88" spans="2:33" x14ac:dyDescent="0.2">
      <c r="B88" s="70"/>
      <c r="D88" s="70"/>
      <c r="J88" s="964">
        <v>2033</v>
      </c>
      <c r="K88" s="652">
        <v>5.36</v>
      </c>
      <c r="AF88" s="964">
        <v>2033</v>
      </c>
      <c r="AG88" s="652">
        <v>5.14</v>
      </c>
    </row>
    <row r="89" spans="2:33" x14ac:dyDescent="0.2">
      <c r="B89" s="70"/>
      <c r="D89" s="70"/>
      <c r="J89" s="964">
        <v>2034</v>
      </c>
      <c r="K89" s="652">
        <v>5.17</v>
      </c>
      <c r="AF89" s="964">
        <v>2034</v>
      </c>
      <c r="AG89" s="652">
        <v>5.07</v>
      </c>
    </row>
    <row r="90" spans="2:33" x14ac:dyDescent="0.2">
      <c r="B90" s="70"/>
      <c r="D90" s="70"/>
      <c r="J90" s="965">
        <v>2035</v>
      </c>
      <c r="K90" s="652">
        <v>5</v>
      </c>
      <c r="AF90" s="964">
        <v>2035</v>
      </c>
      <c r="AG90" s="652">
        <v>5</v>
      </c>
    </row>
    <row r="91" spans="2:33" x14ac:dyDescent="0.2">
      <c r="B91" s="70"/>
      <c r="D91" s="70"/>
      <c r="J91" s="964">
        <v>2036</v>
      </c>
      <c r="K91" s="652">
        <v>4.8499999999999996</v>
      </c>
      <c r="AF91" s="964">
        <v>2036</v>
      </c>
      <c r="AG91" s="652">
        <v>4.8499999999999996</v>
      </c>
    </row>
    <row r="92" spans="2:33" x14ac:dyDescent="0.2">
      <c r="B92" s="70"/>
      <c r="D92" s="70"/>
      <c r="J92" s="964">
        <v>2037</v>
      </c>
      <c r="K92" s="652">
        <v>4.7300000000000004</v>
      </c>
      <c r="AF92" s="964">
        <v>2037</v>
      </c>
      <c r="AG92" s="652">
        <v>4.7300000000000004</v>
      </c>
    </row>
    <row r="93" spans="2:33" x14ac:dyDescent="0.2">
      <c r="B93" s="70"/>
      <c r="D93" s="70"/>
      <c r="J93" s="964">
        <v>2038</v>
      </c>
      <c r="K93" s="652">
        <v>4.62</v>
      </c>
      <c r="AF93" s="964">
        <v>2038</v>
      </c>
      <c r="AG93" s="652">
        <v>4.62</v>
      </c>
    </row>
    <row r="94" spans="2:33" x14ac:dyDescent="0.2">
      <c r="B94" s="70"/>
      <c r="D94" s="70"/>
      <c r="J94" s="964">
        <v>2039</v>
      </c>
      <c r="K94" s="652">
        <v>4.5</v>
      </c>
      <c r="AF94" s="964">
        <v>2039</v>
      </c>
      <c r="AG94" s="652">
        <v>4.5</v>
      </c>
    </row>
    <row r="95" spans="2:33" x14ac:dyDescent="0.2">
      <c r="J95" s="965">
        <v>2040</v>
      </c>
      <c r="K95" s="652">
        <v>4.4000000000000004</v>
      </c>
      <c r="AF95" s="964">
        <v>2040</v>
      </c>
      <c r="AG95" s="652">
        <v>4.4000000000000004</v>
      </c>
    </row>
    <row r="96" spans="2:33" x14ac:dyDescent="0.2">
      <c r="J96" s="964">
        <v>2041</v>
      </c>
      <c r="K96" s="652">
        <v>4.3</v>
      </c>
      <c r="AF96" s="964">
        <v>2041</v>
      </c>
      <c r="AG96" s="652">
        <v>4.3</v>
      </c>
    </row>
    <row r="97" spans="10:33" x14ac:dyDescent="0.2">
      <c r="J97" s="964">
        <v>2042</v>
      </c>
      <c r="K97" s="652">
        <v>4.22</v>
      </c>
      <c r="AF97" s="964">
        <v>2042</v>
      </c>
      <c r="AG97" s="652">
        <v>4.22</v>
      </c>
    </row>
    <row r="98" spans="10:33" x14ac:dyDescent="0.2">
      <c r="J98" s="964">
        <v>2043</v>
      </c>
      <c r="K98" s="652">
        <v>4.1500000000000004</v>
      </c>
      <c r="AF98" s="964">
        <v>2043</v>
      </c>
      <c r="AG98" s="652">
        <v>4.1500000000000004</v>
      </c>
    </row>
    <row r="99" spans="10:33" x14ac:dyDescent="0.2">
      <c r="J99" s="964">
        <v>2044</v>
      </c>
      <c r="K99" s="652">
        <v>4.07</v>
      </c>
      <c r="AF99" s="964">
        <v>2044</v>
      </c>
      <c r="AG99" s="652">
        <v>4.07</v>
      </c>
    </row>
    <row r="100" spans="10:33" x14ac:dyDescent="0.2">
      <c r="J100" s="965">
        <v>2045</v>
      </c>
      <c r="K100" s="652">
        <v>4</v>
      </c>
      <c r="AF100" s="964">
        <v>2045</v>
      </c>
      <c r="AG100" s="652">
        <v>4</v>
      </c>
    </row>
    <row r="101" spans="10:33" x14ac:dyDescent="0.2">
      <c r="J101" s="964">
        <v>2046</v>
      </c>
      <c r="K101" s="652">
        <v>4</v>
      </c>
      <c r="AF101" s="964">
        <v>2046</v>
      </c>
      <c r="AG101" s="652">
        <v>4</v>
      </c>
    </row>
    <row r="102" spans="10:33" x14ac:dyDescent="0.2">
      <c r="J102" s="964">
        <v>2047</v>
      </c>
      <c r="K102" s="652">
        <v>4</v>
      </c>
      <c r="AF102" s="964">
        <v>2047</v>
      </c>
      <c r="AG102" s="652">
        <v>4</v>
      </c>
    </row>
    <row r="103" spans="10:33" x14ac:dyDescent="0.2">
      <c r="J103" s="964">
        <v>2048</v>
      </c>
      <c r="K103" s="652">
        <v>4</v>
      </c>
      <c r="AF103" s="964">
        <v>2048</v>
      </c>
      <c r="AG103" s="652">
        <v>4</v>
      </c>
    </row>
    <row r="104" spans="10:33" x14ac:dyDescent="0.2">
      <c r="J104" s="964">
        <v>2049</v>
      </c>
      <c r="K104" s="652">
        <v>4</v>
      </c>
      <c r="AF104" s="964">
        <v>2049</v>
      </c>
      <c r="AG104" s="652">
        <v>4</v>
      </c>
    </row>
    <row r="105" spans="10:33" ht="15" thickBot="1" x14ac:dyDescent="0.25">
      <c r="J105" s="966">
        <v>2050</v>
      </c>
      <c r="K105" s="653">
        <v>4</v>
      </c>
      <c r="AF105" s="1287">
        <v>2050</v>
      </c>
      <c r="AG105" s="653">
        <v>4</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K1" activePane="topRight" state="frozen"/>
      <selection pane="topRight" activeCell="N45" sqref="N45"/>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62" t="s">
        <v>53</v>
      </c>
      <c r="C3" s="1563"/>
      <c r="D3" s="236">
        <f>'Run Model'!C6</f>
        <v>7.4999999999999997E-2</v>
      </c>
      <c r="F3"/>
      <c r="G3"/>
      <c r="H3"/>
      <c r="L3" s="227" t="s">
        <v>374</v>
      </c>
      <c r="N3" s="227" t="s">
        <v>127</v>
      </c>
      <c r="P3" s="1567" t="s">
        <v>204</v>
      </c>
      <c r="Q3" s="1568"/>
      <c r="R3" s="1568"/>
      <c r="S3" s="1568"/>
      <c r="T3" s="1568"/>
      <c r="U3" s="1569"/>
      <c r="Y3" s="216"/>
      <c r="AI3" s="227"/>
      <c r="AJ3" s="227"/>
      <c r="AK3" s="227"/>
      <c r="AL3" s="227"/>
      <c r="AM3" s="227"/>
    </row>
    <row r="4" spans="2:64" x14ac:dyDescent="0.2">
      <c r="B4" s="1562" t="s">
        <v>104</v>
      </c>
      <c r="C4" s="1563"/>
      <c r="D4" s="225" t="str">
        <f>'Run Model'!C7</f>
        <v>Moderate</v>
      </c>
      <c r="F4"/>
      <c r="G4"/>
      <c r="H4"/>
      <c r="N4" s="227" t="s">
        <v>126</v>
      </c>
      <c r="P4" s="1572">
        <v>44033.658958333333</v>
      </c>
      <c r="Q4" s="1568"/>
      <c r="R4" s="1568"/>
      <c r="S4" s="1568"/>
      <c r="T4" s="1568"/>
      <c r="U4" s="1569"/>
      <c r="V4" s="227" t="s">
        <v>186</v>
      </c>
      <c r="AI4" s="227"/>
      <c r="AJ4" s="227"/>
      <c r="AK4" s="227"/>
      <c r="AL4" s="227"/>
      <c r="AM4" s="227"/>
    </row>
    <row r="5" spans="2:64" x14ac:dyDescent="0.2">
      <c r="B5" s="1562" t="s">
        <v>118</v>
      </c>
      <c r="C5" s="1563"/>
      <c r="D5" s="225" t="s">
        <v>15</v>
      </c>
      <c r="F5"/>
      <c r="G5"/>
      <c r="H5"/>
      <c r="P5" s="1572">
        <v>44033.65896990741</v>
      </c>
      <c r="Q5" s="1568"/>
      <c r="R5" s="1568"/>
      <c r="S5" s="1568"/>
      <c r="T5" s="1568"/>
      <c r="U5" s="1569"/>
      <c r="V5" s="227" t="s">
        <v>15</v>
      </c>
      <c r="AI5" s="227"/>
      <c r="AJ5" s="227"/>
      <c r="AK5" s="227"/>
      <c r="AL5" s="227"/>
      <c r="AM5" s="227"/>
    </row>
    <row r="6" spans="2:64" x14ac:dyDescent="0.2">
      <c r="B6" s="1562" t="s">
        <v>68</v>
      </c>
      <c r="C6" s="1563"/>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38" t="s">
        <v>76</v>
      </c>
      <c r="K9" s="1539"/>
      <c r="L9" s="1570" t="s">
        <v>83</v>
      </c>
      <c r="M9" s="1571"/>
      <c r="N9" s="1573" t="s">
        <v>109</v>
      </c>
      <c r="O9" s="1573"/>
      <c r="P9" s="1573"/>
      <c r="Q9" s="1574"/>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6" t="s">
        <v>264</v>
      </c>
      <c r="I10" s="741" t="s">
        <v>81</v>
      </c>
      <c r="J10" s="1114" t="s">
        <v>283</v>
      </c>
      <c r="K10" s="1115"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1" t="b">
        <f>INDEX(TECH_OPT_PARAMS_Cls1,MATCH($B11,TECH_OPT_ROWS_Cls1,0),MATCH(H$10,TECH_OPT_COLS_Cls1,0))</f>
        <v>0</v>
      </c>
      <c r="I11" s="742">
        <f t="shared" si="1"/>
        <v>0</v>
      </c>
      <c r="J11" s="989">
        <f t="shared" si="1"/>
        <v>0</v>
      </c>
      <c r="K11" s="990">
        <f t="shared" si="1"/>
        <v>0</v>
      </c>
      <c r="L11" s="989">
        <f t="shared" si="1"/>
        <v>0</v>
      </c>
      <c r="M11" s="990">
        <f t="shared" si="1"/>
        <v>0</v>
      </c>
      <c r="N11" s="993">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9" t="b">
        <f t="shared" si="1"/>
        <v>0</v>
      </c>
      <c r="I12" s="743">
        <f t="shared" si="1"/>
        <v>2021</v>
      </c>
      <c r="J12" s="991">
        <f t="shared" si="1"/>
        <v>0</v>
      </c>
      <c r="K12" s="992">
        <f t="shared" si="1"/>
        <v>0.5</v>
      </c>
      <c r="L12" s="991">
        <f t="shared" si="1"/>
        <v>5000</v>
      </c>
      <c r="M12" s="992">
        <f t="shared" si="1"/>
        <v>100</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9" t="b">
        <f t="shared" si="1"/>
        <v>0</v>
      </c>
      <c r="I13" s="743">
        <f t="shared" si="1"/>
        <v>2021</v>
      </c>
      <c r="J13" s="1261">
        <f t="shared" si="1"/>
        <v>0</v>
      </c>
      <c r="K13" s="992">
        <f t="shared" si="1"/>
        <v>0.5</v>
      </c>
      <c r="L13" s="991">
        <f t="shared" si="1"/>
        <v>5000</v>
      </c>
      <c r="M13" s="992">
        <f t="shared" si="1"/>
        <v>100</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9" t="b">
        <f t="shared" si="1"/>
        <v>1</v>
      </c>
      <c r="I14" s="743">
        <f t="shared" si="1"/>
        <v>2021</v>
      </c>
      <c r="J14" s="1261">
        <f t="shared" si="1"/>
        <v>0</v>
      </c>
      <c r="K14" s="992">
        <f t="shared" si="1"/>
        <v>0.5</v>
      </c>
      <c r="L14" s="991">
        <f t="shared" si="1"/>
        <v>5000</v>
      </c>
      <c r="M14" s="992">
        <f t="shared" si="1"/>
        <v>100</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9" t="b">
        <f t="shared" si="1"/>
        <v>0</v>
      </c>
      <c r="I15" s="743">
        <f t="shared" si="1"/>
        <v>2021</v>
      </c>
      <c r="J15" s="1261">
        <f t="shared" si="1"/>
        <v>0</v>
      </c>
      <c r="K15" s="992">
        <f t="shared" si="1"/>
        <v>0.5</v>
      </c>
      <c r="L15" s="991">
        <f t="shared" si="1"/>
        <v>5000</v>
      </c>
      <c r="M15" s="992">
        <f t="shared" si="1"/>
        <v>100</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900" t="b">
        <f t="shared" si="1"/>
        <v>0</v>
      </c>
      <c r="I16" s="744">
        <f t="shared" si="1"/>
        <v>2020</v>
      </c>
      <c r="J16" s="263">
        <f t="shared" si="1"/>
        <v>0</v>
      </c>
      <c r="K16" s="262">
        <f t="shared" si="1"/>
        <v>0</v>
      </c>
      <c r="L16" s="263">
        <f t="shared" si="1"/>
        <v>5000</v>
      </c>
      <c r="M16" s="262">
        <f t="shared" si="1"/>
        <v>100</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6" thickBot="1" x14ac:dyDescent="0.25">
      <c r="A19" s="805"/>
      <c r="B19" s="1559" t="s">
        <v>234</v>
      </c>
      <c r="C19" s="1560"/>
      <c r="D19" s="1560"/>
      <c r="E19" s="1560"/>
      <c r="F19" s="1560"/>
      <c r="G19" s="1561"/>
      <c r="H19" s="1559" t="s">
        <v>220</v>
      </c>
      <c r="I19" s="1560"/>
      <c r="J19" s="1560"/>
      <c r="K19" s="1560"/>
      <c r="L19" s="1560"/>
      <c r="M19" s="1561"/>
      <c r="N19" s="1559" t="s">
        <v>71</v>
      </c>
      <c r="O19" s="1560"/>
      <c r="P19" s="1560"/>
      <c r="Q19" s="1560"/>
      <c r="R19" s="1560"/>
      <c r="S19" s="1561"/>
      <c r="T19" s="1559" t="s">
        <v>107</v>
      </c>
      <c r="U19" s="1560"/>
      <c r="V19" s="1560"/>
      <c r="W19" s="1560"/>
      <c r="X19" s="1561"/>
      <c r="Y19" s="1559" t="s">
        <v>72</v>
      </c>
      <c r="Z19" s="1560"/>
      <c r="AA19" s="1560"/>
      <c r="AB19" s="1560"/>
      <c r="AC19" s="1561"/>
      <c r="AD19" s="1559" t="s">
        <v>92</v>
      </c>
      <c r="AE19" s="1560"/>
      <c r="AF19" s="1560"/>
      <c r="AG19" s="1560"/>
      <c r="AH19" s="1561"/>
      <c r="AI19" s="1559" t="s">
        <v>76</v>
      </c>
      <c r="AJ19" s="1560"/>
      <c r="AK19" s="1560"/>
      <c r="AL19" s="1560"/>
      <c r="AM19" s="1561"/>
      <c r="AN19" s="1559" t="s">
        <v>100</v>
      </c>
      <c r="AO19" s="1560"/>
      <c r="AP19" s="1560"/>
      <c r="AQ19" s="1560"/>
      <c r="AR19" s="1561"/>
      <c r="AS19" s="1559" t="s">
        <v>73</v>
      </c>
      <c r="AT19" s="1560"/>
      <c r="AU19" s="1560"/>
      <c r="AV19" s="1560"/>
      <c r="AW19" s="1561"/>
      <c r="AX19" s="1559" t="s">
        <v>102</v>
      </c>
      <c r="AY19" s="1560"/>
      <c r="AZ19" s="1560"/>
      <c r="BA19" s="1560"/>
      <c r="BB19" s="1561"/>
      <c r="BC19" s="1559" t="s">
        <v>82</v>
      </c>
      <c r="BD19" s="1560"/>
      <c r="BE19" s="1560"/>
      <c r="BF19" s="1560"/>
      <c r="BG19" s="1560"/>
      <c r="BH19" s="1561"/>
    </row>
    <row r="20" spans="1:60" ht="15" customHeight="1" x14ac:dyDescent="0.2">
      <c r="A20" s="272"/>
      <c r="B20" s="1038" t="s">
        <v>69</v>
      </c>
      <c r="C20" s="1039" t="s">
        <v>65</v>
      </c>
      <c r="D20" s="1039" t="s">
        <v>66</v>
      </c>
      <c r="E20" s="1039" t="s">
        <v>67</v>
      </c>
      <c r="F20" s="1039" t="s">
        <v>205</v>
      </c>
      <c r="G20" s="1085" t="s">
        <v>206</v>
      </c>
      <c r="H20" s="1038" t="s">
        <v>69</v>
      </c>
      <c r="I20" s="1039" t="s">
        <v>65</v>
      </c>
      <c r="J20" s="1039" t="s">
        <v>66</v>
      </c>
      <c r="K20" s="1039" t="s">
        <v>67</v>
      </c>
      <c r="L20" s="1039" t="s">
        <v>205</v>
      </c>
      <c r="M20" s="1085" t="s">
        <v>206</v>
      </c>
      <c r="N20" s="1038" t="s">
        <v>69</v>
      </c>
      <c r="O20" s="1039" t="s">
        <v>65</v>
      </c>
      <c r="P20" s="1039" t="s">
        <v>66</v>
      </c>
      <c r="Q20" s="1039" t="s">
        <v>67</v>
      </c>
      <c r="R20" s="1039" t="s">
        <v>205</v>
      </c>
      <c r="S20" s="1085" t="s">
        <v>206</v>
      </c>
      <c r="T20" s="1044" t="s">
        <v>65</v>
      </c>
      <c r="U20" s="1045" t="s">
        <v>66</v>
      </c>
      <c r="V20" s="1045" t="s">
        <v>67</v>
      </c>
      <c r="W20" s="1039" t="s">
        <v>205</v>
      </c>
      <c r="X20" s="1085" t="s">
        <v>206</v>
      </c>
      <c r="Y20" s="1044" t="s">
        <v>65</v>
      </c>
      <c r="Z20" s="1045" t="s">
        <v>66</v>
      </c>
      <c r="AA20" s="1045" t="s">
        <v>67</v>
      </c>
      <c r="AB20" s="1039" t="s">
        <v>205</v>
      </c>
      <c r="AC20" s="1085" t="s">
        <v>206</v>
      </c>
      <c r="AD20" s="1044" t="s">
        <v>65</v>
      </c>
      <c r="AE20" s="1045" t="s">
        <v>66</v>
      </c>
      <c r="AF20" s="1045" t="s">
        <v>67</v>
      </c>
      <c r="AG20" s="1039" t="s">
        <v>205</v>
      </c>
      <c r="AH20" s="1085" t="s">
        <v>206</v>
      </c>
      <c r="AI20" s="1137" t="s">
        <v>65</v>
      </c>
      <c r="AJ20" s="1138" t="s">
        <v>66</v>
      </c>
      <c r="AK20" s="1138" t="s">
        <v>67</v>
      </c>
      <c r="AL20" s="1139" t="s">
        <v>205</v>
      </c>
      <c r="AM20" s="1140" t="s">
        <v>206</v>
      </c>
      <c r="AN20" s="1044" t="s">
        <v>65</v>
      </c>
      <c r="AO20" s="1045" t="s">
        <v>66</v>
      </c>
      <c r="AP20" s="1045" t="s">
        <v>67</v>
      </c>
      <c r="AQ20" s="1039" t="s">
        <v>205</v>
      </c>
      <c r="AR20" s="1085" t="s">
        <v>206</v>
      </c>
      <c r="AS20" s="1044" t="s">
        <v>65</v>
      </c>
      <c r="AT20" s="1045" t="s">
        <v>66</v>
      </c>
      <c r="AU20" s="1045" t="s">
        <v>67</v>
      </c>
      <c r="AV20" s="1039" t="s">
        <v>205</v>
      </c>
      <c r="AW20" s="1085" t="s">
        <v>206</v>
      </c>
      <c r="AX20" s="1044" t="s">
        <v>65</v>
      </c>
      <c r="AY20" s="1045" t="s">
        <v>66</v>
      </c>
      <c r="AZ20" s="1045" t="s">
        <v>67</v>
      </c>
      <c r="BA20" s="1039" t="s">
        <v>205</v>
      </c>
      <c r="BB20" s="1085" t="s">
        <v>206</v>
      </c>
      <c r="BC20" s="1044" t="s">
        <v>69</v>
      </c>
      <c r="BD20" s="1045" t="s">
        <v>65</v>
      </c>
      <c r="BE20" s="1045" t="s">
        <v>66</v>
      </c>
      <c r="BF20" s="1045" t="s">
        <v>67</v>
      </c>
      <c r="BG20" s="1039" t="s">
        <v>205</v>
      </c>
      <c r="BH20" s="1085" t="s">
        <v>206</v>
      </c>
    </row>
    <row r="21" spans="1:60" s="234" customFormat="1" ht="15" x14ac:dyDescent="0.2">
      <c r="A21" s="767"/>
      <c r="B21" s="1073"/>
      <c r="C21" s="1074"/>
      <c r="D21" s="1074"/>
      <c r="E21" s="1074"/>
      <c r="F21" s="1074"/>
      <c r="G21" s="1075"/>
      <c r="H21" s="1079" t="str">
        <f>IF(INDEX($G$11:$G$16,MATCH(H20,$B$11:$B$16,0))="N/A","Single-fuel","Dual-Fuel")</f>
        <v>Single-fuel</v>
      </c>
      <c r="I21" s="1080" t="str">
        <f t="shared" ref="I21:M21" si="2">IF(INDEX($G$11:$G$16,MATCH(I20,$B$11:$B$16,0))="N/A","Single-fuel","Dual-Fuel")</f>
        <v>Single-fuel</v>
      </c>
      <c r="J21" s="1080" t="str">
        <f t="shared" si="2"/>
        <v>Single-fuel</v>
      </c>
      <c r="K21" s="1080" t="str">
        <f t="shared" si="2"/>
        <v>Single-fuel</v>
      </c>
      <c r="L21" s="1080" t="str">
        <f t="shared" si="2"/>
        <v>Single-fuel</v>
      </c>
      <c r="M21" s="1081" t="str">
        <f t="shared" si="2"/>
        <v>Single-fuel</v>
      </c>
      <c r="N21" s="994" t="str">
        <f>INDEX($F$11:$F$16,MATCH(N20,$B$11:$B$16,0))</f>
        <v>Diesel</v>
      </c>
      <c r="O21" s="995" t="str">
        <f>INDEX($F$11:$F$16,MATCH(O20,$B$11:$B$16,0))</f>
        <v>Diesel</v>
      </c>
      <c r="P21" s="995" t="str">
        <f t="shared" ref="P21" si="3">INDEX($F$11:$F$16,MATCH(P20,$B$11:$B$16,0))</f>
        <v>Diesel</v>
      </c>
      <c r="Q21" s="995" t="str">
        <f t="shared" ref="Q21" si="4">INDEX($F$11:$F$16,MATCH(Q20,$B$11:$B$16,0))</f>
        <v>Electricity</v>
      </c>
      <c r="R21" s="995" t="str">
        <f t="shared" ref="R21" si="5">INDEX($F$11:$F$16,MATCH(R20,$B$11:$B$16,0))</f>
        <v>Hydrogen</v>
      </c>
      <c r="S21" s="996" t="str">
        <f t="shared" ref="S21" si="6">INDEX($F$11:$F$16,MATCH(S20,$B$11:$B$16,0))</f>
        <v>Diesel</v>
      </c>
      <c r="T21" s="1564" t="s">
        <v>117</v>
      </c>
      <c r="U21" s="1565"/>
      <c r="V21" s="1565"/>
      <c r="W21" s="1565"/>
      <c r="X21" s="1566"/>
      <c r="Y21" s="994" t="str">
        <f>INDEX($F$11:$F$16,MATCH(Y20,$B$11:$B$16,0))</f>
        <v>Diesel</v>
      </c>
      <c r="Z21" s="995" t="str">
        <f t="shared" ref="Z21:AC21" si="7">INDEX($F$11:$F$16,MATCH(Z20,$B$11:$B$16,0))</f>
        <v>Diesel</v>
      </c>
      <c r="AA21" s="995" t="str">
        <f t="shared" si="7"/>
        <v>Electricity</v>
      </c>
      <c r="AB21" s="995" t="str">
        <f t="shared" si="7"/>
        <v>Hydrogen</v>
      </c>
      <c r="AC21" s="996" t="str">
        <f t="shared" si="7"/>
        <v>Diesel</v>
      </c>
      <c r="AD21" s="1017">
        <f>INDEX($L$11:$L$16,MATCH(AD20,$B$11:$B$16,0))</f>
        <v>5000</v>
      </c>
      <c r="AE21" s="1018">
        <f>INDEX($L$11:$L$16,MATCH(AE20,$B$11:$B$16,0))</f>
        <v>5000</v>
      </c>
      <c r="AF21" s="1018">
        <f>INDEX($L$11:$L$16,MATCH(AF20,$B$11:$B$16,0))</f>
        <v>5000</v>
      </c>
      <c r="AG21" s="1018">
        <f>INDEX($L$11:$L$16,MATCH(AG20,$B$11:$B$16,0))</f>
        <v>5000</v>
      </c>
      <c r="AH21" s="1019">
        <f>INDEX($L$11:$L$16,MATCH(AH20,$B$11:$B$16,0))</f>
        <v>5000</v>
      </c>
      <c r="AI21" s="994">
        <f>INDEX($J$11:$J$16,MATCH(AI20,$B$11:$B$16,0))</f>
        <v>0</v>
      </c>
      <c r="AJ21" s="995">
        <f t="shared" ref="AJ21:AM21" si="8">INDEX($J$11:$J$16,MATCH(AJ20,$B$11:$B$16,0))</f>
        <v>0</v>
      </c>
      <c r="AK21" s="995">
        <f t="shared" si="8"/>
        <v>0</v>
      </c>
      <c r="AL21" s="995">
        <f t="shared" si="8"/>
        <v>0</v>
      </c>
      <c r="AM21" s="996">
        <f t="shared" si="8"/>
        <v>0</v>
      </c>
      <c r="AN21" s="994" t="str">
        <f>INDEX($F$11:$F$16,MATCH(AN20,$B$11:$B$16,0))</f>
        <v>Diesel</v>
      </c>
      <c r="AO21" s="995" t="str">
        <f t="shared" ref="AO21" si="9">INDEX($F$11:$F$16,MATCH(AO20,$B$11:$B$16,0))</f>
        <v>Diesel</v>
      </c>
      <c r="AP21" s="995" t="str">
        <f t="shared" ref="AP21" si="10">INDEX($F$11:$F$16,MATCH(AP20,$B$11:$B$16,0))</f>
        <v>Electricity</v>
      </c>
      <c r="AQ21" s="995" t="str">
        <f t="shared" ref="AQ21" si="11">INDEX($F$11:$F$16,MATCH(AQ20,$B$11:$B$16,0))</f>
        <v>Hydrogen</v>
      </c>
      <c r="AR21" s="996" t="str">
        <f t="shared" ref="AR21" si="12">INDEX($F$11:$F$16,MATCH(AR20,$B$11:$B$16,0))</f>
        <v>Diesel</v>
      </c>
      <c r="AS21" s="994" t="str">
        <f>INDEX($F$11:$F$16,MATCH(AS20,$B$11:$B$16,0))</f>
        <v>Diesel</v>
      </c>
      <c r="AT21" s="995" t="str">
        <f t="shared" ref="AT21:AV21" si="13">INDEX($F$11:$F$16,MATCH(AT20,$B$11:$B$16,0))</f>
        <v>Diesel</v>
      </c>
      <c r="AU21" s="995" t="str">
        <f t="shared" ref="AU21" si="14">INDEX($F$11:$F$16,MATCH(AU20,$B$11:$B$16,0))</f>
        <v>Electricity</v>
      </c>
      <c r="AV21" s="995" t="str">
        <f t="shared" si="13"/>
        <v>Hydrogen</v>
      </c>
      <c r="AW21" s="996" t="str">
        <f t="shared" ref="AW21" si="15">INDEX($F$11:$F$16,MATCH(AW20,$B$11:$B$16,0))</f>
        <v>Diesel</v>
      </c>
      <c r="AX21" s="994" t="str">
        <f>INDEX($F$11:$F$16,MATCH(AX20,$B$11:$B$16,0))</f>
        <v>Diesel</v>
      </c>
      <c r="AY21" s="995" t="str">
        <f t="shared" ref="AY21" si="16">INDEX($F$11:$F$16,MATCH(AY20,$B$11:$B$16,0))</f>
        <v>Diesel</v>
      </c>
      <c r="AZ21" s="995" t="str">
        <f t="shared" ref="AZ21" si="17">INDEX($F$11:$F$16,MATCH(AZ20,$B$11:$B$16,0))</f>
        <v>Electricity</v>
      </c>
      <c r="BA21" s="995" t="str">
        <f t="shared" ref="BA21" si="18">INDEX($F$11:$F$16,MATCH(BA20,$B$11:$B$16,0))</f>
        <v>Hydrogen</v>
      </c>
      <c r="BB21" s="996" t="str">
        <f t="shared" ref="BB21" si="19">INDEX($F$11:$F$16,MATCH(BB20,$B$11:$B$16,0))</f>
        <v>Diesel</v>
      </c>
      <c r="BC21" s="1027" t="str">
        <f>INDEX($F$11:$F$16,MATCH(BC20,$B$11:$B$16,0))</f>
        <v>Diesel</v>
      </c>
      <c r="BD21" s="995" t="str">
        <f>INDEX($F$11:$F$16,MATCH(BD20,$B$11:$B$16,0))</f>
        <v>Diesel</v>
      </c>
      <c r="BE21" s="995" t="str">
        <f t="shared" ref="BE21" si="20">INDEX($F$11:$F$16,MATCH(BE20,$B$11:$B$16,0))</f>
        <v>Diesel</v>
      </c>
      <c r="BF21" s="995" t="str">
        <f t="shared" ref="BF21" si="21">INDEX($F$11:$F$16,MATCH(BF20,$B$11:$B$16,0))</f>
        <v>Electricity</v>
      </c>
      <c r="BG21" s="995" t="str">
        <f t="shared" ref="BG21" si="22">INDEX($F$11:$F$16,MATCH(BG20,$B$11:$B$16,0))</f>
        <v>Hydrogen</v>
      </c>
      <c r="BH21" s="996" t="str">
        <f t="shared" ref="BH21" si="23">INDEX($F$11:$F$16,MATCH(BH20,$B$11:$B$16,0))</f>
        <v>Diesel</v>
      </c>
    </row>
    <row r="22" spans="1:60" x14ac:dyDescent="0.2">
      <c r="A22" s="767"/>
      <c r="B22" s="1073"/>
      <c r="C22" s="1074"/>
      <c r="D22" s="1074"/>
      <c r="E22" s="1074"/>
      <c r="F22" s="1074"/>
      <c r="G22" s="1075"/>
      <c r="H22" s="1079"/>
      <c r="I22" s="1080"/>
      <c r="J22" s="1080"/>
      <c r="K22" s="1080"/>
      <c r="L22" s="1080"/>
      <c r="M22" s="1081"/>
      <c r="N22" s="997"/>
      <c r="O22" s="998"/>
      <c r="P22" s="998"/>
      <c r="Q22" s="998"/>
      <c r="R22" s="998"/>
      <c r="S22" s="999"/>
      <c r="T22" s="1003">
        <f>INDEX($Q$11:$Q$16,MATCH(T20,$B$11:$B$16,0))</f>
        <v>0</v>
      </c>
      <c r="U22" s="1004">
        <f>INDEX($Q$11:$Q$16,MATCH(U20,$B$11:$B$16,0))</f>
        <v>0</v>
      </c>
      <c r="V22" s="1004">
        <f>INDEX($Q$11:$Q$16,MATCH(V20,$B$11:$B$16,0))</f>
        <v>0</v>
      </c>
      <c r="W22" s="1004">
        <f>INDEX($Q$11:$Q$16,MATCH(W20,$B$11:$B$16,0))</f>
        <v>0</v>
      </c>
      <c r="X22" s="1005">
        <f>INDEX($Q$11:$Q$16,MATCH(X20,$B$11:$B$16,0))</f>
        <v>0</v>
      </c>
      <c r="Y22" s="1011" t="b">
        <f>INDEX($H$11:$H$16,MATCH(Y20,$B$11:$B$16,0))</f>
        <v>0</v>
      </c>
      <c r="Z22" s="1012" t="b">
        <f t="shared" ref="Z22:AC22" si="24">INDEX($H$11:$H$16,MATCH(Z20,$B$11:$B$16,0))</f>
        <v>0</v>
      </c>
      <c r="AA22" s="1012" t="b">
        <f t="shared" si="24"/>
        <v>1</v>
      </c>
      <c r="AB22" s="1012" t="b">
        <f t="shared" si="24"/>
        <v>0</v>
      </c>
      <c r="AC22" s="1013" t="b">
        <f t="shared" si="24"/>
        <v>0</v>
      </c>
      <c r="AD22" s="994">
        <f>INDEX($M$11:$M$16,MATCH(AD20,$B$11:$B$16,0))</f>
        <v>100</v>
      </c>
      <c r="AE22" s="1020">
        <f>INDEX($M$11:$M$16,MATCH(AE20,$B$11:$B$16,0))</f>
        <v>100</v>
      </c>
      <c r="AF22" s="1020">
        <f>INDEX($M$11:$M$16,MATCH(AF20,$B$11:$B$16,0))</f>
        <v>100</v>
      </c>
      <c r="AG22" s="1020">
        <f>INDEX($M$11:$M$16,MATCH(AG20,$B$11:$B$16,0))</f>
        <v>100</v>
      </c>
      <c r="AH22" s="1021">
        <f>INDEX($M$11:$M$16,MATCH(AH20,$B$11:$B$16,0))</f>
        <v>100</v>
      </c>
      <c r="AI22" s="994">
        <f>INDEX($K$11:$K$16,MATCH(AI20,$B$11:$B$16,0))</f>
        <v>0.5</v>
      </c>
      <c r="AJ22" s="995">
        <f t="shared" ref="AJ22:AM22" si="25">INDEX($K$11:$K$16,MATCH(AJ20,$B$11:$B$16,0))</f>
        <v>0.5</v>
      </c>
      <c r="AK22" s="995">
        <f t="shared" si="25"/>
        <v>0.5</v>
      </c>
      <c r="AL22" s="995">
        <f t="shared" si="25"/>
        <v>0.5</v>
      </c>
      <c r="AM22" s="996">
        <f t="shared" si="25"/>
        <v>0</v>
      </c>
      <c r="AN22" s="994"/>
      <c r="AO22" s="995"/>
      <c r="AP22" s="995"/>
      <c r="AQ22" s="995"/>
      <c r="AR22" s="996"/>
      <c r="AS22" s="1011"/>
      <c r="AT22" s="1012"/>
      <c r="AU22" s="1012"/>
      <c r="AV22" s="1012"/>
      <c r="AW22" s="1013"/>
      <c r="AX22" s="1011"/>
      <c r="AY22" s="1012"/>
      <c r="AZ22" s="1012"/>
      <c r="BA22" s="1012"/>
      <c r="BB22" s="1013"/>
      <c r="BC22" s="1011"/>
      <c r="BD22" s="1012"/>
      <c r="BE22" s="1012"/>
      <c r="BF22" s="1012"/>
      <c r="BG22" s="1012"/>
      <c r="BH22" s="1013"/>
    </row>
    <row r="23" spans="1:60" ht="15" thickBot="1" x14ac:dyDescent="0.25">
      <c r="A23" s="746"/>
      <c r="B23" s="1076"/>
      <c r="C23" s="1077"/>
      <c r="D23" s="1077"/>
      <c r="E23" s="1077"/>
      <c r="F23" s="1077"/>
      <c r="G23" s="1078"/>
      <c r="H23" s="1082"/>
      <c r="I23" s="1083"/>
      <c r="J23" s="1083"/>
      <c r="K23" s="1083"/>
      <c r="L23" s="1083"/>
      <c r="M23" s="1084"/>
      <c r="N23" s="1000"/>
      <c r="O23" s="1001"/>
      <c r="P23" s="1001"/>
      <c r="Q23" s="1001"/>
      <c r="R23" s="1001"/>
      <c r="S23" s="1002"/>
      <c r="T23" s="1006"/>
      <c r="U23" s="1007"/>
      <c r="V23" s="1007"/>
      <c r="W23" s="1007"/>
      <c r="X23" s="1008"/>
      <c r="Y23" s="1014"/>
      <c r="Z23" s="1015"/>
      <c r="AA23" s="1015"/>
      <c r="AB23" s="1015"/>
      <c r="AC23" s="1016"/>
      <c r="AD23" s="1022"/>
      <c r="AE23" s="1023"/>
      <c r="AF23" s="1023"/>
      <c r="AG23" s="1023"/>
      <c r="AH23" s="1024"/>
      <c r="AI23" s="1022">
        <f>INDEX($I$11:$I$16,MATCH(AI20,$B$11:$B$16,0))</f>
        <v>2021</v>
      </c>
      <c r="AJ23" s="1025">
        <f>INDEX($I$11:$I$16,MATCH(AJ20,$B$11:$B$16,0))</f>
        <v>2021</v>
      </c>
      <c r="AK23" s="1025">
        <f>INDEX($I$11:$I$16,MATCH(AK20,$B$11:$B$16,0))</f>
        <v>2021</v>
      </c>
      <c r="AL23" s="1025">
        <f>INDEX($I$11:$I$16,MATCH(AL20,$B$11:$B$16,0))</f>
        <v>2021</v>
      </c>
      <c r="AM23" s="1026">
        <f>INDEX($I$11:$I$16,MATCH(AM20,$B$11:$B$16,0))</f>
        <v>2020</v>
      </c>
      <c r="AN23" s="1022"/>
      <c r="AO23" s="1025"/>
      <c r="AP23" s="1025"/>
      <c r="AQ23" s="1025"/>
      <c r="AR23" s="1026"/>
      <c r="AS23" s="1014"/>
      <c r="AT23" s="1015"/>
      <c r="AU23" s="1015"/>
      <c r="AV23" s="1015"/>
      <c r="AW23" s="1016"/>
      <c r="AX23" s="1014"/>
      <c r="AY23" s="1015"/>
      <c r="AZ23" s="1015"/>
      <c r="BA23" s="1015"/>
      <c r="BB23" s="1016"/>
      <c r="BC23" s="1014"/>
      <c r="BD23" s="1015"/>
      <c r="BE23" s="1015"/>
      <c r="BF23" s="1015"/>
      <c r="BG23" s="1015"/>
      <c r="BH23" s="1016"/>
    </row>
    <row r="24" spans="1:60" ht="15" thickTop="1" x14ac:dyDescent="0.2">
      <c r="A24" s="609">
        <v>2007</v>
      </c>
      <c r="B24" s="809">
        <f t="shared" ref="B24:G33" si="26">ROUND(INDEX(COST_Cls1,$A24-($A$24-1),MATCH(B$20,TECHOPTS_Cls1,0)),2)</f>
        <v>156000</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192962.15644896321</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-185592.58888021373</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1">
        <f t="shared" ref="AI24:AI67" si="40">IF($A24&lt;AI$23,0,AI$21+VLOOKUP($A24-AI$23,SCdata,2,1)*(AI$22-AI$21))*IF($D$5="Non-Central",INDEX(fuel_avail,$A24-$A$24+1,MATCH(O$21,Fuels,0)),1)</f>
        <v>0</v>
      </c>
      <c r="AJ24" s="1142">
        <f t="shared" ref="AJ24:AJ67" si="41">IF($A24&lt;AJ$23,0,AJ$21+VLOOKUP($A24-AJ$23,SCdata,2,1)*(AJ$22-AJ$21))*IF($D$5="Non-Central",INDEX(fuel_avail,$A24-$A$24+1,MATCH(P$21,Fuels,0)),1)</f>
        <v>0</v>
      </c>
      <c r="AK24" s="1142">
        <f t="shared" ref="AK24:AK67" si="42">IF($A24&lt;AK$23,0,AK$21+VLOOKUP($A24-AK$23,SCdata,2,1)*(AK$22-AK$21))*IF($D$5="Non-Central",INDEX(fuel_avail,$A24-$A$24+1,MATCH(Q$21,Fuels,0)),1)</f>
        <v>0</v>
      </c>
      <c r="AL24" s="1142">
        <f t="shared" ref="AL24:AL67" si="43">IF($A24&lt;AL$23,0,AL$21+VLOOKUP($A24-AL$23,SCdata,2,1)*(AL$22-AL$21))*IF($D$5="Non-Central",INDEX(fuel_avail,$A24-$A$24+1,MATCH(R$21,Fuels,0)),1)</f>
        <v>0</v>
      </c>
      <c r="AM24" s="1143">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156000</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192962.15644896321</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-182874.9528107793</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4">
        <f t="shared" si="40"/>
        <v>0</v>
      </c>
      <c r="AJ25" s="1145">
        <f t="shared" si="41"/>
        <v>0</v>
      </c>
      <c r="AK25" s="1145">
        <f t="shared" si="42"/>
        <v>0</v>
      </c>
      <c r="AL25" s="1145">
        <f t="shared" si="43"/>
        <v>0</v>
      </c>
      <c r="AM25" s="1146">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156000</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192962.15644896321</v>
      </c>
      <c r="S26" s="278">
        <f t="shared" si="33"/>
        <v>38649.549005981295</v>
      </c>
      <c r="T26" s="289">
        <f t="shared" si="61"/>
        <v>-32129.5808057387</v>
      </c>
      <c r="U26" s="290">
        <f t="shared" si="62"/>
        <v>-32129.5808057387</v>
      </c>
      <c r="V26" s="290">
        <f t="shared" si="63"/>
        <v>-316088.63328449859</v>
      </c>
      <c r="W26" s="290">
        <f t="shared" si="64"/>
        <v>-186442.18824872063</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4">
        <f t="shared" si="40"/>
        <v>0</v>
      </c>
      <c r="AJ26" s="1145">
        <f t="shared" si="41"/>
        <v>0</v>
      </c>
      <c r="AK26" s="1145">
        <f t="shared" si="42"/>
        <v>0</v>
      </c>
      <c r="AL26" s="1145">
        <f t="shared" si="43"/>
        <v>0</v>
      </c>
      <c r="AM26" s="1146">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4">
        <f t="shared" si="26"/>
        <v>156000</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192962.15644896321</v>
      </c>
      <c r="S27" s="777">
        <f t="shared" si="33"/>
        <v>47646.016403140064</v>
      </c>
      <c r="T27" s="303">
        <f t="shared" si="61"/>
        <v>-39217.53930322067</v>
      </c>
      <c r="U27" s="304">
        <f t="shared" si="62"/>
        <v>-39217.53930322067</v>
      </c>
      <c r="V27" s="304">
        <f t="shared" si="63"/>
        <v>-223580.25608151252</v>
      </c>
      <c r="W27" s="304">
        <f t="shared" si="64"/>
        <v>-184533.67934904381</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7">
        <f t="shared" si="40"/>
        <v>0</v>
      </c>
      <c r="AJ27" s="1148">
        <f t="shared" si="41"/>
        <v>0</v>
      </c>
      <c r="AK27" s="1148">
        <f t="shared" si="42"/>
        <v>0</v>
      </c>
      <c r="AL27" s="1148">
        <f t="shared" si="43"/>
        <v>0</v>
      </c>
      <c r="AM27" s="1149">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156000</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192962.15644896321</v>
      </c>
      <c r="S28" s="745">
        <f t="shared" si="33"/>
        <v>63075.865131559083</v>
      </c>
      <c r="T28" s="736">
        <f t="shared" si="61"/>
        <v>-52143.771788460203</v>
      </c>
      <c r="U28" s="632">
        <f t="shared" si="62"/>
        <v>-52143.771788460203</v>
      </c>
      <c r="V28" s="632">
        <f t="shared" si="63"/>
        <v>-172350.3993329386</v>
      </c>
      <c r="W28" s="632">
        <f t="shared" si="64"/>
        <v>-182030.06310586433</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50">
        <f t="shared" si="40"/>
        <v>0</v>
      </c>
      <c r="AJ28" s="1151">
        <f t="shared" si="41"/>
        <v>0</v>
      </c>
      <c r="AK28" s="1151">
        <f t="shared" si="42"/>
        <v>0</v>
      </c>
      <c r="AL28" s="1151">
        <f t="shared" si="43"/>
        <v>0</v>
      </c>
      <c r="AM28" s="1152">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156000</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192962.15644896321</v>
      </c>
      <c r="S29" s="278">
        <f t="shared" si="33"/>
        <v>66527.610335728168</v>
      </c>
      <c r="T29" s="734">
        <f t="shared" si="61"/>
        <v>-55088.167661819505</v>
      </c>
      <c r="U29" s="290">
        <f t="shared" si="62"/>
        <v>-55088.167661819505</v>
      </c>
      <c r="V29" s="290">
        <f t="shared" si="63"/>
        <v>-145222.71296281923</v>
      </c>
      <c r="W29" s="290">
        <f t="shared" si="64"/>
        <v>-181522.71377505455</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4">
        <f t="shared" si="40"/>
        <v>0</v>
      </c>
      <c r="AJ29" s="1145">
        <f t="shared" si="41"/>
        <v>0</v>
      </c>
      <c r="AK29" s="1145">
        <f t="shared" si="42"/>
        <v>0</v>
      </c>
      <c r="AL29" s="1145">
        <f t="shared" si="43"/>
        <v>0</v>
      </c>
      <c r="AM29" s="1153">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156000</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192962.15644896321</v>
      </c>
      <c r="S30" s="278">
        <f t="shared" si="33"/>
        <v>66723.214973263486</v>
      </c>
      <c r="T30" s="734">
        <f t="shared" si="61"/>
        <v>-55460.891235352676</v>
      </c>
      <c r="U30" s="290">
        <f t="shared" si="62"/>
        <v>-55460.891235352676</v>
      </c>
      <c r="V30" s="290">
        <f t="shared" si="63"/>
        <v>-149321.64646490681</v>
      </c>
      <c r="W30" s="290">
        <f t="shared" si="64"/>
        <v>-181699.83271105241</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4">
        <f t="shared" si="40"/>
        <v>0</v>
      </c>
      <c r="AJ30" s="1145">
        <f t="shared" si="41"/>
        <v>0</v>
      </c>
      <c r="AK30" s="1145">
        <f t="shared" si="42"/>
        <v>0</v>
      </c>
      <c r="AL30" s="1145">
        <f t="shared" si="43"/>
        <v>0</v>
      </c>
      <c r="AM30" s="1153">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156000</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192962.15644896321</v>
      </c>
      <c r="S31" s="278">
        <f t="shared" si="33"/>
        <v>66124.310363758137</v>
      </c>
      <c r="T31" s="734">
        <f t="shared" si="61"/>
        <v>-55209.753369194499</v>
      </c>
      <c r="U31" s="290">
        <f t="shared" si="62"/>
        <v>-55209.753369194499</v>
      </c>
      <c r="V31" s="290">
        <f t="shared" si="63"/>
        <v>-155754.88663170638</v>
      </c>
      <c r="W31" s="290">
        <f t="shared" si="64"/>
        <v>-182047.59945439958</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4">
        <f t="shared" si="40"/>
        <v>0</v>
      </c>
      <c r="AJ31" s="1145">
        <f t="shared" si="41"/>
        <v>0</v>
      </c>
      <c r="AK31" s="1145">
        <f t="shared" si="42"/>
        <v>0</v>
      </c>
      <c r="AL31" s="1145">
        <f t="shared" si="43"/>
        <v>0</v>
      </c>
      <c r="AM31" s="1153">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3">
        <f t="shared" si="26"/>
        <v>156000</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278334.69894889405</v>
      </c>
      <c r="S32" s="780">
        <f t="shared" si="33"/>
        <v>46858.358645460277</v>
      </c>
      <c r="T32" s="737">
        <f t="shared" si="61"/>
        <v>-39264.273444815735</v>
      </c>
      <c r="U32" s="304">
        <f t="shared" si="62"/>
        <v>-39264.273444815735</v>
      </c>
      <c r="V32" s="304">
        <f t="shared" si="63"/>
        <v>-145114.32669211313</v>
      </c>
      <c r="W32" s="304">
        <f t="shared" si="64"/>
        <v>-270740.61374824948</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7">
        <f t="shared" si="40"/>
        <v>0</v>
      </c>
      <c r="AJ32" s="1148">
        <f t="shared" si="41"/>
        <v>0</v>
      </c>
      <c r="AK32" s="1148">
        <f t="shared" si="42"/>
        <v>0</v>
      </c>
      <c r="AL32" s="1148">
        <f t="shared" si="43"/>
        <v>0</v>
      </c>
      <c r="AM32" s="1154">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156000</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278334.69894889405</v>
      </c>
      <c r="S33" s="278">
        <f t="shared" si="33"/>
        <v>40385.092465463989</v>
      </c>
      <c r="T33" s="733">
        <f t="shared" si="61"/>
        <v>-33973.9500776778</v>
      </c>
      <c r="U33" s="276">
        <f t="shared" si="62"/>
        <v>-33973.9500776778</v>
      </c>
      <c r="V33" s="276">
        <f t="shared" si="63"/>
        <v>-143189.41850469643</v>
      </c>
      <c r="W33" s="276">
        <f t="shared" si="64"/>
        <v>-271923.55656110786</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1">
        <f t="shared" si="40"/>
        <v>0</v>
      </c>
      <c r="AJ33" s="1142">
        <f t="shared" si="41"/>
        <v>0</v>
      </c>
      <c r="AK33" s="1142">
        <f t="shared" si="42"/>
        <v>0</v>
      </c>
      <c r="AL33" s="1142">
        <f t="shared" si="43"/>
        <v>0</v>
      </c>
      <c r="AM33" s="1155">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156000</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278334.69894889405</v>
      </c>
      <c r="S34" s="278">
        <f t="shared" si="33"/>
        <v>47441.038429456799</v>
      </c>
      <c r="T34" s="734">
        <f t="shared" si="61"/>
        <v>-40062.823412361678</v>
      </c>
      <c r="U34" s="290">
        <f t="shared" si="62"/>
        <v>-40062.823412361678</v>
      </c>
      <c r="V34" s="290">
        <f t="shared" si="63"/>
        <v>-143341.23956384213</v>
      </c>
      <c r="W34" s="290">
        <f t="shared" si="64"/>
        <v>-270956.4839317989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4">
        <f t="shared" si="40"/>
        <v>0</v>
      </c>
      <c r="AJ34" s="1145">
        <f t="shared" si="41"/>
        <v>0</v>
      </c>
      <c r="AK34" s="1145">
        <f t="shared" si="42"/>
        <v>0</v>
      </c>
      <c r="AL34" s="1145">
        <f t="shared" si="43"/>
        <v>0</v>
      </c>
      <c r="AM34" s="1153">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157900</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278334.69894889405</v>
      </c>
      <c r="S35" s="278">
        <f t="shared" si="33"/>
        <v>58280.207939799562</v>
      </c>
      <c r="T35" s="734">
        <f t="shared" si="61"/>
        <v>-49163.637625308467</v>
      </c>
      <c r="U35" s="290">
        <f t="shared" si="62"/>
        <v>-49163.637625308467</v>
      </c>
      <c r="V35" s="290">
        <f t="shared" si="63"/>
        <v>-163282.71836080321</v>
      </c>
      <c r="W35" s="290">
        <f t="shared" si="64"/>
        <v>-269218.12863440294</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4">
        <f t="shared" si="40"/>
        <v>0</v>
      </c>
      <c r="AJ35" s="1145">
        <f t="shared" si="41"/>
        <v>0</v>
      </c>
      <c r="AK35" s="1145">
        <f t="shared" si="42"/>
        <v>0</v>
      </c>
      <c r="AL35" s="1145">
        <f t="shared" si="43"/>
        <v>0</v>
      </c>
      <c r="AM35" s="1153">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159700</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278334.69894889405</v>
      </c>
      <c r="S36" s="278">
        <f t="shared" si="33"/>
        <v>57257.038372427814</v>
      </c>
      <c r="T36" s="734">
        <f t="shared" si="61"/>
        <v>-48357.006454665243</v>
      </c>
      <c r="U36" s="290">
        <f t="shared" si="62"/>
        <v>-48357.006454665243</v>
      </c>
      <c r="V36" s="290">
        <f t="shared" si="63"/>
        <v>-163318.64067490277</v>
      </c>
      <c r="W36" s="290">
        <f t="shared" si="64"/>
        <v>-269434.66703113145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4">
        <f t="shared" si="40"/>
        <v>0</v>
      </c>
      <c r="AJ36" s="1145">
        <f t="shared" si="41"/>
        <v>0</v>
      </c>
      <c r="AK36" s="1145">
        <f t="shared" si="42"/>
        <v>0</v>
      </c>
      <c r="AL36" s="1145">
        <f t="shared" si="43"/>
        <v>0</v>
      </c>
      <c r="AM36" s="1153">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4">
        <f t="shared" si="74"/>
        <v>161500</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278334.69894889405</v>
      </c>
      <c r="S37" s="777">
        <f t="shared" si="33"/>
        <v>55271.206650039851</v>
      </c>
      <c r="T37" s="735">
        <f t="shared" si="61"/>
        <v>-46750.159698153388</v>
      </c>
      <c r="U37" s="619">
        <f t="shared" si="62"/>
        <v>-46750.159698153388</v>
      </c>
      <c r="V37" s="619">
        <f t="shared" si="63"/>
        <v>-167116.80295747856</v>
      </c>
      <c r="W37" s="619">
        <f t="shared" si="64"/>
        <v>-269813.6519970076</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6">
        <f t="shared" si="40"/>
        <v>0</v>
      </c>
      <c r="AJ37" s="1157">
        <f t="shared" si="41"/>
        <v>0</v>
      </c>
      <c r="AK37" s="1157">
        <f t="shared" si="42"/>
        <v>0</v>
      </c>
      <c r="AL37" s="1157">
        <f t="shared" si="43"/>
        <v>0</v>
      </c>
      <c r="AM37" s="1158">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163300</v>
      </c>
      <c r="C38" s="818">
        <f t="shared" si="74"/>
        <v>1</v>
      </c>
      <c r="D38" s="818">
        <f t="shared" si="74"/>
        <v>9691</v>
      </c>
      <c r="E38" s="818">
        <f t="shared" si="74"/>
        <v>803302</v>
      </c>
      <c r="F38" s="818">
        <f t="shared" si="74"/>
        <v>197134</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8545.0915049896212</v>
      </c>
      <c r="P38" s="632">
        <f t="shared" si="30"/>
        <v>8019.6419929197327</v>
      </c>
      <c r="Q38" s="632">
        <f t="shared" si="31"/>
        <v>13065.028915763467</v>
      </c>
      <c r="R38" s="632">
        <f t="shared" si="32"/>
        <v>32190.120882048795</v>
      </c>
      <c r="S38" s="745">
        <f t="shared" si="33"/>
        <v>55562.02630307147</v>
      </c>
      <c r="T38" s="736">
        <f t="shared" si="61"/>
        <v>17.542857090267717</v>
      </c>
      <c r="U38" s="632">
        <f t="shared" si="62"/>
        <v>542.99236916015616</v>
      </c>
      <c r="V38" s="632">
        <f t="shared" si="63"/>
        <v>-4502.3945536835781</v>
      </c>
      <c r="W38" s="632">
        <f t="shared" si="64"/>
        <v>-23627.486519968908</v>
      </c>
      <c r="X38" s="633">
        <f t="shared" si="65"/>
        <v>-46999.391940991583</v>
      </c>
      <c r="Y38" s="634">
        <f ca="1">IF(AND(Y$22=TRUE,INDEX(CDRANGE_CLS1,MATCH($A38,$A$24:$A$67,0),MATCH(Y$20,$B$20:$G$20,0))&lt;$D$6/OPDAYS_Cls1),86,payback(C38,T38,disc_rate/12,85))</f>
        <v>1</v>
      </c>
      <c r="Z38" s="635">
        <f ca="1">IF(AND(Z$22=TRUE,INDEX(CDRANGE_CLS1,MATCH($A38,$A$24:$A$67,0),MATCH(Z$20,$B$20:$G$20,0))&lt;$D$6/OPDAYS_Cls1),86,payback(D38,U38,disc_rate/12,85))</f>
        <v>19</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50">
        <f t="shared" si="40"/>
        <v>0</v>
      </c>
      <c r="AJ38" s="1151">
        <f t="shared" si="41"/>
        <v>0</v>
      </c>
      <c r="AK38" s="1151">
        <f t="shared" si="42"/>
        <v>0</v>
      </c>
      <c r="AL38" s="1151">
        <f t="shared" si="43"/>
        <v>0</v>
      </c>
      <c r="AM38" s="1152">
        <f t="shared" si="44"/>
        <v>0</v>
      </c>
      <c r="AN38" s="643">
        <f t="shared" si="66"/>
        <v>0.99999999989583421</v>
      </c>
      <c r="AO38" s="641">
        <f t="shared" si="67"/>
        <v>0.99026491506644054</v>
      </c>
      <c r="AP38" s="641">
        <f t="shared" si="68"/>
        <v>0</v>
      </c>
      <c r="AQ38" s="641">
        <f t="shared" si="69"/>
        <v>1.7456002305508145E-2</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163300</v>
      </c>
      <c r="C39" s="821">
        <f t="shared" si="74"/>
        <v>257.33999999999997</v>
      </c>
      <c r="D39" s="821">
        <f t="shared" si="74"/>
        <v>9515.5</v>
      </c>
      <c r="E39" s="821">
        <f t="shared" si="74"/>
        <v>746184.5</v>
      </c>
      <c r="F39" s="821">
        <f t="shared" si="74"/>
        <v>182735.67</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8462.635720285698</v>
      </c>
      <c r="P39" s="276">
        <f t="shared" si="30"/>
        <v>7930.0111052300599</v>
      </c>
      <c r="Q39" s="276">
        <f t="shared" si="31"/>
        <v>12988.388252795981</v>
      </c>
      <c r="R39" s="276">
        <f t="shared" si="32"/>
        <v>31448.951684211126</v>
      </c>
      <c r="S39" s="278">
        <f t="shared" si="33"/>
        <v>56432.615605521547</v>
      </c>
      <c r="T39" s="734">
        <f t="shared" si="61"/>
        <v>63.65268596101123</v>
      </c>
      <c r="U39" s="290">
        <f t="shared" si="62"/>
        <v>596.27730101664929</v>
      </c>
      <c r="V39" s="290">
        <f t="shared" si="63"/>
        <v>-4462.0998465492721</v>
      </c>
      <c r="W39" s="290">
        <f t="shared" si="64"/>
        <v>-22922.663277964417</v>
      </c>
      <c r="X39" s="291">
        <f t="shared" si="65"/>
        <v>-47906.327199274834</v>
      </c>
      <c r="Y39" s="293">
        <f ca="1">IF(AND(Y$22=TRUE,INDEX(CDRANGE_CLS1,MATCH($A39,$A$24:$A$67,0),MATCH(Y$20,$B$20:$G$20,0))&lt;$D$6/OPDAYS_Cls1),86,payback(C39,T39,disc_rate/12,85))</f>
        <v>5</v>
      </c>
      <c r="Z39" s="294">
        <f ca="1">IF(AND(Z$22=TRUE,INDEX(CDRANGE_CLS1,MATCH($A39,$A$24:$A$67,0),MATCH(Z$20,$B$20:$G$20,0))&lt;$D$6/OPDAYS_Cls1),86,payback(D39,U39,disc_rate/12,85))</f>
        <v>17</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2.371093589025627E-2</v>
      </c>
      <c r="AE39" s="297">
        <f t="shared" si="36"/>
        <v>0</v>
      </c>
      <c r="AF39" s="297">
        <f t="shared" si="37"/>
        <v>0</v>
      </c>
      <c r="AG39" s="297">
        <f t="shared" si="38"/>
        <v>0</v>
      </c>
      <c r="AH39" s="298">
        <f t="shared" si="39"/>
        <v>0</v>
      </c>
      <c r="AI39" s="1144">
        <f t="shared" si="40"/>
        <v>2.3712936588783391E-2</v>
      </c>
      <c r="AJ39" s="1145">
        <f t="shared" si="41"/>
        <v>2.3712936588783391E-2</v>
      </c>
      <c r="AK39" s="1145">
        <f t="shared" si="42"/>
        <v>2.2210437480177938E-3</v>
      </c>
      <c r="AL39" s="1145">
        <f t="shared" si="43"/>
        <v>0</v>
      </c>
      <c r="AM39" s="1153">
        <f t="shared" si="44"/>
        <v>0</v>
      </c>
      <c r="AN39" s="299">
        <f t="shared" si="66"/>
        <v>0.99999310176119094</v>
      </c>
      <c r="AO39" s="300">
        <f t="shared" si="67"/>
        <v>0.99061267385922924</v>
      </c>
      <c r="AP39" s="300">
        <f t="shared" si="68"/>
        <v>0</v>
      </c>
      <c r="AQ39" s="300">
        <f t="shared" si="69"/>
        <v>3.0858653490835941E-2</v>
      </c>
      <c r="AR39" s="598">
        <f t="shared" si="70"/>
        <v>0</v>
      </c>
      <c r="AS39" s="296">
        <f t="shared" si="46"/>
        <v>2.371093589025627E-2</v>
      </c>
      <c r="AT39" s="297">
        <f t="shared" ca="1" si="47"/>
        <v>3.7100315361030492E-2</v>
      </c>
      <c r="AU39" s="297">
        <f t="shared" si="48"/>
        <v>0</v>
      </c>
      <c r="AV39" s="297">
        <f t="shared" ca="1" si="49"/>
        <v>0</v>
      </c>
      <c r="AW39" s="298">
        <f t="shared" ca="1" si="50"/>
        <v>0</v>
      </c>
      <c r="AX39" s="296">
        <f t="shared" si="51"/>
        <v>2.3710772326558112E-2</v>
      </c>
      <c r="AY39" s="297">
        <f t="shared" ca="1" si="52"/>
        <v>3.6752042600811052E-2</v>
      </c>
      <c r="AZ39" s="297">
        <f t="shared" si="53"/>
        <v>0</v>
      </c>
      <c r="BA39" s="297">
        <f t="shared" ca="1" si="71"/>
        <v>0</v>
      </c>
      <c r="BB39" s="298">
        <f t="shared" ca="1" si="72"/>
        <v>0</v>
      </c>
      <c r="BC39" s="296">
        <f t="shared" ca="1" si="73"/>
        <v>0.963247957399189</v>
      </c>
      <c r="BD39" s="297">
        <f t="shared" ca="1" si="56"/>
        <v>1.4412483369995033E-2</v>
      </c>
      <c r="BE39" s="297">
        <f t="shared" ca="1" si="57"/>
        <v>2.2339559230816021E-2</v>
      </c>
      <c r="BF39" s="297">
        <f t="shared" ca="1" si="58"/>
        <v>0</v>
      </c>
      <c r="BG39" s="297">
        <f t="shared" ca="1" si="59"/>
        <v>0</v>
      </c>
      <c r="BH39" s="298">
        <f t="shared" ca="1" si="60"/>
        <v>0</v>
      </c>
      <c r="BI39" s="227">
        <f ca="1">(AK39*AZ39/SUMPRODUCT($AI39:$AM39,$AX39:$BB39))</f>
        <v>0</v>
      </c>
    </row>
    <row r="40" spans="1:62" x14ac:dyDescent="0.2">
      <c r="A40" s="317">
        <v>2023</v>
      </c>
      <c r="B40" s="820">
        <f t="shared" si="74"/>
        <v>162800</v>
      </c>
      <c r="C40" s="821">
        <f t="shared" si="74"/>
        <v>490.7</v>
      </c>
      <c r="D40" s="821">
        <f t="shared" si="74"/>
        <v>9316.0400000000009</v>
      </c>
      <c r="E40" s="821">
        <f t="shared" si="74"/>
        <v>689043.04</v>
      </c>
      <c r="F40" s="821">
        <f t="shared" si="74"/>
        <v>168313.37</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8323.082020129048</v>
      </c>
      <c r="P40" s="276">
        <f t="shared" si="30"/>
        <v>7788.8565355672363</v>
      </c>
      <c r="Q40" s="276">
        <f t="shared" si="31"/>
        <v>12989.646227426374</v>
      </c>
      <c r="R40" s="276">
        <f t="shared" si="32"/>
        <v>27505.110181766689</v>
      </c>
      <c r="S40" s="278">
        <f t="shared" si="33"/>
        <v>56756.679928920646</v>
      </c>
      <c r="T40" s="734">
        <f t="shared" si="61"/>
        <v>98.449147580442514</v>
      </c>
      <c r="U40" s="290">
        <f t="shared" si="62"/>
        <v>632.67463214225427</v>
      </c>
      <c r="V40" s="290">
        <f t="shared" si="63"/>
        <v>-4568.1150597168835</v>
      </c>
      <c r="W40" s="290">
        <f t="shared" si="64"/>
        <v>-19083.579014057199</v>
      </c>
      <c r="X40" s="291">
        <f t="shared" si="65"/>
        <v>-48335.148761211152</v>
      </c>
      <c r="Y40" s="293">
        <f ca="1">IF(AND(Y$22=TRUE,INDEX(CDRANGE_CLS1,MATCH($A40,$A$24:$A$67,0),MATCH(Y$20,$B$20:$G$20,0))&lt;$D$6/OPDAYS_Cls1),86,payback(C40,T40,disc_rate/12,85))</f>
        <v>6</v>
      </c>
      <c r="Z40" s="294">
        <f ca="1">IF(AND(Z$22=TRUE,INDEX(CDRANGE_CLS1,MATCH($A40,$A$24:$A$67,0),MATCH(Z$20,$B$20:$G$20,0))&lt;$D$6/OPDAYS_Cls1),86,payback(D40,U40,disc_rate/12,85))</f>
        <v>16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5.9596428768809766E-2</v>
      </c>
      <c r="AE40" s="297">
        <f t="shared" si="36"/>
        <v>0</v>
      </c>
      <c r="AF40" s="297">
        <f t="shared" si="37"/>
        <v>0</v>
      </c>
      <c r="AG40" s="297">
        <f t="shared" si="38"/>
        <v>0</v>
      </c>
      <c r="AH40" s="298">
        <f t="shared" si="39"/>
        <v>0</v>
      </c>
      <c r="AI40" s="1144">
        <f t="shared" si="40"/>
        <v>5.9601461011058773E-2</v>
      </c>
      <c r="AJ40" s="1145">
        <f t="shared" si="41"/>
        <v>5.9601461011058773E-2</v>
      </c>
      <c r="AK40" s="1145">
        <f t="shared" si="42"/>
        <v>7.2447519254021419E-3</v>
      </c>
      <c r="AL40" s="1145">
        <f t="shared" si="43"/>
        <v>0</v>
      </c>
      <c r="AM40" s="1153">
        <f t="shared" si="44"/>
        <v>0</v>
      </c>
      <c r="AN40" s="299">
        <f t="shared" si="66"/>
        <v>0.9999747643012632</v>
      </c>
      <c r="AO40" s="300">
        <f t="shared" si="67"/>
        <v>0.9909452240447062</v>
      </c>
      <c r="AP40" s="300">
        <f t="shared" si="68"/>
        <v>0</v>
      </c>
      <c r="AQ40" s="300">
        <f t="shared" si="69"/>
        <v>5.1349116410800533E-2</v>
      </c>
      <c r="AR40" s="598">
        <f t="shared" si="70"/>
        <v>0</v>
      </c>
      <c r="AS40" s="296">
        <f t="shared" si="46"/>
        <v>5.9596428768809766E-2</v>
      </c>
      <c r="AT40" s="297">
        <f t="shared" ca="1" si="47"/>
        <v>9.6930507042433514E-2</v>
      </c>
      <c r="AU40" s="297">
        <f t="shared" si="48"/>
        <v>0</v>
      </c>
      <c r="AV40" s="297">
        <f t="shared" ca="1" si="49"/>
        <v>0</v>
      </c>
      <c r="AW40" s="298">
        <f t="shared" ca="1" si="50"/>
        <v>0</v>
      </c>
      <c r="AX40" s="296">
        <f t="shared" si="51"/>
        <v>5.9594924811287565E-2</v>
      </c>
      <c r="AY40" s="297">
        <f t="shared" ca="1" si="52"/>
        <v>9.6052823017931249E-2</v>
      </c>
      <c r="AZ40" s="297">
        <f t="shared" si="53"/>
        <v>0</v>
      </c>
      <c r="BA40" s="297">
        <f t="shared" ca="1" si="71"/>
        <v>0</v>
      </c>
      <c r="BB40" s="298">
        <f t="shared" ca="1" si="72"/>
        <v>0</v>
      </c>
      <c r="BC40" s="296">
        <f t="shared" ca="1" si="73"/>
        <v>0.90394717698206872</v>
      </c>
      <c r="BD40" s="297">
        <f t="shared" ca="1" si="56"/>
        <v>3.6777022767758565E-2</v>
      </c>
      <c r="BE40" s="297">
        <f t="shared" ca="1" si="57"/>
        <v>5.9275800250172671E-2</v>
      </c>
      <c r="BF40" s="297">
        <f t="shared" ca="1" si="58"/>
        <v>0</v>
      </c>
      <c r="BG40" s="297">
        <f t="shared" ca="1" si="59"/>
        <v>0</v>
      </c>
      <c r="BH40" s="298">
        <f t="shared" ca="1" si="60"/>
        <v>0</v>
      </c>
    </row>
    <row r="41" spans="1:62" x14ac:dyDescent="0.2">
      <c r="A41" s="317">
        <v>2024</v>
      </c>
      <c r="B41" s="820">
        <f t="shared" si="74"/>
        <v>167400</v>
      </c>
      <c r="C41" s="821">
        <f t="shared" si="74"/>
        <v>809.9</v>
      </c>
      <c r="D41" s="821">
        <f t="shared" si="74"/>
        <v>9202.4</v>
      </c>
      <c r="E41" s="821">
        <f t="shared" si="74"/>
        <v>631987.4</v>
      </c>
      <c r="F41" s="821">
        <f t="shared" si="74"/>
        <v>153976.9</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8224.4937976296769</v>
      </c>
      <c r="P41" s="276">
        <f t="shared" si="30"/>
        <v>7683.314994335301</v>
      </c>
      <c r="Q41" s="276">
        <f t="shared" si="31"/>
        <v>12901.624917158579</v>
      </c>
      <c r="R41" s="276">
        <f t="shared" si="32"/>
        <v>19264.739133113548</v>
      </c>
      <c r="S41" s="278">
        <f t="shared" si="33"/>
        <v>57780.182285210867</v>
      </c>
      <c r="T41" s="734">
        <f t="shared" si="61"/>
        <v>150.00911973475922</v>
      </c>
      <c r="U41" s="290">
        <f t="shared" si="62"/>
        <v>691.18792302913516</v>
      </c>
      <c r="V41" s="290">
        <f t="shared" si="63"/>
        <v>-4527.1219997941425</v>
      </c>
      <c r="W41" s="290">
        <f t="shared" si="64"/>
        <v>-10890.236215749112</v>
      </c>
      <c r="X41" s="291">
        <f t="shared" si="65"/>
        <v>-49405.679367846431</v>
      </c>
      <c r="Y41" s="293">
        <f ca="1">IF(AND(Y$22=TRUE,INDEX(CDRANGE_CLS1,MATCH($A41,$A$24:$A$67,0),MATCH(Y$20,$B$20:$G$20,0))&lt;$D$6/OPDAYS_Cls1),86,payback(C41,T41,disc_rate/12,85))</f>
        <v>6</v>
      </c>
      <c r="Z41" s="294">
        <f ca="1">IF(AND(Z$22=TRUE,INDEX(CDRANGE_CLS1,MATCH($A41,$A$24:$A$67,0),MATCH(Z$20,$B$20:$G$20,0))&lt;$D$6/OPDAYS_Cls1),86,payback(D41,U41,disc_rate/12,85))</f>
        <v>14</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4">
        <f t="shared" si="40"/>
        <v>0.13447071068499755</v>
      </c>
      <c r="AJ41" s="1145">
        <f t="shared" si="41"/>
        <v>0.13447071068499755</v>
      </c>
      <c r="AK41" s="1145">
        <f t="shared" si="42"/>
        <v>2.0769477016536548E-2</v>
      </c>
      <c r="AL41" s="1145">
        <f t="shared" si="43"/>
        <v>0</v>
      </c>
      <c r="AM41" s="1153">
        <f t="shared" si="44"/>
        <v>0</v>
      </c>
      <c r="AN41" s="299">
        <f t="shared" si="66"/>
        <v>0.99993498175076667</v>
      </c>
      <c r="AO41" s="300">
        <f t="shared" si="67"/>
        <v>0.99164075097156057</v>
      </c>
      <c r="AP41" s="300">
        <f t="shared" si="68"/>
        <v>0</v>
      </c>
      <c r="AQ41" s="300">
        <f t="shared" si="69"/>
        <v>9.5353746874675793E-2</v>
      </c>
      <c r="AR41" s="598">
        <f t="shared" si="70"/>
        <v>0</v>
      </c>
      <c r="AS41" s="296">
        <f t="shared" ca="1" si="46"/>
        <v>0.2689414213699951</v>
      </c>
      <c r="AT41" s="297">
        <f t="shared" ca="1" si="47"/>
        <v>0.2341774222069205</v>
      </c>
      <c r="AU41" s="297">
        <f t="shared" si="48"/>
        <v>0</v>
      </c>
      <c r="AV41" s="297">
        <f t="shared" ca="1" si="49"/>
        <v>0</v>
      </c>
      <c r="AW41" s="298">
        <f t="shared" ca="1" si="50"/>
        <v>0</v>
      </c>
      <c r="AX41" s="296">
        <f t="shared" ca="1" si="51"/>
        <v>0.26892393526963132</v>
      </c>
      <c r="AY41" s="297">
        <f t="shared" ca="1" si="52"/>
        <v>0.23221987481785486</v>
      </c>
      <c r="AZ41" s="297">
        <f t="shared" si="53"/>
        <v>0</v>
      </c>
      <c r="BA41" s="297">
        <f t="shared" ca="1" si="71"/>
        <v>0</v>
      </c>
      <c r="BB41" s="298">
        <f t="shared" ca="1" si="72"/>
        <v>0</v>
      </c>
      <c r="BC41" s="296">
        <f t="shared" ca="1" si="73"/>
        <v>0.73107606473036868</v>
      </c>
      <c r="BD41" s="297">
        <f t="shared" ca="1" si="56"/>
        <v>0.14431003936430883</v>
      </c>
      <c r="BE41" s="297">
        <f t="shared" ca="1" si="57"/>
        <v>0.12461389590532244</v>
      </c>
      <c r="BF41" s="297">
        <f t="shared" ca="1" si="58"/>
        <v>0</v>
      </c>
      <c r="BG41" s="297">
        <f t="shared" ca="1" si="59"/>
        <v>0</v>
      </c>
      <c r="BH41" s="298">
        <f t="shared" ca="1" si="60"/>
        <v>0</v>
      </c>
    </row>
    <row r="42" spans="1:62" ht="15" thickBot="1" x14ac:dyDescent="0.25">
      <c r="A42" s="302">
        <v>2025</v>
      </c>
      <c r="B42" s="823">
        <f t="shared" si="74"/>
        <v>167100</v>
      </c>
      <c r="C42" s="824">
        <f t="shared" si="74"/>
        <v>1129.0999999999999</v>
      </c>
      <c r="D42" s="824">
        <f t="shared" si="74"/>
        <v>9088.76</v>
      </c>
      <c r="E42" s="824">
        <f t="shared" si="74"/>
        <v>574931.76</v>
      </c>
      <c r="F42" s="824">
        <f t="shared" si="74"/>
        <v>139640.43</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8037.6280725058577</v>
      </c>
      <c r="P42" s="779">
        <f t="shared" si="30"/>
        <v>7496.546772988775</v>
      </c>
      <c r="Q42" s="779">
        <f t="shared" si="31"/>
        <v>12911.45877312893</v>
      </c>
      <c r="R42" s="779">
        <f t="shared" si="32"/>
        <v>14586.720858185061</v>
      </c>
      <c r="S42" s="780">
        <f t="shared" si="33"/>
        <v>58124.644510813137</v>
      </c>
      <c r="T42" s="737">
        <f t="shared" si="61"/>
        <v>169.0010932645373</v>
      </c>
      <c r="U42" s="304">
        <f t="shared" si="62"/>
        <v>710.08239278162</v>
      </c>
      <c r="V42" s="304">
        <f t="shared" si="63"/>
        <v>-4704.8296073585352</v>
      </c>
      <c r="W42" s="304">
        <f t="shared" si="64"/>
        <v>-6380.0916924146659</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14</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7">
        <f t="shared" si="40"/>
        <v>0.25</v>
      </c>
      <c r="AJ42" s="1148">
        <f t="shared" si="41"/>
        <v>0.25</v>
      </c>
      <c r="AK42" s="1148">
        <f t="shared" si="42"/>
        <v>5.3362699446636339E-2</v>
      </c>
      <c r="AL42" s="1148">
        <f t="shared" si="43"/>
        <v>3.9999996800000185E-8</v>
      </c>
      <c r="AM42" s="1154">
        <f t="shared" si="44"/>
        <v>0</v>
      </c>
      <c r="AN42" s="313">
        <f t="shared" si="66"/>
        <v>0.99987318171536366</v>
      </c>
      <c r="AO42" s="314">
        <f t="shared" si="67"/>
        <v>0.99181590566229938</v>
      </c>
      <c r="AP42" s="314">
        <f t="shared" si="68"/>
        <v>5.2180482157382357E-15</v>
      </c>
      <c r="AQ42" s="314">
        <f t="shared" si="69"/>
        <v>0.1437262739860875</v>
      </c>
      <c r="AR42" s="599">
        <f t="shared" si="70"/>
        <v>0</v>
      </c>
      <c r="AS42" s="310">
        <f t="shared" ca="1" si="46"/>
        <v>0.49836364270351485</v>
      </c>
      <c r="AT42" s="311">
        <f t="shared" ca="1" si="47"/>
        <v>0.4353688268136871</v>
      </c>
      <c r="AU42" s="311">
        <f t="shared" si="48"/>
        <v>0</v>
      </c>
      <c r="AV42" s="311">
        <f t="shared" ca="1" si="49"/>
        <v>0</v>
      </c>
      <c r="AW42" s="312">
        <f t="shared" ca="1" si="50"/>
        <v>0</v>
      </c>
      <c r="AX42" s="310">
        <f t="shared" ca="1" si="51"/>
        <v>0.49830044108122207</v>
      </c>
      <c r="AY42" s="311">
        <f t="shared" ca="1" si="52"/>
        <v>0.43180572726334987</v>
      </c>
      <c r="AZ42" s="311">
        <f t="shared" si="53"/>
        <v>0</v>
      </c>
      <c r="BA42" s="311">
        <f t="shared" ca="1" si="71"/>
        <v>0</v>
      </c>
      <c r="BB42" s="312">
        <f t="shared" ca="1" si="72"/>
        <v>0</v>
      </c>
      <c r="BC42" s="310">
        <f t="shared" ca="1" si="73"/>
        <v>0.50169955891877793</v>
      </c>
      <c r="BD42" s="311">
        <f t="shared" ca="1" si="56"/>
        <v>0.26696235121596651</v>
      </c>
      <c r="BE42" s="311">
        <f t="shared" ca="1" si="57"/>
        <v>0.23133808986525559</v>
      </c>
      <c r="BF42" s="311">
        <f t="shared" ca="1" si="58"/>
        <v>0</v>
      </c>
      <c r="BG42" s="311">
        <f t="shared" ca="1" si="59"/>
        <v>0</v>
      </c>
      <c r="BH42" s="312">
        <f t="shared" ca="1" si="60"/>
        <v>0</v>
      </c>
      <c r="BJ42" s="540"/>
    </row>
    <row r="43" spans="1:62" x14ac:dyDescent="0.2">
      <c r="A43" s="316">
        <v>2026</v>
      </c>
      <c r="B43" s="826">
        <f t="shared" si="74"/>
        <v>166900</v>
      </c>
      <c r="C43" s="827">
        <f t="shared" si="74"/>
        <v>1362.46</v>
      </c>
      <c r="D43" s="827">
        <f t="shared" si="74"/>
        <v>8889.2999999999993</v>
      </c>
      <c r="E43" s="827">
        <f t="shared" si="74"/>
        <v>517790.3</v>
      </c>
      <c r="F43" s="827">
        <f t="shared" si="74"/>
        <v>125218.13</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8017.8328518221597</v>
      </c>
      <c r="P43" s="276">
        <f t="shared" si="30"/>
        <v>7469.6411751606447</v>
      </c>
      <c r="Q43" s="276">
        <f t="shared" si="31"/>
        <v>12942.941156153334</v>
      </c>
      <c r="R43" s="276">
        <f t="shared" si="32"/>
        <v>13696.2873925895</v>
      </c>
      <c r="S43" s="278">
        <f t="shared" si="33"/>
        <v>59190.14940280679</v>
      </c>
      <c r="T43" s="733">
        <f t="shared" si="61"/>
        <v>96.59197770468927</v>
      </c>
      <c r="U43" s="276">
        <f t="shared" si="62"/>
        <v>644.78365436620425</v>
      </c>
      <c r="V43" s="276">
        <f t="shared" si="63"/>
        <v>-4828.5163266264854</v>
      </c>
      <c r="W43" s="276">
        <f t="shared" si="64"/>
        <v>-5581.8625630626511</v>
      </c>
      <c r="X43" s="277">
        <f t="shared" si="65"/>
        <v>-51075.724573279942</v>
      </c>
      <c r="Y43" s="279">
        <f ca="1">IF(AND(Y$22=TRUE,INDEX(CDRANGE_CLS1,MATCH($A43,$A$24:$A$67,0),MATCH(Y$20,$B$20:$G$20,0))&lt;$D$6/OPDAYS_Cls1),86,payback(C43,T43,disc_rate/12,85))</f>
        <v>15</v>
      </c>
      <c r="Z43" s="280">
        <f ca="1">IF(AND(Z$22=TRUE,INDEX(CDRANGE_CLS1,MATCH($A43,$A$24:$A$67,0),MATCH(Z$20,$B$20:$G$20,0))&lt;$D$6/OPDAYS_Cls1),86,payback(D43,U43,disc_rate/12,85))</f>
        <v>15</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0.36539209181229337</v>
      </c>
      <c r="AE43" s="283">
        <f t="shared" si="36"/>
        <v>0</v>
      </c>
      <c r="AF43" s="283">
        <f t="shared" si="37"/>
        <v>0</v>
      </c>
      <c r="AG43" s="283">
        <f t="shared" si="38"/>
        <v>0</v>
      </c>
      <c r="AH43" s="284">
        <f t="shared" si="39"/>
        <v>0</v>
      </c>
      <c r="AI43" s="1141">
        <f t="shared" si="40"/>
        <v>0.36552928931500245</v>
      </c>
      <c r="AJ43" s="1142">
        <f t="shared" si="41"/>
        <v>0.36552928931500245</v>
      </c>
      <c r="AK43" s="1142">
        <f t="shared" si="42"/>
        <v>9.4702178206308593E-2</v>
      </c>
      <c r="AL43" s="1142">
        <f t="shared" si="43"/>
        <v>9.3575378288105377E-7</v>
      </c>
      <c r="AM43" s="1155">
        <f t="shared" si="44"/>
        <v>0</v>
      </c>
      <c r="AN43" s="285">
        <f t="shared" si="66"/>
        <v>0.99981490608059509</v>
      </c>
      <c r="AO43" s="286">
        <f t="shared" si="67"/>
        <v>0.99215107859478691</v>
      </c>
      <c r="AP43" s="286">
        <f t="shared" si="68"/>
        <v>2.4479307469960077E-12</v>
      </c>
      <c r="AQ43" s="286">
        <f t="shared" si="69"/>
        <v>0.20938577227380895</v>
      </c>
      <c r="AR43" s="611">
        <f t="shared" si="70"/>
        <v>0</v>
      </c>
      <c r="AS43" s="282">
        <f t="shared" si="46"/>
        <v>0.36539209181229337</v>
      </c>
      <c r="AT43" s="283">
        <f t="shared" ca="1" si="47"/>
        <v>0.61608880697303459</v>
      </c>
      <c r="AU43" s="283">
        <f t="shared" si="48"/>
        <v>0</v>
      </c>
      <c r="AV43" s="283">
        <f t="shared" ca="1" si="49"/>
        <v>0</v>
      </c>
      <c r="AW43" s="284">
        <f t="shared" ca="1" si="50"/>
        <v>0</v>
      </c>
      <c r="AX43" s="282">
        <f t="shared" si="51"/>
        <v>0.3653244599579003</v>
      </c>
      <c r="AY43" s="283">
        <f t="shared" ca="1" si="52"/>
        <v>0.61125317434847171</v>
      </c>
      <c r="AZ43" s="283">
        <f t="shared" si="53"/>
        <v>0</v>
      </c>
      <c r="BA43" s="283">
        <f t="shared" ca="1" si="71"/>
        <v>0</v>
      </c>
      <c r="BB43" s="284">
        <f t="shared" ca="1" si="72"/>
        <v>0</v>
      </c>
      <c r="BC43" s="282">
        <f t="shared" ca="1" si="73"/>
        <v>0.38874682565152829</v>
      </c>
      <c r="BD43" s="283">
        <f t="shared" ca="1" si="56"/>
        <v>0.22866152978714666</v>
      </c>
      <c r="BE43" s="283">
        <f t="shared" ca="1" si="57"/>
        <v>0.38259164456132499</v>
      </c>
      <c r="BF43" s="283">
        <f t="shared" ca="1" si="58"/>
        <v>0</v>
      </c>
      <c r="BG43" s="283">
        <f t="shared" ca="1" si="59"/>
        <v>0</v>
      </c>
      <c r="BH43" s="284">
        <f t="shared" ca="1" si="60"/>
        <v>0</v>
      </c>
    </row>
    <row r="44" spans="1:62" x14ac:dyDescent="0.2">
      <c r="A44" s="317">
        <v>2027</v>
      </c>
      <c r="B44" s="820">
        <f t="shared" ref="B44:G53" si="76">ROUND(INDEX(COST_Cls1,$A44-($A$24-1),MATCH(B$20,TECHOPTS_Cls1,0)),2)</f>
        <v>169800</v>
      </c>
      <c r="C44" s="821">
        <f t="shared" si="76"/>
        <v>1619.8</v>
      </c>
      <c r="D44" s="821">
        <f t="shared" si="76"/>
        <v>8713.7999999999993</v>
      </c>
      <c r="E44" s="821">
        <f t="shared" si="76"/>
        <v>460672.8</v>
      </c>
      <c r="F44" s="821">
        <f t="shared" si="76"/>
        <v>110819.8</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7860.9861872597321</v>
      </c>
      <c r="P44" s="276">
        <f t="shared" si="30"/>
        <v>7314.7939320726546</v>
      </c>
      <c r="Q44" s="276">
        <f t="shared" si="31"/>
        <v>12833.290492919681</v>
      </c>
      <c r="R44" s="276">
        <f t="shared" si="32"/>
        <v>13014.745986089698</v>
      </c>
      <c r="S44" s="278">
        <f t="shared" si="33"/>
        <v>59338.981322474989</v>
      </c>
      <c r="T44" s="734">
        <f t="shared" si="61"/>
        <v>46.896720413627008</v>
      </c>
      <c r="U44" s="290">
        <f t="shared" si="62"/>
        <v>593.08897560070454</v>
      </c>
      <c r="V44" s="290">
        <f t="shared" si="63"/>
        <v>-4925.407585246322</v>
      </c>
      <c r="W44" s="290">
        <f t="shared" si="64"/>
        <v>-5106.8630784163388</v>
      </c>
      <c r="X44" s="291">
        <f t="shared" si="65"/>
        <v>-51431.098414801629</v>
      </c>
      <c r="Y44" s="293">
        <f ca="1">IF(AND(Y$22=TRUE,INDEX(CDRANGE_CLS1,MATCH($A44,$A$24:$A$67,0),MATCH(Y$20,$B$20:$G$20,0))&lt;$D$6/OPDAYS_Cls1),86,payback(C44,T44,disc_rate/12,85))</f>
        <v>40</v>
      </c>
      <c r="Z44" s="294">
        <f ca="1">IF(AND(Z$22=TRUE,INDEX(CDRANGE_CLS1,MATCH($A44,$A$24:$A$67,0),MATCH(Z$20,$B$20:$G$20,0))&lt;$D$6/OPDAYS_Cls1),86,payback(D44,U44,disc_rate/12,85))</f>
        <v>16</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0.43990239513886137</v>
      </c>
      <c r="AE44" s="297">
        <f t="shared" si="36"/>
        <v>0</v>
      </c>
      <c r="AF44" s="297">
        <f t="shared" si="37"/>
        <v>0</v>
      </c>
      <c r="AG44" s="297">
        <f t="shared" si="38"/>
        <v>0</v>
      </c>
      <c r="AH44" s="298">
        <f t="shared" si="39"/>
        <v>0</v>
      </c>
      <c r="AI44" s="1144">
        <f t="shared" si="40"/>
        <v>0.44039853898894116</v>
      </c>
      <c r="AJ44" s="1145">
        <f t="shared" si="41"/>
        <v>0.44039853898894116</v>
      </c>
      <c r="AK44" s="1145">
        <f t="shared" si="42"/>
        <v>0.14801100680427121</v>
      </c>
      <c r="AL44" s="1145">
        <f t="shared" si="43"/>
        <v>1.127418816714989E-6</v>
      </c>
      <c r="AM44" s="1153">
        <f t="shared" si="44"/>
        <v>0</v>
      </c>
      <c r="AN44" s="299">
        <f t="shared" si="66"/>
        <v>0.99974725066181824</v>
      </c>
      <c r="AO44" s="300">
        <f t="shared" si="67"/>
        <v>0.99271130537068564</v>
      </c>
      <c r="AP44" s="300">
        <f t="shared" si="68"/>
        <v>1.319584663761475E-9</v>
      </c>
      <c r="AQ44" s="300">
        <f t="shared" si="69"/>
        <v>0.30629811097551674</v>
      </c>
      <c r="AR44" s="598">
        <f t="shared" si="70"/>
        <v>0</v>
      </c>
      <c r="AS44" s="296">
        <f t="shared" si="46"/>
        <v>0.43990239513886137</v>
      </c>
      <c r="AT44" s="297">
        <f t="shared" ca="1" si="47"/>
        <v>0.71622495423433363</v>
      </c>
      <c r="AU44" s="297">
        <f t="shared" si="48"/>
        <v>0</v>
      </c>
      <c r="AV44" s="297">
        <f t="shared" ca="1" si="49"/>
        <v>0</v>
      </c>
      <c r="AW44" s="298">
        <f t="shared" ca="1" si="50"/>
        <v>0</v>
      </c>
      <c r="AX44" s="296">
        <f t="shared" si="51"/>
        <v>0.43979121009962546</v>
      </c>
      <c r="AY44" s="297">
        <f t="shared" ca="1" si="52"/>
        <v>0.71100460925702491</v>
      </c>
      <c r="AZ44" s="297">
        <f t="shared" si="53"/>
        <v>0</v>
      </c>
      <c r="BA44" s="297">
        <f t="shared" ca="1" si="71"/>
        <v>0</v>
      </c>
      <c r="BB44" s="298">
        <f t="shared" ca="1" si="72"/>
        <v>0</v>
      </c>
      <c r="BC44" s="296">
        <f t="shared" ca="1" si="73"/>
        <v>0.28899539074297498</v>
      </c>
      <c r="BD44" s="297">
        <f t="shared" ca="1" si="56"/>
        <v>0.27171942427316859</v>
      </c>
      <c r="BE44" s="297">
        <f t="shared" ca="1" si="57"/>
        <v>0.43928518498385638</v>
      </c>
      <c r="BF44" s="297">
        <f t="shared" ca="1" si="58"/>
        <v>0</v>
      </c>
      <c r="BG44" s="297">
        <f t="shared" ca="1" si="59"/>
        <v>0</v>
      </c>
      <c r="BH44" s="298">
        <f t="shared" ca="1" si="60"/>
        <v>0</v>
      </c>
    </row>
    <row r="45" spans="1:62" x14ac:dyDescent="0.2">
      <c r="A45" s="317">
        <v>2028</v>
      </c>
      <c r="B45" s="820">
        <f t="shared" si="76"/>
        <v>169500</v>
      </c>
      <c r="C45" s="821">
        <f t="shared" si="76"/>
        <v>1915.86</v>
      </c>
      <c r="D45" s="821">
        <f t="shared" si="76"/>
        <v>8907.23</v>
      </c>
      <c r="E45" s="821">
        <f t="shared" si="76"/>
        <v>434030.11</v>
      </c>
      <c r="F45" s="821">
        <f t="shared" si="76"/>
        <v>108817.98</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7827.2175015011553</v>
      </c>
      <c r="P45" s="276">
        <f t="shared" si="30"/>
        <v>7269.0223673398477</v>
      </c>
      <c r="Q45" s="276">
        <f t="shared" si="31"/>
        <v>12472.640102712538</v>
      </c>
      <c r="R45" s="276">
        <f t="shared" si="32"/>
        <v>12240.675721648589</v>
      </c>
      <c r="S45" s="278">
        <f t="shared" si="33"/>
        <v>60249.100138335249</v>
      </c>
      <c r="T45" s="734">
        <f t="shared" si="61"/>
        <v>81.648489551134844</v>
      </c>
      <c r="U45" s="290">
        <f t="shared" si="62"/>
        <v>639.84362371244242</v>
      </c>
      <c r="V45" s="290">
        <f t="shared" si="63"/>
        <v>-4563.7741116602474</v>
      </c>
      <c r="W45" s="290">
        <f t="shared" si="64"/>
        <v>-4331.8097305962992</v>
      </c>
      <c r="X45" s="291">
        <f t="shared" si="65"/>
        <v>-52340.234147282958</v>
      </c>
      <c r="Y45" s="293">
        <f ca="1">IF(AND(Y$22=TRUE,INDEX(CDRANGE_CLS1,MATCH($A45,$A$24:$A$67,0),MATCH(Y$20,$B$20:$G$20,0))&lt;$D$6/OPDAYS_Cls1),86,payback(C45,T45,disc_rate/12,85))</f>
        <v>26</v>
      </c>
      <c r="Z45" s="294">
        <f ca="1">IF(AND(Z$22=TRUE,INDEX(CDRANGE_CLS1,MATCH($A45,$A$24:$A$67,0),MATCH(Z$20,$B$20:$G$20,0))&lt;$D$6/OPDAYS_Cls1),86,payback(D45,U45,disc_rate/12,85))</f>
        <v>15</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0.47388454360237758</v>
      </c>
      <c r="AE45" s="297">
        <f t="shared" si="36"/>
        <v>0</v>
      </c>
      <c r="AF45" s="297">
        <f t="shared" si="37"/>
        <v>0</v>
      </c>
      <c r="AG45" s="297">
        <f t="shared" si="38"/>
        <v>0</v>
      </c>
      <c r="AH45" s="298">
        <f t="shared" si="39"/>
        <v>0</v>
      </c>
      <c r="AI45" s="1144">
        <f t="shared" si="40"/>
        <v>0.47628706341121668</v>
      </c>
      <c r="AJ45" s="1145">
        <f t="shared" si="41"/>
        <v>0.47628706341121668</v>
      </c>
      <c r="AK45" s="1145">
        <f t="shared" si="42"/>
        <v>0.18678877439881256</v>
      </c>
      <c r="AL45" s="1145">
        <f t="shared" si="43"/>
        <v>1.9508318584231357E-5</v>
      </c>
      <c r="AM45" s="1153">
        <f t="shared" si="44"/>
        <v>0</v>
      </c>
      <c r="AN45" s="299">
        <f t="shared" si="66"/>
        <v>0.99964517960516952</v>
      </c>
      <c r="AO45" s="300">
        <f t="shared" si="67"/>
        <v>0.99235849698776191</v>
      </c>
      <c r="AP45" s="300">
        <f t="shared" si="68"/>
        <v>1.2299778195945521E-8</v>
      </c>
      <c r="AQ45" s="300">
        <f t="shared" si="69"/>
        <v>0.31826257257801627</v>
      </c>
      <c r="AR45" s="598">
        <f t="shared" si="70"/>
        <v>0</v>
      </c>
      <c r="AS45" s="296">
        <f t="shared" si="46"/>
        <v>0.47388454360237758</v>
      </c>
      <c r="AT45" s="297">
        <f t="shared" ca="1" si="47"/>
        <v>0.80276775966051994</v>
      </c>
      <c r="AU45" s="297">
        <f t="shared" si="48"/>
        <v>0</v>
      </c>
      <c r="AV45" s="297">
        <f t="shared" ca="1" si="49"/>
        <v>0</v>
      </c>
      <c r="AW45" s="298">
        <f t="shared" ca="1" si="50"/>
        <v>0</v>
      </c>
      <c r="AX45" s="296">
        <f t="shared" si="51"/>
        <v>0.47371639970151252</v>
      </c>
      <c r="AY45" s="297">
        <f t="shared" ca="1" si="52"/>
        <v>0.79663340740694644</v>
      </c>
      <c r="AZ45" s="297">
        <f t="shared" si="53"/>
        <v>0</v>
      </c>
      <c r="BA45" s="297">
        <f t="shared" ca="1" si="71"/>
        <v>0</v>
      </c>
      <c r="BB45" s="298">
        <f t="shared" ca="1" si="72"/>
        <v>0</v>
      </c>
      <c r="BC45" s="296">
        <f t="shared" ca="1" si="73"/>
        <v>0.20336659259305356</v>
      </c>
      <c r="BD45" s="297">
        <f t="shared" ca="1" si="56"/>
        <v>0.29706645171832374</v>
      </c>
      <c r="BE45" s="297">
        <f t="shared" ca="1" si="57"/>
        <v>0.49956695568862269</v>
      </c>
      <c r="BF45" s="297">
        <f t="shared" ca="1" si="58"/>
        <v>0</v>
      </c>
      <c r="BG45" s="297">
        <f t="shared" ca="1" si="59"/>
        <v>0</v>
      </c>
      <c r="BH45" s="298">
        <f t="shared" ca="1" si="60"/>
        <v>0</v>
      </c>
    </row>
    <row r="46" spans="1:62" x14ac:dyDescent="0.2">
      <c r="A46" s="317">
        <v>2029</v>
      </c>
      <c r="B46" s="820">
        <f t="shared" si="76"/>
        <v>169300</v>
      </c>
      <c r="C46" s="821">
        <f t="shared" si="76"/>
        <v>2140.25</v>
      </c>
      <c r="D46" s="821">
        <f t="shared" si="76"/>
        <v>9029</v>
      </c>
      <c r="E46" s="821">
        <f t="shared" si="76"/>
        <v>407315.75</v>
      </c>
      <c r="F46" s="821">
        <f t="shared" si="76"/>
        <v>106744.5</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7786.1398573239831</v>
      </c>
      <c r="P46" s="276">
        <f t="shared" si="30"/>
        <v>7220.453920084783</v>
      </c>
      <c r="Q46" s="276">
        <f t="shared" si="31"/>
        <v>12181.507281062397</v>
      </c>
      <c r="R46" s="276">
        <f t="shared" si="32"/>
        <v>11655.900336850351</v>
      </c>
      <c r="S46" s="278">
        <f t="shared" si="33"/>
        <v>60811.258243652665</v>
      </c>
      <c r="T46" s="734">
        <f t="shared" si="61"/>
        <v>54.845867388969964</v>
      </c>
      <c r="U46" s="290">
        <f t="shared" si="62"/>
        <v>620.53180462816999</v>
      </c>
      <c r="V46" s="290">
        <f t="shared" si="63"/>
        <v>-4340.5215563494439</v>
      </c>
      <c r="W46" s="290">
        <f t="shared" si="64"/>
        <v>-3814.9146121373979</v>
      </c>
      <c r="X46" s="291">
        <f t="shared" si="65"/>
        <v>-52970.27251893971</v>
      </c>
      <c r="Y46" s="293">
        <f ca="1">IF(AND(Y$22=TRUE,INDEX(CDRANGE_CLS1,MATCH($A46,$A$24:$A$67,0),MATCH(Y$20,$B$20:$G$20,0))&lt;$D$6/OPDAYS_Cls1),86,payback(C46,T46,disc_rate/12,85))</f>
        <v>45</v>
      </c>
      <c r="Z46" s="294">
        <f ca="1">IF(AND(Z$22=TRUE,INDEX(CDRANGE_CLS1,MATCH($A46,$A$24:$A$67,0),MATCH(Z$20,$B$20:$G$20,0))&lt;$D$6/OPDAYS_Cls1),86,payback(D46,U46,disc_rate/12,85))</f>
        <v>16</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0.48513702261712105</v>
      </c>
      <c r="AE46" s="297">
        <f t="shared" si="36"/>
        <v>0</v>
      </c>
      <c r="AF46" s="297">
        <f t="shared" si="37"/>
        <v>0</v>
      </c>
      <c r="AG46" s="297">
        <f t="shared" si="38"/>
        <v>0</v>
      </c>
      <c r="AH46" s="298">
        <f t="shared" si="39"/>
        <v>0</v>
      </c>
      <c r="AI46" s="1144">
        <f t="shared" si="40"/>
        <v>0.49100689501895423</v>
      </c>
      <c r="AJ46" s="1145">
        <f t="shared" si="41"/>
        <v>0.49100689501895423</v>
      </c>
      <c r="AK46" s="1145">
        <f t="shared" si="42"/>
        <v>0.22145449369332124</v>
      </c>
      <c r="AL46" s="1145">
        <f t="shared" si="43"/>
        <v>4.9098234549252806E-5</v>
      </c>
      <c r="AM46" s="1153">
        <f t="shared" si="44"/>
        <v>0</v>
      </c>
      <c r="AN46" s="299">
        <f t="shared" si="66"/>
        <v>0.99955617046404588</v>
      </c>
      <c r="AO46" s="300">
        <f t="shared" si="67"/>
        <v>0.99213047690991318</v>
      </c>
      <c r="AP46" s="300">
        <f t="shared" si="68"/>
        <v>1.0403722794372072E-7</v>
      </c>
      <c r="AQ46" s="300">
        <f t="shared" si="69"/>
        <v>0.33145332428688645</v>
      </c>
      <c r="AR46" s="598">
        <f t="shared" si="70"/>
        <v>0</v>
      </c>
      <c r="AS46" s="296">
        <f t="shared" si="46"/>
        <v>0.48513702261712105</v>
      </c>
      <c r="AT46" s="297">
        <f t="shared" ca="1" si="47"/>
        <v>0.79852987641842199</v>
      </c>
      <c r="AU46" s="297">
        <f t="shared" si="48"/>
        <v>0</v>
      </c>
      <c r="AV46" s="297">
        <f t="shared" ca="1" si="49"/>
        <v>0</v>
      </c>
      <c r="AW46" s="298">
        <f t="shared" ca="1" si="50"/>
        <v>0</v>
      </c>
      <c r="AX46" s="296">
        <f t="shared" si="51"/>
        <v>0.48492170447749872</v>
      </c>
      <c r="AY46" s="297">
        <f t="shared" ca="1" si="52"/>
        <v>0.7922458271178231</v>
      </c>
      <c r="AZ46" s="297">
        <f t="shared" si="53"/>
        <v>0</v>
      </c>
      <c r="BA46" s="297">
        <f t="shared" ca="1" si="71"/>
        <v>0</v>
      </c>
      <c r="BB46" s="298">
        <f t="shared" ca="1" si="72"/>
        <v>0</v>
      </c>
      <c r="BC46" s="296">
        <f t="shared" ca="1" si="73"/>
        <v>0.20775417288217701</v>
      </c>
      <c r="BD46" s="297">
        <f t="shared" ca="1" si="56"/>
        <v>0.30080407413057331</v>
      </c>
      <c r="BE46" s="297">
        <f t="shared" ca="1" si="57"/>
        <v>0.49144175298724974</v>
      </c>
      <c r="BF46" s="297">
        <f t="shared" ca="1" si="58"/>
        <v>0</v>
      </c>
      <c r="BG46" s="297">
        <f t="shared" ca="1" si="59"/>
        <v>0</v>
      </c>
      <c r="BH46" s="298">
        <f t="shared" ca="1" si="60"/>
        <v>0</v>
      </c>
    </row>
    <row r="47" spans="1:62" ht="15" thickBot="1" x14ac:dyDescent="0.25">
      <c r="A47" s="618">
        <v>2030</v>
      </c>
      <c r="B47" s="814">
        <f t="shared" si="76"/>
        <v>169300</v>
      </c>
      <c r="C47" s="815">
        <f t="shared" si="76"/>
        <v>2395.87</v>
      </c>
      <c r="D47" s="815">
        <f t="shared" si="76"/>
        <v>9182</v>
      </c>
      <c r="E47" s="815">
        <f t="shared" si="76"/>
        <v>380632.62</v>
      </c>
      <c r="F47" s="815">
        <f t="shared" si="76"/>
        <v>104702.25</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7819.844326877499</v>
      </c>
      <c r="P47" s="776">
        <f t="shared" si="30"/>
        <v>7240.1846356131036</v>
      </c>
      <c r="Q47" s="776">
        <f t="shared" si="31"/>
        <v>11862.852397936698</v>
      </c>
      <c r="R47" s="776">
        <f t="shared" si="32"/>
        <v>11197.579247779411</v>
      </c>
      <c r="S47" s="777">
        <f t="shared" si="33"/>
        <v>62079.470687577756</v>
      </c>
      <c r="T47" s="735">
        <f t="shared" si="61"/>
        <v>73.01677819834822</v>
      </c>
      <c r="U47" s="619">
        <f t="shared" si="62"/>
        <v>652.67646946274363</v>
      </c>
      <c r="V47" s="619">
        <f t="shared" si="63"/>
        <v>-3969.991292860851</v>
      </c>
      <c r="W47" s="619">
        <f t="shared" si="64"/>
        <v>-3304.7181427035639</v>
      </c>
      <c r="X47" s="620">
        <f t="shared" si="65"/>
        <v>-54186.609582501907</v>
      </c>
      <c r="Y47" s="621">
        <f ca="1">IF(AND(Y$22=TRUE,INDEX(CDRANGE_CLS1,MATCH($A47,$A$24:$A$67,0),MATCH(Y$20,$B$20:$G$20,0))&lt;$D$6/OPDAYS_Cls1),86,payback(C47,T47,disc_rate/12,85))</f>
        <v>37</v>
      </c>
      <c r="Z47" s="622">
        <f ca="1">IF(AND(Z$22=TRUE,INDEX(CDRANGE_CLS1,MATCH($A47,$A$24:$A$67,0),MATCH(Z$20,$B$20:$G$20,0))&lt;$D$6/OPDAYS_Cls1),86,payback(D47,U47,disc_rate/12,85))</f>
        <v>15</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0.48385887661192239</v>
      </c>
      <c r="AE47" s="625">
        <f t="shared" si="36"/>
        <v>0</v>
      </c>
      <c r="AF47" s="625">
        <f t="shared" si="37"/>
        <v>0</v>
      </c>
      <c r="AG47" s="625">
        <f t="shared" si="38"/>
        <v>0</v>
      </c>
      <c r="AH47" s="626">
        <f t="shared" si="39"/>
        <v>0</v>
      </c>
      <c r="AI47" s="1156">
        <f t="shared" si="40"/>
        <v>0.49665357453785763</v>
      </c>
      <c r="AJ47" s="1157">
        <f t="shared" si="41"/>
        <v>0.49665357453785763</v>
      </c>
      <c r="AK47" s="1157">
        <f t="shared" si="42"/>
        <v>0.26915504155730741</v>
      </c>
      <c r="AL47" s="1157">
        <f t="shared" si="43"/>
        <v>1.9075779409138881E-4</v>
      </c>
      <c r="AM47" s="1158">
        <f t="shared" si="44"/>
        <v>0</v>
      </c>
      <c r="AN47" s="630">
        <f t="shared" si="66"/>
        <v>0.99944385339762554</v>
      </c>
      <c r="AO47" s="628">
        <f t="shared" si="67"/>
        <v>0.99186261006369503</v>
      </c>
      <c r="AP47" s="628">
        <f t="shared" si="68"/>
        <v>7.9818864839875658E-7</v>
      </c>
      <c r="AQ47" s="628">
        <f t="shared" si="69"/>
        <v>0.3456189298376654</v>
      </c>
      <c r="AR47" s="629">
        <f t="shared" si="70"/>
        <v>0</v>
      </c>
      <c r="AS47" s="624">
        <f t="shared" si="46"/>
        <v>0.48385887661192239</v>
      </c>
      <c r="AT47" s="625">
        <f t="shared" ca="1" si="47"/>
        <v>0.83709491184503926</v>
      </c>
      <c r="AU47" s="625">
        <f t="shared" si="48"/>
        <v>0</v>
      </c>
      <c r="AV47" s="625">
        <f t="shared" ca="1" si="49"/>
        <v>0</v>
      </c>
      <c r="AW47" s="626">
        <f t="shared" ca="1" si="50"/>
        <v>0</v>
      </c>
      <c r="AX47" s="624">
        <f t="shared" si="51"/>
        <v>0.48358978014166593</v>
      </c>
      <c r="AY47" s="625">
        <f t="shared" ca="1" si="52"/>
        <v>0.83028314413365933</v>
      </c>
      <c r="AZ47" s="625">
        <f t="shared" si="53"/>
        <v>0</v>
      </c>
      <c r="BA47" s="625">
        <f t="shared" ca="1" si="71"/>
        <v>0</v>
      </c>
      <c r="BB47" s="626">
        <f t="shared" ca="1" si="72"/>
        <v>0</v>
      </c>
      <c r="BC47" s="624">
        <f t="shared" ca="1" si="73"/>
        <v>0.16971685586634067</v>
      </c>
      <c r="BD47" s="625">
        <f t="shared" ca="1" si="56"/>
        <v>0.30559762341429353</v>
      </c>
      <c r="BE47" s="625">
        <f t="shared" ca="1" si="57"/>
        <v>0.52468552071936581</v>
      </c>
      <c r="BF47" s="625">
        <f t="shared" ca="1" si="58"/>
        <v>0</v>
      </c>
      <c r="BG47" s="625">
        <f t="shared" ca="1" si="59"/>
        <v>0</v>
      </c>
      <c r="BH47" s="626">
        <f t="shared" ca="1" si="60"/>
        <v>0</v>
      </c>
    </row>
    <row r="48" spans="1:62" x14ac:dyDescent="0.2">
      <c r="A48" s="318">
        <v>2031</v>
      </c>
      <c r="B48" s="817">
        <f t="shared" si="76"/>
        <v>169300</v>
      </c>
      <c r="C48" s="818">
        <f t="shared" si="76"/>
        <v>2606.5</v>
      </c>
      <c r="D48" s="818">
        <f t="shared" si="76"/>
        <v>9290</v>
      </c>
      <c r="E48" s="818">
        <f t="shared" si="76"/>
        <v>353904.5</v>
      </c>
      <c r="F48" s="818">
        <f t="shared" si="76"/>
        <v>102615</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7803.41670374971</v>
      </c>
      <c r="P48" s="632">
        <f t="shared" si="30"/>
        <v>7215.8011495416513</v>
      </c>
      <c r="Q48" s="632">
        <f t="shared" si="31"/>
        <v>11632.343341031134</v>
      </c>
      <c r="R48" s="632">
        <f t="shared" si="32"/>
        <v>10715.125793804738</v>
      </c>
      <c r="S48" s="745">
        <f t="shared" si="33"/>
        <v>62775.355854933419</v>
      </c>
      <c r="T48" s="736">
        <f t="shared" si="61"/>
        <v>82.957863756269944</v>
      </c>
      <c r="U48" s="632">
        <f t="shared" si="62"/>
        <v>670.57341796432866</v>
      </c>
      <c r="V48" s="632">
        <f t="shared" si="63"/>
        <v>-3745.9687735251537</v>
      </c>
      <c r="W48" s="632">
        <f t="shared" si="64"/>
        <v>-2828.7512262987584</v>
      </c>
      <c r="X48" s="633">
        <f t="shared" si="65"/>
        <v>-54888.981287427436</v>
      </c>
      <c r="Y48" s="634">
        <f ca="1">IF(AND(Y$22=TRUE,INDEX(CDRANGE_CLS1,MATCH($A48,$A$24:$A$67,0),MATCH(Y$20,$B$20:$G$20,0))&lt;$D$6/OPDAYS_Cls1),86,payback(C48,T48,disc_rate/12,85))</f>
        <v>36</v>
      </c>
      <c r="Z48" s="635">
        <f ca="1">IF(AND(Z$22=TRUE,INDEX(CDRANGE_CLS1,MATCH($A48,$A$24:$A$67,0),MATCH(Z$20,$B$20:$G$20,0))&lt;$D$6/OPDAYS_Cls1),86,payback(D48,U48,disc_rate/12,85))</f>
        <v>15</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0.48048458121860271</v>
      </c>
      <c r="AE48" s="638">
        <f t="shared" si="36"/>
        <v>0</v>
      </c>
      <c r="AF48" s="638">
        <f t="shared" si="37"/>
        <v>0</v>
      </c>
      <c r="AG48" s="638">
        <f t="shared" si="38"/>
        <v>0</v>
      </c>
      <c r="AH48" s="639">
        <f t="shared" si="39"/>
        <v>0</v>
      </c>
      <c r="AI48" s="1150">
        <f t="shared" si="40"/>
        <v>0.49876368842168267</v>
      </c>
      <c r="AJ48" s="1151">
        <f t="shared" si="41"/>
        <v>0.49876368842168267</v>
      </c>
      <c r="AK48" s="1151">
        <f t="shared" si="42"/>
        <v>0.30046701631220585</v>
      </c>
      <c r="AL48" s="1151">
        <f t="shared" si="43"/>
        <v>3.2676268555194017E-4</v>
      </c>
      <c r="AM48" s="1152">
        <f t="shared" si="44"/>
        <v>0</v>
      </c>
      <c r="AN48" s="643">
        <f t="shared" si="66"/>
        <v>0.99934180273005302</v>
      </c>
      <c r="AO48" s="641">
        <f t="shared" si="67"/>
        <v>0.99167086208480315</v>
      </c>
      <c r="AP48" s="641">
        <f t="shared" si="68"/>
        <v>5.350926102098974E-6</v>
      </c>
      <c r="AQ48" s="641">
        <f t="shared" si="69"/>
        <v>0.3604212318179969</v>
      </c>
      <c r="AR48" s="642">
        <f t="shared" si="70"/>
        <v>0</v>
      </c>
      <c r="AS48" s="637">
        <f t="shared" si="46"/>
        <v>0.48048458121860271</v>
      </c>
      <c r="AT48" s="638">
        <f t="shared" ca="1" si="47"/>
        <v>0.84065144639169409</v>
      </c>
      <c r="AU48" s="638">
        <f t="shared" si="48"/>
        <v>0</v>
      </c>
      <c r="AV48" s="638">
        <f t="shared" ca="1" si="49"/>
        <v>0</v>
      </c>
      <c r="AW48" s="639">
        <f t="shared" ca="1" si="50"/>
        <v>0</v>
      </c>
      <c r="AX48" s="637">
        <f t="shared" si="51"/>
        <v>0.48016832757899303</v>
      </c>
      <c r="AY48" s="638">
        <f t="shared" ca="1" si="52"/>
        <v>0.83364954455608797</v>
      </c>
      <c r="AZ48" s="638">
        <f t="shared" si="53"/>
        <v>0</v>
      </c>
      <c r="BA48" s="638">
        <f t="shared" ca="1" si="71"/>
        <v>0</v>
      </c>
      <c r="BB48" s="639">
        <f t="shared" ca="1" si="72"/>
        <v>0</v>
      </c>
      <c r="BC48" s="637">
        <f t="shared" ca="1" si="73"/>
        <v>0.16635045544391214</v>
      </c>
      <c r="BD48" s="638">
        <f t="shared" ca="1" si="56"/>
        <v>0.30467853732722677</v>
      </c>
      <c r="BE48" s="638">
        <f t="shared" ca="1" si="57"/>
        <v>0.52897100722886115</v>
      </c>
      <c r="BF48" s="638">
        <f t="shared" ca="1" si="58"/>
        <v>0</v>
      </c>
      <c r="BG48" s="638">
        <f t="shared" ca="1" si="59"/>
        <v>0</v>
      </c>
      <c r="BH48" s="639">
        <f t="shared" ca="1" si="60"/>
        <v>0</v>
      </c>
    </row>
    <row r="49" spans="1:60" x14ac:dyDescent="0.2">
      <c r="A49" s="317">
        <v>2032</v>
      </c>
      <c r="B49" s="820">
        <f t="shared" si="76"/>
        <v>169300</v>
      </c>
      <c r="C49" s="821">
        <f t="shared" si="76"/>
        <v>2738.44</v>
      </c>
      <c r="D49" s="821">
        <f t="shared" si="76"/>
        <v>9319.31</v>
      </c>
      <c r="E49" s="821">
        <f t="shared" si="76"/>
        <v>327097.69</v>
      </c>
      <c r="F49" s="821">
        <f t="shared" si="76"/>
        <v>100449.06</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7795.7386612623468</v>
      </c>
      <c r="P49" s="276">
        <f t="shared" si="30"/>
        <v>7203.0937058245654</v>
      </c>
      <c r="Q49" s="276">
        <f t="shared" si="31"/>
        <v>11497.001342981608</v>
      </c>
      <c r="R49" s="276">
        <f t="shared" si="32"/>
        <v>10247.457291602483</v>
      </c>
      <c r="S49" s="278">
        <f t="shared" si="33"/>
        <v>63230.70011359889</v>
      </c>
      <c r="T49" s="734">
        <f t="shared" si="61"/>
        <v>86.94279465071395</v>
      </c>
      <c r="U49" s="290">
        <f t="shared" si="62"/>
        <v>679.58775008849534</v>
      </c>
      <c r="V49" s="290">
        <f t="shared" si="63"/>
        <v>-3614.3198870685474</v>
      </c>
      <c r="W49" s="290">
        <f t="shared" si="64"/>
        <v>-2364.7758356894219</v>
      </c>
      <c r="X49" s="291">
        <f t="shared" si="65"/>
        <v>-55348.018657685832</v>
      </c>
      <c r="Y49" s="293">
        <f ca="1">IF(AND(Y$22=TRUE,INDEX(CDRANGE_CLS1,MATCH($A49,$A$24:$A$67,0),MATCH(Y$20,$B$20:$G$20,0))&lt;$D$6/OPDAYS_Cls1),86,payback(C49,T49,disc_rate/12,85))</f>
        <v>36</v>
      </c>
      <c r="Z49" s="294">
        <f ca="1">IF(AND(Z$22=TRUE,INDEX(CDRANGE_CLS1,MATCH($A49,$A$24:$A$67,0),MATCH(Z$20,$B$20:$G$20,0))&lt;$D$6/OPDAYS_Cls1),86,payback(D49,U49,disc_rate/12,85))</f>
        <v>15</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0.4739935362477915</v>
      </c>
      <c r="AE49" s="297">
        <f t="shared" si="36"/>
        <v>0</v>
      </c>
      <c r="AF49" s="297">
        <f t="shared" si="37"/>
        <v>0</v>
      </c>
      <c r="AG49" s="297">
        <f t="shared" si="38"/>
        <v>0</v>
      </c>
      <c r="AH49" s="298">
        <f t="shared" si="39"/>
        <v>0</v>
      </c>
      <c r="AI49" s="1144">
        <f t="shared" si="40"/>
        <v>0.4995444744027997</v>
      </c>
      <c r="AJ49" s="1145">
        <f t="shared" si="41"/>
        <v>0.4995444744027997</v>
      </c>
      <c r="AK49" s="1145">
        <f t="shared" si="42"/>
        <v>0.34448045315213899</v>
      </c>
      <c r="AL49" s="1145">
        <f t="shared" si="43"/>
        <v>7.9863208300323934E-4</v>
      </c>
      <c r="AM49" s="1153">
        <f t="shared" si="44"/>
        <v>0</v>
      </c>
      <c r="AN49" s="299">
        <f t="shared" si="66"/>
        <v>0.99927350565401973</v>
      </c>
      <c r="AO49" s="300">
        <f t="shared" si="67"/>
        <v>0.99161844344512917</v>
      </c>
      <c r="AP49" s="300">
        <f t="shared" si="68"/>
        <v>3.1389418923999379E-5</v>
      </c>
      <c r="AQ49" s="300">
        <f t="shared" si="69"/>
        <v>0.37611626313253321</v>
      </c>
      <c r="AR49" s="598">
        <f t="shared" si="70"/>
        <v>0</v>
      </c>
      <c r="AS49" s="296">
        <f t="shared" si="46"/>
        <v>0.4739935362477915</v>
      </c>
      <c r="AT49" s="297">
        <f t="shared" ca="1" si="47"/>
        <v>0.84196743807189323</v>
      </c>
      <c r="AU49" s="297">
        <f t="shared" si="48"/>
        <v>0</v>
      </c>
      <c r="AV49" s="297">
        <f t="shared" ca="1" si="49"/>
        <v>0</v>
      </c>
      <c r="AW49" s="298">
        <f t="shared" ca="1" si="50"/>
        <v>0</v>
      </c>
      <c r="AX49" s="296">
        <f t="shared" si="51"/>
        <v>0.47364918262367628</v>
      </c>
      <c r="AY49" s="297">
        <f t="shared" ca="1" si="52"/>
        <v>0.83491044037233397</v>
      </c>
      <c r="AZ49" s="297">
        <f t="shared" si="53"/>
        <v>0</v>
      </c>
      <c r="BA49" s="297">
        <f t="shared" ca="1" si="71"/>
        <v>0</v>
      </c>
      <c r="BB49" s="298">
        <f t="shared" ca="1" si="72"/>
        <v>0</v>
      </c>
      <c r="BC49" s="296">
        <f t="shared" ca="1" si="73"/>
        <v>0.16508955962766603</v>
      </c>
      <c r="BD49" s="297">
        <f t="shared" ca="1" si="56"/>
        <v>0.30220605977503506</v>
      </c>
      <c r="BE49" s="297">
        <f t="shared" ca="1" si="57"/>
        <v>0.53270438059729897</v>
      </c>
      <c r="BF49" s="297">
        <f t="shared" ca="1" si="58"/>
        <v>0</v>
      </c>
      <c r="BG49" s="297">
        <f t="shared" ca="1" si="59"/>
        <v>0</v>
      </c>
      <c r="BH49" s="298">
        <f t="shared" ca="1" si="60"/>
        <v>0</v>
      </c>
    </row>
    <row r="50" spans="1:60" x14ac:dyDescent="0.2">
      <c r="A50" s="317">
        <v>2033</v>
      </c>
      <c r="B50" s="820">
        <f t="shared" si="76"/>
        <v>169300</v>
      </c>
      <c r="C50" s="821">
        <f t="shared" si="76"/>
        <v>2807.46</v>
      </c>
      <c r="D50" s="821">
        <f t="shared" si="76"/>
        <v>9285.7099999999991</v>
      </c>
      <c r="E50" s="821">
        <f t="shared" si="76"/>
        <v>300227.96000000002</v>
      </c>
      <c r="F50" s="821">
        <f t="shared" si="76"/>
        <v>98220.21</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7887.4207609231871</v>
      </c>
      <c r="P50" s="276">
        <f t="shared" si="30"/>
        <v>7284.8783555261971</v>
      </c>
      <c r="Q50" s="276">
        <f t="shared" si="31"/>
        <v>11492.914676752966</v>
      </c>
      <c r="R50" s="276">
        <f t="shared" si="32"/>
        <v>9849.332756572323</v>
      </c>
      <c r="S50" s="278">
        <f t="shared" si="33"/>
        <v>64248.016029827733</v>
      </c>
      <c r="T50" s="734">
        <f t="shared" si="61"/>
        <v>104.09624421846547</v>
      </c>
      <c r="U50" s="290">
        <f t="shared" si="62"/>
        <v>706.63864961545551</v>
      </c>
      <c r="V50" s="290">
        <f t="shared" si="63"/>
        <v>-3501.3976716113129</v>
      </c>
      <c r="W50" s="290">
        <f t="shared" si="64"/>
        <v>-1857.8157514306704</v>
      </c>
      <c r="X50" s="291">
        <f t="shared" si="65"/>
        <v>-56256.499024686083</v>
      </c>
      <c r="Y50" s="293">
        <f ca="1">IF(AND(Y$22=TRUE,INDEX(CDRANGE_CLS1,MATCH($A50,$A$24:$A$67,0),MATCH(Y$20,$B$20:$G$20,0))&lt;$D$6/OPDAYS_Cls1),86,payback(C50,T50,disc_rate/12,85))</f>
        <v>30</v>
      </c>
      <c r="Z50" s="294">
        <f ca="1">IF(AND(Z$22=TRUE,INDEX(CDRANGE_CLS1,MATCH($A50,$A$24:$A$67,0),MATCH(Z$20,$B$20:$G$20,0))&lt;$D$6/OPDAYS_Cls1),86,payback(D50,U50,disc_rate/12,85))</f>
        <v>14</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4">
        <f t="shared" si="40"/>
        <v>0.49983232493476681</v>
      </c>
      <c r="AJ50" s="1145">
        <f t="shared" si="41"/>
        <v>0.49983232493476681</v>
      </c>
      <c r="AK50" s="1145">
        <f t="shared" si="42"/>
        <v>0.37160768412147255</v>
      </c>
      <c r="AL50" s="1145">
        <f t="shared" si="43"/>
        <v>1.1695168445906825E-3</v>
      </c>
      <c r="AM50" s="1153">
        <f t="shared" si="44"/>
        <v>0</v>
      </c>
      <c r="AN50" s="299">
        <f t="shared" si="66"/>
        <v>0.99923643699376841</v>
      </c>
      <c r="AO50" s="300">
        <f t="shared" si="67"/>
        <v>0.99167852079307772</v>
      </c>
      <c r="AP50" s="300">
        <f t="shared" si="68"/>
        <v>1.6078194452817662E-4</v>
      </c>
      <c r="AQ50" s="300">
        <f t="shared" si="69"/>
        <v>0.39260810381968425</v>
      </c>
      <c r="AR50" s="598">
        <f t="shared" si="70"/>
        <v>0</v>
      </c>
      <c r="AS50" s="296">
        <f t="shared" ca="1" si="46"/>
        <v>0.36775607275284961</v>
      </c>
      <c r="AT50" s="297">
        <f t="shared" ca="1" si="47"/>
        <v>0.87044565164162824</v>
      </c>
      <c r="AU50" s="297">
        <f t="shared" si="48"/>
        <v>0</v>
      </c>
      <c r="AV50" s="297">
        <f t="shared" ca="1" si="49"/>
        <v>0</v>
      </c>
      <c r="AW50" s="298">
        <f t="shared" ca="1" si="50"/>
        <v>0</v>
      </c>
      <c r="AX50" s="296">
        <f t="shared" ca="1" si="51"/>
        <v>0.36747526782037854</v>
      </c>
      <c r="AY50" s="297">
        <f t="shared" ca="1" si="52"/>
        <v>0.86320225625073654</v>
      </c>
      <c r="AZ50" s="297">
        <f t="shared" si="53"/>
        <v>0</v>
      </c>
      <c r="BA50" s="297">
        <f t="shared" ca="1" si="71"/>
        <v>0</v>
      </c>
      <c r="BB50" s="298">
        <f t="shared" ca="1" si="72"/>
        <v>0</v>
      </c>
      <c r="BC50" s="296">
        <f t="shared" ca="1" si="73"/>
        <v>0.13679774374926357</v>
      </c>
      <c r="BD50" s="297">
        <f t="shared" ca="1" si="56"/>
        <v>0.2577486580315288</v>
      </c>
      <c r="BE50" s="297">
        <f t="shared" ca="1" si="57"/>
        <v>0.60545359821920763</v>
      </c>
      <c r="BF50" s="297">
        <f t="shared" ca="1" si="58"/>
        <v>0</v>
      </c>
      <c r="BG50" s="297">
        <f t="shared" ca="1" si="59"/>
        <v>0</v>
      </c>
      <c r="BH50" s="298">
        <f t="shared" ca="1" si="60"/>
        <v>0</v>
      </c>
    </row>
    <row r="51" spans="1:60" x14ac:dyDescent="0.2">
      <c r="A51" s="317">
        <v>2034</v>
      </c>
      <c r="B51" s="820">
        <f t="shared" si="76"/>
        <v>169300</v>
      </c>
      <c r="C51" s="821">
        <f t="shared" si="76"/>
        <v>2840.18</v>
      </c>
      <c r="D51" s="821">
        <f t="shared" si="76"/>
        <v>9215.81</v>
      </c>
      <c r="E51" s="821">
        <f t="shared" si="76"/>
        <v>273321.93</v>
      </c>
      <c r="F51" s="821">
        <f t="shared" si="76"/>
        <v>95955.06</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7935.0407444662496</v>
      </c>
      <c r="P51" s="276">
        <f t="shared" si="30"/>
        <v>7327.4736403114839</v>
      </c>
      <c r="Q51" s="276">
        <f t="shared" si="31"/>
        <v>11486.845505864221</v>
      </c>
      <c r="R51" s="276">
        <f t="shared" si="32"/>
        <v>9478.7119794053961</v>
      </c>
      <c r="S51" s="278">
        <f t="shared" si="33"/>
        <v>64766.457315925356</v>
      </c>
      <c r="T51" s="734">
        <f t="shared" si="61"/>
        <v>103.28076218531623</v>
      </c>
      <c r="U51" s="290">
        <f t="shared" si="62"/>
        <v>710.84786634008196</v>
      </c>
      <c r="V51" s="290">
        <f t="shared" si="63"/>
        <v>-3448.5239992126553</v>
      </c>
      <c r="W51" s="290">
        <f t="shared" si="64"/>
        <v>-1440.3904727538302</v>
      </c>
      <c r="X51" s="291">
        <f t="shared" si="65"/>
        <v>-56728.135809273794</v>
      </c>
      <c r="Y51" s="293">
        <f ca="1">IF(AND(Y$22=TRUE,INDEX(CDRANGE_CLS1,MATCH($A51,$A$24:$A$67,0),MATCH(Y$20,$B$20:$G$20,0))&lt;$D$6/OPDAYS_Cls1),86,payback(C51,T51,disc_rate/12,85))</f>
        <v>31</v>
      </c>
      <c r="Z51" s="294">
        <f ca="1">IF(AND(Z$22=TRUE,INDEX(CDRANGE_CLS1,MATCH($A51,$A$24:$A$67,0),MATCH(Z$20,$B$20:$G$20,0))&lt;$D$6/OPDAYS_Cls1),86,payback(D51,U51,disc_rate/12,85))</f>
        <v>14</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4">
        <f t="shared" si="40"/>
        <v>0.49993830271200684</v>
      </c>
      <c r="AJ51" s="1145">
        <f t="shared" si="41"/>
        <v>0.49993830271200684</v>
      </c>
      <c r="AK51" s="1145">
        <f t="shared" si="42"/>
        <v>0.3962939517576638</v>
      </c>
      <c r="AL51" s="1145">
        <f t="shared" si="43"/>
        <v>2.2793859681460291E-3</v>
      </c>
      <c r="AM51" s="1153">
        <f t="shared" si="44"/>
        <v>0</v>
      </c>
      <c r="AN51" s="299">
        <f t="shared" si="66"/>
        <v>0.99921854213575512</v>
      </c>
      <c r="AO51" s="300">
        <f t="shared" si="67"/>
        <v>0.99180281940855475</v>
      </c>
      <c r="AP51" s="300">
        <f t="shared" si="68"/>
        <v>7.1738381937103135E-4</v>
      </c>
      <c r="AQ51" s="300">
        <f t="shared" si="69"/>
        <v>0.40970521443887109</v>
      </c>
      <c r="AR51" s="598">
        <f t="shared" si="70"/>
        <v>0</v>
      </c>
      <c r="AS51" s="296">
        <f t="shared" ca="1" si="46"/>
        <v>0.34083050686243965</v>
      </c>
      <c r="AT51" s="297">
        <f t="shared" ca="1" si="47"/>
        <v>0.87063020932380952</v>
      </c>
      <c r="AU51" s="297">
        <f t="shared" si="48"/>
        <v>0</v>
      </c>
      <c r="AV51" s="297">
        <f t="shared" ca="1" si="49"/>
        <v>0</v>
      </c>
      <c r="AW51" s="298">
        <f t="shared" ca="1" si="50"/>
        <v>0</v>
      </c>
      <c r="AX51" s="296">
        <f t="shared" ca="1" si="51"/>
        <v>0.34056416218247743</v>
      </c>
      <c r="AY51" s="297">
        <f t="shared" ca="1" si="52"/>
        <v>0.86349349626961447</v>
      </c>
      <c r="AZ51" s="297">
        <f t="shared" si="53"/>
        <v>0</v>
      </c>
      <c r="BA51" s="297">
        <f t="shared" ca="1" si="71"/>
        <v>0</v>
      </c>
      <c r="BB51" s="298">
        <f t="shared" ca="1" si="72"/>
        <v>0</v>
      </c>
      <c r="BC51" s="296">
        <f t="shared" ca="1" si="73"/>
        <v>0.13650650373038542</v>
      </c>
      <c r="BD51" s="297">
        <f t="shared" ca="1" si="56"/>
        <v>0.24423659202926815</v>
      </c>
      <c r="BE51" s="297">
        <f t="shared" ca="1" si="57"/>
        <v>0.61925690424034641</v>
      </c>
      <c r="BF51" s="297">
        <f t="shared" ca="1" si="58"/>
        <v>0</v>
      </c>
      <c r="BG51" s="297">
        <f t="shared" ca="1" si="59"/>
        <v>0</v>
      </c>
      <c r="BH51" s="298">
        <f t="shared" ca="1" si="60"/>
        <v>0</v>
      </c>
    </row>
    <row r="52" spans="1:60" ht="15" thickBot="1" x14ac:dyDescent="0.25">
      <c r="A52" s="302">
        <v>2035</v>
      </c>
      <c r="B52" s="823">
        <f t="shared" si="76"/>
        <v>169300</v>
      </c>
      <c r="C52" s="824">
        <f t="shared" si="76"/>
        <v>2866.59</v>
      </c>
      <c r="D52" s="824">
        <f t="shared" si="76"/>
        <v>9139.59</v>
      </c>
      <c r="E52" s="824">
        <f t="shared" si="76"/>
        <v>246409.59</v>
      </c>
      <c r="F52" s="824">
        <f t="shared" si="76"/>
        <v>93683.59</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7993.1378645639734</v>
      </c>
      <c r="P52" s="779">
        <f t="shared" si="30"/>
        <v>7379.9995919344237</v>
      </c>
      <c r="Q52" s="779">
        <f t="shared" si="31"/>
        <v>11356.005556700969</v>
      </c>
      <c r="R52" s="779">
        <f t="shared" si="32"/>
        <v>9150.3353720946179</v>
      </c>
      <c r="S52" s="780">
        <f t="shared" si="33"/>
        <v>65346.763002636719</v>
      </c>
      <c r="T52" s="737">
        <f t="shared" si="61"/>
        <v>105.77476784434839</v>
      </c>
      <c r="U52" s="304">
        <f t="shared" si="62"/>
        <v>718.91304047389804</v>
      </c>
      <c r="V52" s="304">
        <f t="shared" si="63"/>
        <v>-3257.0929242926477</v>
      </c>
      <c r="W52" s="304">
        <f t="shared" si="64"/>
        <v>-1051.4227396862962</v>
      </c>
      <c r="X52" s="305">
        <f t="shared" si="65"/>
        <v>-57247.8503702284</v>
      </c>
      <c r="Y52" s="307">
        <f ca="1">IF(AND(Y$22=TRUE,INDEX(CDRANGE_CLS1,MATCH($A52,$A$24:$A$67,0),MATCH(Y$20,$B$20:$G$20,0))&lt;$D$6/OPDAYS_Cls1),86,payback(C52,T52,disc_rate/12,85))</f>
        <v>30</v>
      </c>
      <c r="Z52" s="308">
        <f ca="1">IF(AND(Z$22=TRUE,INDEX(CDRANGE_CLS1,MATCH($A52,$A$24:$A$67,0),MATCH(Z$20,$B$20:$G$20,0))&lt;$D$6/OPDAYS_Cls1),86,payback(D52,U52,disc_rate/12,85))</f>
        <v>14</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7">
        <f t="shared" si="40"/>
        <v>0.4999773010656488</v>
      </c>
      <c r="AJ52" s="1148">
        <f t="shared" si="41"/>
        <v>0.4999773010656488</v>
      </c>
      <c r="AK52" s="1148">
        <f t="shared" si="42"/>
        <v>0.42804071804417687</v>
      </c>
      <c r="AL52" s="1148">
        <f t="shared" si="43"/>
        <v>3.0637151794099269E-3</v>
      </c>
      <c r="AM52" s="1154">
        <f t="shared" si="44"/>
        <v>0</v>
      </c>
      <c r="AN52" s="313">
        <f t="shared" si="66"/>
        <v>0.99920394728472461</v>
      </c>
      <c r="AO52" s="314">
        <f t="shared" si="67"/>
        <v>0.9919373035768958</v>
      </c>
      <c r="AP52" s="314">
        <f t="shared" si="68"/>
        <v>2.7826431032799137E-3</v>
      </c>
      <c r="AQ52" s="314">
        <f t="shared" si="69"/>
        <v>0.42717089660736374</v>
      </c>
      <c r="AR52" s="599">
        <f t="shared" si="70"/>
        <v>0</v>
      </c>
      <c r="AS52" s="310">
        <f t="shared" ca="1" si="46"/>
        <v>0.36786274022887372</v>
      </c>
      <c r="AT52" s="311">
        <f t="shared" ca="1" si="47"/>
        <v>0.87069812399370061</v>
      </c>
      <c r="AU52" s="311">
        <f t="shared" si="48"/>
        <v>0</v>
      </c>
      <c r="AV52" s="311">
        <f t="shared" ca="1" si="49"/>
        <v>0</v>
      </c>
      <c r="AW52" s="312">
        <f t="shared" ca="1" si="50"/>
        <v>0</v>
      </c>
      <c r="AX52" s="310">
        <f t="shared" ca="1" si="51"/>
        <v>0.36756990209566587</v>
      </c>
      <c r="AY52" s="311">
        <f t="shared" ca="1" si="52"/>
        <v>0.86367794934377307</v>
      </c>
      <c r="AZ52" s="311">
        <f t="shared" si="53"/>
        <v>0</v>
      </c>
      <c r="BA52" s="311">
        <f t="shared" ca="1" si="71"/>
        <v>0</v>
      </c>
      <c r="BB52" s="312">
        <f t="shared" ca="1" si="72"/>
        <v>0</v>
      </c>
      <c r="BC52" s="310">
        <f t="shared" ca="1" si="73"/>
        <v>0.13632205065622693</v>
      </c>
      <c r="BD52" s="311">
        <f t="shared" ca="1" si="56"/>
        <v>0.25783762295409052</v>
      </c>
      <c r="BE52" s="311">
        <f t="shared" ca="1" si="57"/>
        <v>0.60584032638968255</v>
      </c>
      <c r="BF52" s="311">
        <f t="shared" ca="1" si="58"/>
        <v>0</v>
      </c>
      <c r="BG52" s="311">
        <f t="shared" ca="1" si="59"/>
        <v>0</v>
      </c>
      <c r="BH52" s="312">
        <f t="shared" ca="1" si="60"/>
        <v>0</v>
      </c>
    </row>
    <row r="53" spans="1:60" x14ac:dyDescent="0.2">
      <c r="A53" s="316">
        <v>2036</v>
      </c>
      <c r="B53" s="826">
        <f t="shared" si="76"/>
        <v>169300</v>
      </c>
      <c r="C53" s="827">
        <f t="shared" si="76"/>
        <v>3449.55</v>
      </c>
      <c r="D53" s="827">
        <f t="shared" si="76"/>
        <v>9566.5499999999993</v>
      </c>
      <c r="E53" s="827">
        <f t="shared" si="76"/>
        <v>233540.69</v>
      </c>
      <c r="F53" s="827">
        <f t="shared" si="76"/>
        <v>89764.29</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7986.0546821086009</v>
      </c>
      <c r="P53" s="276">
        <f t="shared" si="30"/>
        <v>7336.4501732276494</v>
      </c>
      <c r="Q53" s="276">
        <f t="shared" si="31"/>
        <v>11106.055742836352</v>
      </c>
      <c r="R53" s="276">
        <f t="shared" si="32"/>
        <v>8731.5226968601073</v>
      </c>
      <c r="S53" s="278">
        <f t="shared" si="33"/>
        <v>66010.247693622412</v>
      </c>
      <c r="T53" s="733">
        <f t="shared" si="61"/>
        <v>180.76620390239532</v>
      </c>
      <c r="U53" s="276">
        <f t="shared" si="62"/>
        <v>830.37071278334679</v>
      </c>
      <c r="V53" s="276">
        <f t="shared" si="63"/>
        <v>-2939.2348568253556</v>
      </c>
      <c r="W53" s="276">
        <f t="shared" si="64"/>
        <v>-564.7018108491111</v>
      </c>
      <c r="X53" s="277">
        <f t="shared" si="65"/>
        <v>-57843.426807611417</v>
      </c>
      <c r="Y53" s="279">
        <f ca="1">IF(AND(Y$22=TRUE,INDEX(CDRANGE_CLS1,MATCH($A53,$A$24:$A$67,0),MATCH(Y$20,$B$20:$G$20,0))&lt;$D$6/OPDAYS_Cls1),86,payback(C53,T53,disc_rate/12,85))</f>
        <v>21</v>
      </c>
      <c r="Z53" s="280">
        <f ca="1">IF(AND(Z$22=TRUE,INDEX(CDRANGE_CLS1,MATCH($A53,$A$24:$A$67,0),MATCH(Z$20,$B$20:$G$20,0))&lt;$D$6/OPDAYS_Cls1),86,payback(D53,U53,disc_rate/12,85))</f>
        <v>12</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1">
        <f t="shared" si="40"/>
        <v>0.49999164928907602</v>
      </c>
      <c r="AJ53" s="1142">
        <f t="shared" si="41"/>
        <v>0.49999164928907602</v>
      </c>
      <c r="AK53" s="1142">
        <f t="shared" si="42"/>
        <v>0.44543405951518961</v>
      </c>
      <c r="AL53" s="1142">
        <f t="shared" si="43"/>
        <v>5.2154009286995593E-3</v>
      </c>
      <c r="AM53" s="1155">
        <f t="shared" si="44"/>
        <v>0</v>
      </c>
      <c r="AN53" s="285">
        <f t="shared" si="66"/>
        <v>0.99884745450051016</v>
      </c>
      <c r="AO53" s="286">
        <f t="shared" si="67"/>
        <v>0.99116981643258628</v>
      </c>
      <c r="AP53" s="286">
        <f t="shared" si="68"/>
        <v>5.0631050043602466E-3</v>
      </c>
      <c r="AQ53" s="286">
        <f t="shared" si="69"/>
        <v>0.45799745221062882</v>
      </c>
      <c r="AR53" s="611">
        <f t="shared" si="70"/>
        <v>0</v>
      </c>
      <c r="AS53" s="282">
        <f t="shared" ca="1" si="46"/>
        <v>0.65106752716412553</v>
      </c>
      <c r="AT53" s="283">
        <f t="shared" ca="1" si="47"/>
        <v>0.92082437904584813</v>
      </c>
      <c r="AU53" s="283">
        <f t="shared" si="48"/>
        <v>0</v>
      </c>
      <c r="AV53" s="283">
        <f t="shared" ca="1" si="49"/>
        <v>0</v>
      </c>
      <c r="AW53" s="284">
        <f t="shared" ca="1" si="50"/>
        <v>0</v>
      </c>
      <c r="AX53" s="282">
        <f t="shared" ca="1" si="51"/>
        <v>0.65031714221582848</v>
      </c>
      <c r="AY53" s="283">
        <f t="shared" ca="1" si="52"/>
        <v>0.9126933307455235</v>
      </c>
      <c r="AZ53" s="283">
        <f t="shared" si="53"/>
        <v>0</v>
      </c>
      <c r="BA53" s="283">
        <f t="shared" ca="1" si="71"/>
        <v>0</v>
      </c>
      <c r="BB53" s="284">
        <f t="shared" ca="1" si="72"/>
        <v>0</v>
      </c>
      <c r="BC53" s="282">
        <f t="shared" ca="1" si="73"/>
        <v>8.7306669254476499E-2</v>
      </c>
      <c r="BD53" s="283">
        <f t="shared" ca="1" si="56"/>
        <v>0.37974161327615819</v>
      </c>
      <c r="BE53" s="283">
        <f t="shared" ca="1" si="57"/>
        <v>0.53295171746936532</v>
      </c>
      <c r="BF53" s="283">
        <f t="shared" ca="1" si="58"/>
        <v>0</v>
      </c>
      <c r="BG53" s="283">
        <f t="shared" ca="1" si="59"/>
        <v>0</v>
      </c>
      <c r="BH53" s="284">
        <f t="shared" ca="1" si="60"/>
        <v>0</v>
      </c>
    </row>
    <row r="54" spans="1:60" x14ac:dyDescent="0.2">
      <c r="A54" s="317">
        <v>2037</v>
      </c>
      <c r="B54" s="820">
        <f t="shared" ref="B54:G67" si="78">ROUND(INDEX(COST_Cls1,$A54-($A$24-1),MATCH(B$20,TECHOPTS_Cls1,0)),2)</f>
        <v>169300</v>
      </c>
      <c r="C54" s="821">
        <f t="shared" si="78"/>
        <v>3805.01</v>
      </c>
      <c r="D54" s="821">
        <f t="shared" si="78"/>
        <v>9766.01</v>
      </c>
      <c r="E54" s="821">
        <f t="shared" si="78"/>
        <v>220444.28</v>
      </c>
      <c r="F54" s="821">
        <f t="shared" si="78"/>
        <v>85617.48</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7987.0976763070812</v>
      </c>
      <c r="P54" s="276">
        <f t="shared" si="30"/>
        <v>7315.410955846166</v>
      </c>
      <c r="Q54" s="276">
        <f t="shared" si="31"/>
        <v>10946.564933031808</v>
      </c>
      <c r="R54" s="276">
        <f t="shared" si="32"/>
        <v>8431.8984000703058</v>
      </c>
      <c r="S54" s="278">
        <f t="shared" si="33"/>
        <v>66458.789198817292</v>
      </c>
      <c r="T54" s="734">
        <f t="shared" si="61"/>
        <v>223.09590993465463</v>
      </c>
      <c r="U54" s="290">
        <f t="shared" si="62"/>
        <v>894.78263039556987</v>
      </c>
      <c r="V54" s="290">
        <f t="shared" si="63"/>
        <v>-2736.3713467900725</v>
      </c>
      <c r="W54" s="290">
        <f t="shared" si="64"/>
        <v>-221.70481382856997</v>
      </c>
      <c r="X54" s="291">
        <f t="shared" si="65"/>
        <v>-58248.595612575555</v>
      </c>
      <c r="Y54" s="293">
        <f ca="1">IF(AND(Y$22=TRUE,INDEX(CDRANGE_CLS1,MATCH($A54,$A$24:$A$67,0),MATCH(Y$20,$B$20:$G$20,0))&lt;$D$6/OPDAYS_Cls1),86,payback(C54,T54,disc_rate/12,85))</f>
        <v>19</v>
      </c>
      <c r="Z54" s="294">
        <f ca="1">IF(AND(Z$22=TRUE,INDEX(CDRANGE_CLS1,MATCH($A54,$A$24:$A$67,0),MATCH(Z$20,$B$20:$G$20,0))&lt;$D$6/OPDAYS_Cls1),86,payback(D54,U54,disc_rate/12,85))</f>
        <v>12</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4">
        <f t="shared" si="40"/>
        <v>0.4999969279126989</v>
      </c>
      <c r="AJ54" s="1145">
        <f t="shared" si="41"/>
        <v>0.4999969279126989</v>
      </c>
      <c r="AK54" s="1145">
        <f t="shared" si="42"/>
        <v>0.46586451718094984</v>
      </c>
      <c r="AL54" s="1145">
        <f t="shared" si="43"/>
        <v>8.3278942965739552E-3</v>
      </c>
      <c r="AM54" s="1153">
        <f t="shared" si="44"/>
        <v>0</v>
      </c>
      <c r="AN54" s="299">
        <f t="shared" si="66"/>
        <v>0.99859786270955819</v>
      </c>
      <c r="AO54" s="300">
        <f t="shared" si="67"/>
        <v>0.99079948064170331</v>
      </c>
      <c r="AP54" s="300">
        <f t="shared" si="68"/>
        <v>9.008650911026872E-3</v>
      </c>
      <c r="AQ54" s="300">
        <f t="shared" si="69"/>
        <v>0.49144314788315213</v>
      </c>
      <c r="AR54" s="598">
        <f t="shared" si="70"/>
        <v>0</v>
      </c>
      <c r="AS54" s="296">
        <f t="shared" ca="1" si="46"/>
        <v>0.71771336010632658</v>
      </c>
      <c r="AT54" s="297">
        <f t="shared" ca="1" si="47"/>
        <v>0.92083410057885096</v>
      </c>
      <c r="AU54" s="297">
        <f t="shared" si="48"/>
        <v>0</v>
      </c>
      <c r="AV54" s="297">
        <f t="shared" ca="1" si="49"/>
        <v>0</v>
      </c>
      <c r="AW54" s="298">
        <f t="shared" ca="1" si="50"/>
        <v>0</v>
      </c>
      <c r="AX54" s="296">
        <f t="shared" ca="1" si="51"/>
        <v>0.71670702744027326</v>
      </c>
      <c r="AY54" s="297">
        <f t="shared" ca="1" si="52"/>
        <v>0.91236194861069553</v>
      </c>
      <c r="AZ54" s="297">
        <f t="shared" si="53"/>
        <v>0</v>
      </c>
      <c r="BA54" s="297">
        <f t="shared" ca="1" si="71"/>
        <v>0</v>
      </c>
      <c r="BB54" s="298">
        <f t="shared" ca="1" si="72"/>
        <v>0</v>
      </c>
      <c r="BC54" s="296">
        <f t="shared" ca="1" si="73"/>
        <v>8.7638051389304472E-2</v>
      </c>
      <c r="BD54" s="297">
        <f t="shared" ca="1" si="56"/>
        <v>0.40139259279462725</v>
      </c>
      <c r="BE54" s="297">
        <f t="shared" ca="1" si="57"/>
        <v>0.51096935581606828</v>
      </c>
      <c r="BF54" s="297">
        <f t="shared" ca="1" si="58"/>
        <v>0</v>
      </c>
      <c r="BG54" s="297">
        <f t="shared" ca="1" si="59"/>
        <v>0</v>
      </c>
      <c r="BH54" s="298">
        <f t="shared" ca="1" si="60"/>
        <v>0</v>
      </c>
    </row>
    <row r="55" spans="1:60" x14ac:dyDescent="0.2">
      <c r="A55" s="317">
        <v>2038</v>
      </c>
      <c r="B55" s="820">
        <f t="shared" si="78"/>
        <v>169300</v>
      </c>
      <c r="C55" s="821">
        <f t="shared" si="78"/>
        <v>4355.74</v>
      </c>
      <c r="D55" s="821">
        <f t="shared" si="78"/>
        <v>10160.74</v>
      </c>
      <c r="E55" s="821">
        <f t="shared" si="78"/>
        <v>207543.14</v>
      </c>
      <c r="F55" s="821">
        <f t="shared" si="78"/>
        <v>81665.94</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7972.829199714407</v>
      </c>
      <c r="P55" s="276">
        <f t="shared" si="30"/>
        <v>7269.1418953273969</v>
      </c>
      <c r="Q55" s="276">
        <f t="shared" si="31"/>
        <v>10711.747775271411</v>
      </c>
      <c r="R55" s="276">
        <f t="shared" si="32"/>
        <v>8112.4325799362259</v>
      </c>
      <c r="S55" s="278">
        <f t="shared" si="33"/>
        <v>67020.437162363218</v>
      </c>
      <c r="T55" s="734">
        <f t="shared" si="61"/>
        <v>300.70006062991797</v>
      </c>
      <c r="U55" s="290">
        <f t="shared" si="62"/>
        <v>1004.387365016928</v>
      </c>
      <c r="V55" s="290">
        <f t="shared" si="63"/>
        <v>-2438.2185149270863</v>
      </c>
      <c r="W55" s="290">
        <f t="shared" si="64"/>
        <v>161.09668040809902</v>
      </c>
      <c r="X55" s="291">
        <f t="shared" si="65"/>
        <v>-58746.907902018895</v>
      </c>
      <c r="Y55" s="293">
        <f ca="1">IF(AND(Y$22=TRUE,INDEX(CDRANGE_CLS1,MATCH($A55,$A$24:$A$67,0),MATCH(Y$20,$B$20:$G$20,0))&lt;$D$6/OPDAYS_Cls1),86,payback(C55,T55,disc_rate/12,85))</f>
        <v>16</v>
      </c>
      <c r="Z55" s="294">
        <f ca="1">IF(AND(Z$22=TRUE,INDEX(CDRANGE_CLS1,MATCH($A55,$A$24:$A$67,0),MATCH(Z$20,$B$20:$G$20,0))&lt;$D$6/OPDAYS_Cls1),86,payback(D55,U55,disc_rate/12,85))</f>
        <v>11</v>
      </c>
      <c r="AA55" s="294">
        <f>IF(AND(AA$22=TRUE,INDEX(CDRANGE_CLS1,MATCH($A55,$A$24:$A$67,0),MATCH(AA$20,$B$20:$G$20,0))&lt;$D$6/OPDAYS_Cls1),86,payback(E55,V55,disc_rate/12,85))</f>
        <v>86</v>
      </c>
      <c r="AB55" s="294">
        <f ca="1">IF(AND(AB$22=TRUE,INDEX(CDRANGE_CLS1,MATCH($A55,$A$24:$A$67,0),MATCH(AB$20,$B$20:$G$20,0))&lt;$D$6/OPDAYS_Cls1),86,payback(F55,W55,disc_rate/12,85))</f>
        <v>86</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4">
        <f t="shared" si="40"/>
        <v>0.49999886983785102</v>
      </c>
      <c r="AJ55" s="1145">
        <f t="shared" si="41"/>
        <v>0.49999886983785102</v>
      </c>
      <c r="AK55" s="1145">
        <f t="shared" si="42"/>
        <v>0.47598460365350959</v>
      </c>
      <c r="AL55" s="1145">
        <f t="shared" si="43"/>
        <v>1.0317713431445202E-2</v>
      </c>
      <c r="AM55" s="1153">
        <f t="shared" si="44"/>
        <v>0</v>
      </c>
      <c r="AN55" s="299">
        <f t="shared" si="66"/>
        <v>0.99816300372715339</v>
      </c>
      <c r="AO55" s="300">
        <f t="shared" si="67"/>
        <v>0.99004449195926947</v>
      </c>
      <c r="AP55" s="300">
        <f t="shared" si="68"/>
        <v>1.5383489822861529E-2</v>
      </c>
      <c r="AQ55" s="300">
        <f t="shared" si="69"/>
        <v>0.52395647192821948</v>
      </c>
      <c r="AR55" s="598">
        <f t="shared" si="70"/>
        <v>0</v>
      </c>
      <c r="AS55" s="296">
        <f t="shared" ca="1" si="46"/>
        <v>0.81315362328172014</v>
      </c>
      <c r="AT55" s="297">
        <f t="shared" ca="1" si="47"/>
        <v>0.94233029617962938</v>
      </c>
      <c r="AU55" s="297">
        <f t="shared" si="48"/>
        <v>0</v>
      </c>
      <c r="AV55" s="297">
        <f t="shared" ca="1" si="49"/>
        <v>0</v>
      </c>
      <c r="AW55" s="298">
        <f t="shared" ca="1" si="50"/>
        <v>0</v>
      </c>
      <c r="AX55" s="296">
        <f t="shared" ca="1" si="51"/>
        <v>0.81165986310649985</v>
      </c>
      <c r="AY55" s="297">
        <f t="shared" ca="1" si="52"/>
        <v>0.93294891933898905</v>
      </c>
      <c r="AZ55" s="297">
        <f t="shared" si="53"/>
        <v>0</v>
      </c>
      <c r="BA55" s="297">
        <f t="shared" ca="1" si="71"/>
        <v>0</v>
      </c>
      <c r="BB55" s="298">
        <f t="shared" ca="1" si="72"/>
        <v>0</v>
      </c>
      <c r="BC55" s="296">
        <f t="shared" ca="1" si="73"/>
        <v>6.7051080661010953E-2</v>
      </c>
      <c r="BD55" s="297">
        <f t="shared" ca="1" si="56"/>
        <v>0.43404412483501931</v>
      </c>
      <c r="BE55" s="297">
        <f t="shared" ca="1" si="57"/>
        <v>0.49890479450396974</v>
      </c>
      <c r="BF55" s="297">
        <f t="shared" ca="1" si="58"/>
        <v>0</v>
      </c>
      <c r="BG55" s="297">
        <f t="shared" ca="1" si="59"/>
        <v>0</v>
      </c>
      <c r="BH55" s="298">
        <f t="shared" ca="1" si="60"/>
        <v>0</v>
      </c>
    </row>
    <row r="56" spans="1:60" x14ac:dyDescent="0.2">
      <c r="A56" s="317">
        <v>2039</v>
      </c>
      <c r="B56" s="820">
        <f t="shared" si="78"/>
        <v>169300</v>
      </c>
      <c r="C56" s="821">
        <f t="shared" si="78"/>
        <v>5178.7700000000004</v>
      </c>
      <c r="D56" s="821">
        <f t="shared" si="78"/>
        <v>10827.77</v>
      </c>
      <c r="E56" s="821">
        <f t="shared" si="78"/>
        <v>194914.31</v>
      </c>
      <c r="F56" s="821">
        <f t="shared" si="78"/>
        <v>77986.710000000006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7921.1538696539637</v>
      </c>
      <c r="P56" s="276">
        <f t="shared" si="30"/>
        <v>7174.496307041868</v>
      </c>
      <c r="Q56" s="276">
        <f t="shared" si="31"/>
        <v>10305.945352408859</v>
      </c>
      <c r="R56" s="276">
        <f t="shared" si="32"/>
        <v>7728.6974613560751</v>
      </c>
      <c r="S56" s="278">
        <f t="shared" si="33"/>
        <v>67596.226670143194</v>
      </c>
      <c r="T56" s="734">
        <f t="shared" si="61"/>
        <v>419.76831561941708</v>
      </c>
      <c r="U56" s="290">
        <f t="shared" si="62"/>
        <v>1166.4258782315128</v>
      </c>
      <c r="V56" s="290">
        <f t="shared" si="63"/>
        <v>-1965.0231671354777</v>
      </c>
      <c r="W56" s="290">
        <f t="shared" si="64"/>
        <v>612.22472391730571</v>
      </c>
      <c r="X56" s="291">
        <f t="shared" si="65"/>
        <v>-59255.304484869812</v>
      </c>
      <c r="Y56" s="293">
        <f ca="1">IF(AND(Y$22=TRUE,INDEX(CDRANGE_CLS1,MATCH($A56,$A$24:$A$67,0),MATCH(Y$20,$B$20:$G$20,0))&lt;$D$6/OPDAYS_Cls1),86,payback(C56,T56,disc_rate/12,85))</f>
        <v>13</v>
      </c>
      <c r="Z56" s="294">
        <f ca="1">IF(AND(Z$22=TRUE,INDEX(CDRANGE_CLS1,MATCH($A56,$A$24:$A$67,0),MATCH(Z$20,$B$20:$G$20,0))&lt;$D$6/OPDAYS_Cls1),86,payback(D56,U56,disc_rate/12,85))</f>
        <v>10</v>
      </c>
      <c r="AA56" s="294">
        <f>IF(AND(AA$22=TRUE,INDEX(CDRANGE_CLS1,MATCH($A56,$A$24:$A$67,0),MATCH(AA$20,$B$20:$G$20,0))&lt;$D$6/OPDAYS_Cls1),86,payback(E56,V56,disc_rate/12,85))</f>
        <v>86</v>
      </c>
      <c r="AB56" s="294">
        <f ca="1">IF(AND(AB$22=TRUE,INDEX(CDRANGE_CLS1,MATCH($A56,$A$24:$A$67,0),MATCH(AB$20,$B$20:$G$20,0))&lt;$D$6/OPDAYS_Cls1),86,payback(F56,W56,disc_rate/12,85))</f>
        <v>86</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4">
        <f t="shared" si="40"/>
        <v>0.49999958423598612</v>
      </c>
      <c r="AJ56" s="1145">
        <f t="shared" si="41"/>
        <v>0.49999958423598612</v>
      </c>
      <c r="AK56" s="1145">
        <f t="shared" si="42"/>
        <v>0.48366005780379517</v>
      </c>
      <c r="AL56" s="1145">
        <f t="shared" si="43"/>
        <v>1.5318892340011261E-2</v>
      </c>
      <c r="AM56" s="1153">
        <f t="shared" si="44"/>
        <v>0</v>
      </c>
      <c r="AN56" s="299">
        <f t="shared" si="66"/>
        <v>0.99740419211728892</v>
      </c>
      <c r="AO56" s="300">
        <f t="shared" si="67"/>
        <v>0.98870212676789238</v>
      </c>
      <c r="AP56" s="300">
        <f t="shared" si="68"/>
        <v>2.5175300777839471E-2</v>
      </c>
      <c r="AQ56" s="300">
        <f t="shared" si="69"/>
        <v>0.554648952935207</v>
      </c>
      <c r="AR56" s="598">
        <f t="shared" si="70"/>
        <v>0</v>
      </c>
      <c r="AS56" s="296">
        <f t="shared" ca="1" si="46"/>
        <v>0.89687142847521151</v>
      </c>
      <c r="AT56" s="297">
        <f t="shared" ca="1" si="47"/>
        <v>0.96102969280404571</v>
      </c>
      <c r="AU56" s="297">
        <f t="shared" si="48"/>
        <v>0</v>
      </c>
      <c r="AV56" s="297">
        <f t="shared" ca="1" si="49"/>
        <v>0</v>
      </c>
      <c r="AW56" s="298">
        <f t="shared" ca="1" si="50"/>
        <v>0</v>
      </c>
      <c r="AX56" s="296">
        <f t="shared" ca="1" si="51"/>
        <v>0.89454332255139724</v>
      </c>
      <c r="AY56" s="297">
        <f t="shared" ca="1" si="52"/>
        <v>0.95017210116245432</v>
      </c>
      <c r="AZ56" s="297">
        <f t="shared" si="53"/>
        <v>0</v>
      </c>
      <c r="BA56" s="297">
        <f t="shared" ca="1" si="71"/>
        <v>0</v>
      </c>
      <c r="BB56" s="298">
        <f t="shared" ca="1" si="72"/>
        <v>0</v>
      </c>
      <c r="BC56" s="296">
        <f t="shared" ca="1" si="73"/>
        <v>4.9827898837545681E-2</v>
      </c>
      <c r="BD56" s="297">
        <f t="shared" ca="1" si="56"/>
        <v>0.46075947403221246</v>
      </c>
      <c r="BE56" s="297">
        <f t="shared" ca="1" si="57"/>
        <v>0.48941262713024186</v>
      </c>
      <c r="BF56" s="297">
        <f t="shared" ca="1" si="58"/>
        <v>0</v>
      </c>
      <c r="BG56" s="297">
        <f t="shared" ca="1" si="59"/>
        <v>0</v>
      </c>
      <c r="BH56" s="298">
        <f t="shared" ca="1" si="60"/>
        <v>0</v>
      </c>
    </row>
    <row r="57" spans="1:60" ht="15" thickBot="1" x14ac:dyDescent="0.25">
      <c r="A57" s="618">
        <v>2040</v>
      </c>
      <c r="B57" s="814">
        <f t="shared" si="78"/>
        <v>169300</v>
      </c>
      <c r="C57" s="815">
        <f t="shared" si="78"/>
        <v>6344.69</v>
      </c>
      <c r="D57" s="815">
        <f t="shared" si="78"/>
        <v>11837.69</v>
      </c>
      <c r="E57" s="815">
        <f t="shared" si="78"/>
        <v>182628.36</v>
      </c>
      <c r="F57" s="815">
        <f t="shared" si="78"/>
        <v>74650.36</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7757.2806615759027</v>
      </c>
      <c r="P57" s="776">
        <f t="shared" si="30"/>
        <v>6963.4430992514717</v>
      </c>
      <c r="Q57" s="776">
        <f t="shared" si="31"/>
        <v>9696.5931138636824</v>
      </c>
      <c r="R57" s="776">
        <f t="shared" si="32"/>
        <v>7329.5877749229594</v>
      </c>
      <c r="S57" s="777">
        <f t="shared" si="33"/>
        <v>67599.230550625085</v>
      </c>
      <c r="T57" s="735">
        <f t="shared" si="61"/>
        <v>583.84179030166433</v>
      </c>
      <c r="U57" s="619">
        <f t="shared" si="62"/>
        <v>1377.6793526260954</v>
      </c>
      <c r="V57" s="619">
        <f t="shared" si="63"/>
        <v>-1355.4706619861154</v>
      </c>
      <c r="W57" s="619">
        <f t="shared" si="64"/>
        <v>1011.5346769546077</v>
      </c>
      <c r="X57" s="620">
        <f t="shared" si="65"/>
        <v>-59258.108098747514</v>
      </c>
      <c r="Y57" s="621">
        <f ca="1">IF(AND(Y$22=TRUE,INDEX(CDRANGE_CLS1,MATCH($A57,$A$24:$A$67,0),MATCH(Y$20,$B$20:$G$20,0))&lt;$D$6/OPDAYS_Cls1),86,payback(C57,T57,disc_rate/12,85))</f>
        <v>12</v>
      </c>
      <c r="Z57" s="622">
        <f ca="1">IF(AND(Z$22=TRUE,INDEX(CDRANGE_CLS1,MATCH($A57,$A$24:$A$67,0),MATCH(Z$20,$B$20:$G$20,0))&lt;$D$6/OPDAYS_Cls1),86,payback(D57,U57,disc_rate/12,85))</f>
        <v>9</v>
      </c>
      <c r="AA57" s="622">
        <f>IF(AND(AA$22=TRUE,INDEX(CDRANGE_CLS1,MATCH($A57,$A$24:$A$67,0),MATCH(AA$20,$B$20:$G$20,0))&lt;$D$6/OPDAYS_Cls1),86,payback(E57,V57,disc_rate/12,85))</f>
        <v>86</v>
      </c>
      <c r="AB57" s="622">
        <f ca="1">IF(AND(AB$22=TRUE,INDEX(CDRANGE_CLS1,MATCH($A57,$A$24:$A$67,0),MATCH(AB$20,$B$20:$G$20,0))&lt;$D$6/OPDAYS_Cls1),86,payback(F57,W57,disc_rate/12,85))</f>
        <v>86</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6">
        <f t="shared" si="40"/>
        <v>0.4999998470488865</v>
      </c>
      <c r="AJ57" s="1157">
        <f t="shared" si="41"/>
        <v>0.4999998470488865</v>
      </c>
      <c r="AK57" s="1157">
        <f t="shared" si="42"/>
        <v>0.49142580877151454</v>
      </c>
      <c r="AL57" s="1157">
        <f t="shared" si="43"/>
        <v>2.1893480202407334E-2</v>
      </c>
      <c r="AM57" s="1158">
        <f t="shared" si="44"/>
        <v>0</v>
      </c>
      <c r="AN57" s="630">
        <f t="shared" si="66"/>
        <v>0.99610634447570467</v>
      </c>
      <c r="AO57" s="628">
        <f t="shared" si="67"/>
        <v>0.98651124502299903</v>
      </c>
      <c r="AP57" s="628">
        <f t="shared" si="68"/>
        <v>3.9464165761413872E-2</v>
      </c>
      <c r="AQ57" s="628">
        <f t="shared" si="69"/>
        <v>0.58270938727467658</v>
      </c>
      <c r="AR57" s="629">
        <f t="shared" si="70"/>
        <v>0</v>
      </c>
      <c r="AS57" s="624">
        <f t="shared" ca="1" si="46"/>
        <v>0.92083947669217436</v>
      </c>
      <c r="AT57" s="625">
        <f t="shared" ca="1" si="47"/>
        <v>0.97659487296168312</v>
      </c>
      <c r="AU57" s="625">
        <f t="shared" si="48"/>
        <v>0</v>
      </c>
      <c r="AV57" s="625">
        <f t="shared" ca="1" si="49"/>
        <v>0</v>
      </c>
      <c r="AW57" s="626">
        <f t="shared" ca="1" si="50"/>
        <v>0</v>
      </c>
      <c r="AX57" s="624">
        <f t="shared" ca="1" si="51"/>
        <v>0.91725404497676266</v>
      </c>
      <c r="AY57" s="625">
        <f t="shared" ca="1" si="52"/>
        <v>0.96342182400850762</v>
      </c>
      <c r="AZ57" s="625">
        <f t="shared" si="53"/>
        <v>0</v>
      </c>
      <c r="BA57" s="625">
        <f t="shared" ca="1" si="71"/>
        <v>0</v>
      </c>
      <c r="BB57" s="626">
        <f t="shared" ca="1" si="72"/>
        <v>0</v>
      </c>
      <c r="BC57" s="624">
        <f t="shared" ca="1" si="73"/>
        <v>3.6578175991492268E-2</v>
      </c>
      <c r="BD57" s="625">
        <f t="shared" ca="1" si="56"/>
        <v>0.46988562976963238</v>
      </c>
      <c r="BE57" s="625">
        <f t="shared" ca="1" si="57"/>
        <v>0.49353619423887529</v>
      </c>
      <c r="BF57" s="625">
        <f t="shared" ca="1" si="58"/>
        <v>0</v>
      </c>
      <c r="BG57" s="625">
        <f t="shared" ca="1" si="59"/>
        <v>0</v>
      </c>
      <c r="BH57" s="626">
        <f t="shared" ca="1" si="60"/>
        <v>0</v>
      </c>
    </row>
    <row r="58" spans="1:60" x14ac:dyDescent="0.2">
      <c r="A58" s="318">
        <v>2041</v>
      </c>
      <c r="B58" s="817">
        <f t="shared" si="78"/>
        <v>169300</v>
      </c>
      <c r="C58" s="818">
        <f t="shared" si="78"/>
        <v>7877.14</v>
      </c>
      <c r="D58" s="818">
        <f t="shared" si="78"/>
        <v>13214.14</v>
      </c>
      <c r="E58" s="818">
        <f t="shared" si="78"/>
        <v>170708.94</v>
      </c>
      <c r="F58" s="818">
        <f t="shared" si="78"/>
        <v>71680.539999999994</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7599.793795045196</v>
      </c>
      <c r="P58" s="632">
        <f t="shared" si="30"/>
        <v>6746.7226073367037</v>
      </c>
      <c r="Q58" s="632">
        <f t="shared" si="31"/>
        <v>8879.7957150564562</v>
      </c>
      <c r="R58" s="632">
        <f t="shared" si="32"/>
        <v>6890.5245784818408</v>
      </c>
      <c r="S58" s="745">
        <f t="shared" si="33"/>
        <v>68031.447519132271</v>
      </c>
      <c r="T58" s="736">
        <f t="shared" si="61"/>
        <v>794.62875430267013</v>
      </c>
      <c r="U58" s="632">
        <f t="shared" si="62"/>
        <v>1647.6999420111624</v>
      </c>
      <c r="V58" s="632">
        <f t="shared" si="63"/>
        <v>-485.37316570859002</v>
      </c>
      <c r="W58" s="632">
        <f t="shared" si="64"/>
        <v>1503.8979708660254</v>
      </c>
      <c r="X58" s="633">
        <f t="shared" si="65"/>
        <v>-59637.024969784405</v>
      </c>
      <c r="Y58" s="634">
        <f ca="1">IF(AND(Y$22=TRUE,INDEX(CDRANGE_CLS1,MATCH($A58,$A$24:$A$67,0),MATCH(Y$20,$B$20:$G$20,0))&lt;$D$6/OPDAYS_Cls1),86,payback(C58,T58,disc_rate/12,85))</f>
        <v>11</v>
      </c>
      <c r="Z58" s="635">
        <f ca="1">IF(AND(Z$22=TRUE,INDEX(CDRANGE_CLS1,MATCH($A58,$A$24:$A$67,0),MATCH(Z$20,$B$20:$G$20,0))&lt;$D$6/OPDAYS_Cls1),86,payback(D58,U58,disc_rate/12,85))</f>
        <v>9</v>
      </c>
      <c r="AA58" s="635">
        <f>IF(AND(AA$22=TRUE,INDEX(CDRANGE_CLS1,MATCH($A58,$A$24:$A$67,0),MATCH(AA$20,$B$20:$G$20,0))&lt;$D$6/OPDAYS_Cls1),86,payback(E58,V58,disc_rate/12,85))</f>
        <v>86</v>
      </c>
      <c r="AB58" s="635">
        <f ca="1">IF(AND(AB$22=TRUE,INDEX(CDRANGE_CLS1,MATCH($A58,$A$24:$A$67,0),MATCH(AB$20,$B$20:$G$20,0))&lt;$D$6/OPDAYS_Cls1),86,payback(F58,W58,disc_rate/12,85))</f>
        <v>57</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50">
        <f t="shared" si="40"/>
        <v>0.49999994373241896</v>
      </c>
      <c r="AJ58" s="1151">
        <f t="shared" si="41"/>
        <v>0.49999994373241896</v>
      </c>
      <c r="AK58" s="1151">
        <f t="shared" si="42"/>
        <v>0.4946830490538891</v>
      </c>
      <c r="AL58" s="1151">
        <f t="shared" si="43"/>
        <v>3.0293465184181734E-2</v>
      </c>
      <c r="AM58" s="1152">
        <f t="shared" si="44"/>
        <v>0</v>
      </c>
      <c r="AN58" s="643">
        <f t="shared" si="66"/>
        <v>0.99400463579363418</v>
      </c>
      <c r="AO58" s="641">
        <f t="shared" si="67"/>
        <v>0.98322000122665398</v>
      </c>
      <c r="AP58" s="641">
        <f t="shared" si="68"/>
        <v>5.9355865819580966E-2</v>
      </c>
      <c r="AQ58" s="641">
        <f t="shared" si="69"/>
        <v>0.60777505594885717</v>
      </c>
      <c r="AR58" s="642">
        <f t="shared" si="70"/>
        <v>0</v>
      </c>
      <c r="AS58" s="637">
        <f t="shared" ca="1" si="46"/>
        <v>0.94233232011097656</v>
      </c>
      <c r="AT58" s="638">
        <f t="shared" ca="1" si="47"/>
        <v>0.97659506180302502</v>
      </c>
      <c r="AU58" s="638">
        <f t="shared" si="48"/>
        <v>0</v>
      </c>
      <c r="AV58" s="638">
        <f t="shared" ca="1" si="49"/>
        <v>1.2465447964375334E-3</v>
      </c>
      <c r="AW58" s="639">
        <f t="shared" ca="1" si="50"/>
        <v>0</v>
      </c>
      <c r="AX58" s="637">
        <f t="shared" ca="1" si="51"/>
        <v>0.93668269464848153</v>
      </c>
      <c r="AY58" s="638">
        <f t="shared" ca="1" si="52"/>
        <v>0.96020779786391453</v>
      </c>
      <c r="AZ58" s="638">
        <f t="shared" si="53"/>
        <v>0</v>
      </c>
      <c r="BA58" s="638">
        <f t="shared" ca="1" si="71"/>
        <v>7.5761883339757865E-4</v>
      </c>
      <c r="BB58" s="639">
        <f t="shared" ca="1" si="72"/>
        <v>0</v>
      </c>
      <c r="BC58" s="637">
        <f t="shared" ca="1" si="73"/>
        <v>3.9792202136085586E-2</v>
      </c>
      <c r="BD58" s="638">
        <f t="shared" ca="1" si="56"/>
        <v>0.47413821054841471</v>
      </c>
      <c r="BE58" s="638">
        <f t="shared" ca="1" si="57"/>
        <v>0.48604635233992932</v>
      </c>
      <c r="BF58" s="638">
        <f t="shared" ca="1" si="58"/>
        <v>0</v>
      </c>
      <c r="BG58" s="638">
        <f t="shared" ca="1" si="59"/>
        <v>2.3234975570385256E-5</v>
      </c>
      <c r="BH58" s="639">
        <f t="shared" ca="1" si="60"/>
        <v>0</v>
      </c>
    </row>
    <row r="59" spans="1:60" x14ac:dyDescent="0.2">
      <c r="A59" s="317">
        <v>2042</v>
      </c>
      <c r="B59" s="820">
        <f t="shared" si="78"/>
        <v>169300</v>
      </c>
      <c r="C59" s="821">
        <f t="shared" si="78"/>
        <v>9704.4699999999993</v>
      </c>
      <c r="D59" s="821">
        <f t="shared" si="78"/>
        <v>14885.47</v>
      </c>
      <c r="E59" s="821">
        <f t="shared" si="78"/>
        <v>159084.4</v>
      </c>
      <c r="F59" s="821">
        <f t="shared" si="78"/>
        <v>69005.600000000006</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7474.5496962318248</v>
      </c>
      <c r="P59" s="276">
        <f t="shared" si="30"/>
        <v>6554.0834639452623</v>
      </c>
      <c r="Q59" s="276">
        <f t="shared" si="31"/>
        <v>7894.0001448757857</v>
      </c>
      <c r="R59" s="276">
        <f t="shared" si="32"/>
        <v>6468.8993401970611</v>
      </c>
      <c r="S59" s="278">
        <f t="shared" si="33"/>
        <v>69026.68750337149</v>
      </c>
      <c r="T59" s="734">
        <f t="shared" si="61"/>
        <v>1042.652950677375</v>
      </c>
      <c r="U59" s="290">
        <f t="shared" si="62"/>
        <v>1963.1191829639374</v>
      </c>
      <c r="V59" s="290">
        <f t="shared" si="63"/>
        <v>623.20250203341402</v>
      </c>
      <c r="W59" s="290">
        <f t="shared" si="64"/>
        <v>2048.3033067121387</v>
      </c>
      <c r="X59" s="291">
        <f t="shared" si="65"/>
        <v>-60509.484856462288</v>
      </c>
      <c r="Y59" s="293">
        <f ca="1">IF(AND(Y$22=TRUE,INDEX(CDRANGE_CLS1,MATCH($A59,$A$24:$A$67,0),MATCH(Y$20,$B$20:$G$20,0))&lt;$D$6/OPDAYS_Cls1),86,payback(C59,T59,disc_rate/12,85))</f>
        <v>10</v>
      </c>
      <c r="Z59" s="294">
        <f ca="1">IF(AND(Z$22=TRUE,INDEX(CDRANGE_CLS1,MATCH($A59,$A$24:$A$67,0),MATCH(Z$20,$B$20:$G$20,0))&lt;$D$6/OPDAYS_Cls1),86,payback(D59,U59,disc_rate/12,85))</f>
        <v>8</v>
      </c>
      <c r="AA59" s="294">
        <f>IF(AND(AA$22=TRUE,INDEX(CDRANGE_CLS1,MATCH($A59,$A$24:$A$67,0),MATCH(AA$20,$B$20:$G$20,0))&lt;$D$6/OPDAYS_Cls1),86,payback(E59,V59,disc_rate/12,85))</f>
        <v>86</v>
      </c>
      <c r="AB59" s="294">
        <f ca="1">IF(AND(AB$22=TRUE,INDEX(CDRANGE_CLS1,MATCH($A59,$A$24:$A$67,0),MATCH(AB$20,$B$20:$G$20,0))&lt;$D$6/OPDAYS_Cls1),86,payback(F59,W59,disc_rate/12,85))</f>
        <v>38</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4">
        <f t="shared" si="40"/>
        <v>0.4999999793003122</v>
      </c>
      <c r="AJ59" s="1145">
        <f t="shared" si="41"/>
        <v>0.4999999793003122</v>
      </c>
      <c r="AK59" s="1145">
        <f t="shared" si="42"/>
        <v>0.49759711881379698</v>
      </c>
      <c r="AL59" s="1145">
        <f t="shared" si="43"/>
        <v>4.0757890765175123E-2</v>
      </c>
      <c r="AM59" s="1153">
        <f t="shared" si="44"/>
        <v>0</v>
      </c>
      <c r="AN59" s="299">
        <f t="shared" si="66"/>
        <v>0.99091454179409633</v>
      </c>
      <c r="AO59" s="300">
        <f t="shared" si="67"/>
        <v>0.97875513103421508</v>
      </c>
      <c r="AP59" s="300">
        <f t="shared" si="68"/>
        <v>8.6063658771882157E-2</v>
      </c>
      <c r="AQ59" s="300">
        <f t="shared" si="69"/>
        <v>0.63035045749388807</v>
      </c>
      <c r="AR59" s="598">
        <f t="shared" si="70"/>
        <v>0</v>
      </c>
      <c r="AS59" s="296">
        <f t="shared" ca="1" si="46"/>
        <v>0.96103045214177296</v>
      </c>
      <c r="AT59" s="297">
        <f t="shared" ca="1" si="47"/>
        <v>0.98864991908432542</v>
      </c>
      <c r="AU59" s="297">
        <f t="shared" si="48"/>
        <v>0</v>
      </c>
      <c r="AV59" s="297">
        <f t="shared" ca="1" si="49"/>
        <v>1.5217085491095262E-2</v>
      </c>
      <c r="AW59" s="298">
        <f t="shared" ca="1" si="50"/>
        <v>0</v>
      </c>
      <c r="AX59" s="296">
        <f t="shared" ca="1" si="51"/>
        <v>0.95229905013423821</v>
      </c>
      <c r="AY59" s="297">
        <f t="shared" ca="1" si="52"/>
        <v>0.96764618110034506</v>
      </c>
      <c r="AZ59" s="297">
        <f t="shared" si="53"/>
        <v>0</v>
      </c>
      <c r="BA59" s="297">
        <f t="shared" ca="1" si="71"/>
        <v>9.5920968010355049E-3</v>
      </c>
      <c r="BB59" s="298">
        <f t="shared" ca="1" si="72"/>
        <v>0</v>
      </c>
      <c r="BC59" s="296">
        <f t="shared" ca="1" si="73"/>
        <v>3.2353818899655051E-2</v>
      </c>
      <c r="BD59" s="297">
        <f t="shared" ca="1" si="56"/>
        <v>0.47976025362515146</v>
      </c>
      <c r="BE59" s="297">
        <f t="shared" ca="1" si="57"/>
        <v>0.48749200915266133</v>
      </c>
      <c r="BF59" s="297">
        <f t="shared" ca="1" si="58"/>
        <v>0</v>
      </c>
      <c r="BG59" s="297">
        <f t="shared" ca="1" si="59"/>
        <v>3.9391832253215408E-4</v>
      </c>
      <c r="BH59" s="298">
        <f t="shared" ca="1" si="60"/>
        <v>0</v>
      </c>
    </row>
    <row r="60" spans="1:60" x14ac:dyDescent="0.2">
      <c r="A60" s="317">
        <v>2043</v>
      </c>
      <c r="B60" s="820">
        <f t="shared" si="78"/>
        <v>169300</v>
      </c>
      <c r="C60" s="821">
        <f t="shared" si="78"/>
        <v>11646.6</v>
      </c>
      <c r="D60" s="821">
        <f t="shared" si="78"/>
        <v>16671.599999999999</v>
      </c>
      <c r="E60" s="821">
        <f t="shared" si="78"/>
        <v>147574.67000000001</v>
      </c>
      <c r="F60" s="821">
        <f t="shared" si="78"/>
        <v>66445.47</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7282.5671100242434</v>
      </c>
      <c r="P60" s="276">
        <f t="shared" si="30"/>
        <v>6308.4800859450133</v>
      </c>
      <c r="Q60" s="276">
        <f t="shared" si="31"/>
        <v>6815.0306316906181</v>
      </c>
      <c r="R60" s="276">
        <f t="shared" si="32"/>
        <v>6081.1455813784769</v>
      </c>
      <c r="S60" s="278">
        <f t="shared" si="33"/>
        <v>69445.332629115335</v>
      </c>
      <c r="T60" s="734">
        <f t="shared" si="61"/>
        <v>1286.2742811824592</v>
      </c>
      <c r="U60" s="290">
        <f t="shared" si="62"/>
        <v>2260.3613052616893</v>
      </c>
      <c r="V60" s="290">
        <f t="shared" si="63"/>
        <v>1753.8107595160845</v>
      </c>
      <c r="W60" s="290">
        <f t="shared" si="64"/>
        <v>2487.6958098282257</v>
      </c>
      <c r="X60" s="291">
        <f t="shared" si="65"/>
        <v>-60876.491237908631</v>
      </c>
      <c r="Y60" s="293">
        <f ca="1">IF(AND(Y$22=TRUE,INDEX(CDRANGE_CLS1,MATCH($A60,$A$24:$A$67,0),MATCH(Y$20,$B$20:$G$20,0))&lt;$D$6/OPDAYS_Cls1),86,payback(C60,T60,disc_rate/12,85))</f>
        <v>10</v>
      </c>
      <c r="Z60" s="294">
        <f ca="1">IF(AND(Z$22=TRUE,INDEX(CDRANGE_CLS1,MATCH($A60,$A$24:$A$67,0),MATCH(Z$20,$B$20:$G$20,0))&lt;$D$6/OPDAYS_Cls1),86,payback(D60,U60,disc_rate/12,85))</f>
        <v>8</v>
      </c>
      <c r="AA60" s="294">
        <f>IF(AND(AA$22=TRUE,INDEX(CDRANGE_CLS1,MATCH($A60,$A$24:$A$67,0),MATCH(AA$20,$B$20:$G$20,0))&lt;$D$6/OPDAYS_Cls1),86,payback(E60,V60,disc_rate/12,85))</f>
        <v>86</v>
      </c>
      <c r="AB60" s="294">
        <f ca="1">IF(AND(AB$22=TRUE,INDEX(CDRANGE_CLS1,MATCH($A60,$A$24:$A$67,0),MATCH(AB$20,$B$20:$G$20,0))&lt;$D$6/OPDAYS_Cls1),86,payback(F60,W60,disc_rate/12,85))</f>
        <v>30</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4">
        <f t="shared" si="40"/>
        <v>0.49999999238501025</v>
      </c>
      <c r="AJ60" s="1145">
        <f t="shared" si="41"/>
        <v>0.49999999238501025</v>
      </c>
      <c r="AK60" s="1145">
        <f t="shared" si="42"/>
        <v>0.49866062269435391</v>
      </c>
      <c r="AL60" s="1145">
        <f t="shared" si="43"/>
        <v>5.3498330117934645E-2</v>
      </c>
      <c r="AM60" s="1153">
        <f t="shared" si="44"/>
        <v>0</v>
      </c>
      <c r="AN60" s="299">
        <f t="shared" si="66"/>
        <v>0.9869403815291391</v>
      </c>
      <c r="AO60" s="300">
        <f t="shared" si="67"/>
        <v>0.97342323415950882</v>
      </c>
      <c r="AP60" s="300">
        <f t="shared" si="68"/>
        <v>0.12116448545362779</v>
      </c>
      <c r="AQ60" s="300">
        <f t="shared" si="69"/>
        <v>0.65189454926292933</v>
      </c>
      <c r="AR60" s="598">
        <f t="shared" si="70"/>
        <v>0</v>
      </c>
      <c r="AS60" s="296">
        <f t="shared" ca="1" si="46"/>
        <v>0.9610304772913606</v>
      </c>
      <c r="AT60" s="297">
        <f t="shared" ca="1" si="47"/>
        <v>0.98864994495669778</v>
      </c>
      <c r="AU60" s="297">
        <f t="shared" si="48"/>
        <v>0</v>
      </c>
      <c r="AV60" s="297">
        <f t="shared" ca="1" si="49"/>
        <v>3.9361871574782277E-2</v>
      </c>
      <c r="AW60" s="298">
        <f t="shared" ca="1" si="50"/>
        <v>0</v>
      </c>
      <c r="AX60" s="296">
        <f t="shared" ca="1" si="51"/>
        <v>0.94847978591906612</v>
      </c>
      <c r="AY60" s="297">
        <f t="shared" ca="1" si="52"/>
        <v>0.9623748268713691</v>
      </c>
      <c r="AZ60" s="297">
        <f t="shared" si="53"/>
        <v>0</v>
      </c>
      <c r="BA60" s="297">
        <f t="shared" ca="1" si="71"/>
        <v>2.5659789528388002E-2</v>
      </c>
      <c r="BB60" s="298">
        <f t="shared" ca="1" si="72"/>
        <v>0</v>
      </c>
      <c r="BC60" s="296">
        <f t="shared" ca="1" si="73"/>
        <v>3.7625173128631006E-2</v>
      </c>
      <c r="BD60" s="297">
        <f t="shared" ca="1" si="56"/>
        <v>0.47700303633127622</v>
      </c>
      <c r="BE60" s="297">
        <f t="shared" ca="1" si="57"/>
        <v>0.48399103631039392</v>
      </c>
      <c r="BF60" s="297">
        <f t="shared" ca="1" si="58"/>
        <v>0</v>
      </c>
      <c r="BG60" s="297">
        <f t="shared" ca="1" si="59"/>
        <v>1.3807542296988692E-3</v>
      </c>
      <c r="BH60" s="298">
        <f t="shared" ca="1" si="60"/>
        <v>0</v>
      </c>
    </row>
    <row r="61" spans="1:60" x14ac:dyDescent="0.2">
      <c r="A61" s="317">
        <v>2044</v>
      </c>
      <c r="B61" s="820">
        <f t="shared" si="78"/>
        <v>169300</v>
      </c>
      <c r="C61" s="821">
        <f t="shared" si="78"/>
        <v>13473.93</v>
      </c>
      <c r="D61" s="821">
        <f t="shared" si="78"/>
        <v>18342.93</v>
      </c>
      <c r="E61" s="821">
        <f t="shared" si="78"/>
        <v>135950.13</v>
      </c>
      <c r="F61" s="821">
        <f t="shared" si="78"/>
        <v>63770.53</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7127.8801190526838</v>
      </c>
      <c r="P61" s="276">
        <f t="shared" si="30"/>
        <v>6109.0743382487126</v>
      </c>
      <c r="Q61" s="276">
        <f t="shared" si="31"/>
        <v>5819.5387811273649</v>
      </c>
      <c r="R61" s="276">
        <f t="shared" si="32"/>
        <v>5726.3943991527467</v>
      </c>
      <c r="S61" s="278">
        <f t="shared" si="33"/>
        <v>69988.498959041332</v>
      </c>
      <c r="T61" s="734">
        <f t="shared" si="61"/>
        <v>1507.9624768208387</v>
      </c>
      <c r="U61" s="290">
        <f t="shared" si="62"/>
        <v>2526.7682576248098</v>
      </c>
      <c r="V61" s="290">
        <f t="shared" si="63"/>
        <v>2816.3038147461575</v>
      </c>
      <c r="W61" s="290">
        <f t="shared" si="64"/>
        <v>2909.4481967207757</v>
      </c>
      <c r="X61" s="291">
        <f t="shared" si="65"/>
        <v>-61352.656363167807</v>
      </c>
      <c r="Y61" s="293">
        <f ca="1">IF(AND(Y$22=TRUE,INDEX(CDRANGE_CLS1,MATCH($A61,$A$24:$A$67,0),MATCH(Y$20,$B$20:$G$20,0))&lt;$D$6/OPDAYS_Cls1),86,payback(C61,T61,disc_rate/12,85))</f>
        <v>10</v>
      </c>
      <c r="Z61" s="294">
        <f ca="1">IF(AND(Z$22=TRUE,INDEX(CDRANGE_CLS1,MATCH($A61,$A$24:$A$67,0),MATCH(Z$20,$B$20:$G$20,0))&lt;$D$6/OPDAYS_Cls1),86,payback(D61,U61,disc_rate/12,85))</f>
        <v>8</v>
      </c>
      <c r="AA61" s="294">
        <f>IF(AND(AA$22=TRUE,INDEX(CDRANGE_CLS1,MATCH($A61,$A$24:$A$67,0),MATCH(AA$20,$B$20:$G$20,0))&lt;$D$6/OPDAYS_Cls1),86,payback(E61,V61,disc_rate/12,85))</f>
        <v>86</v>
      </c>
      <c r="AB61" s="294">
        <f ca="1">IF(AND(AB$22=TRUE,INDEX(CDRANGE_CLS1,MATCH($A61,$A$24:$A$67,0),MATCH(AB$20,$B$20:$G$20,0))&lt;$D$6/OPDAYS_Cls1),86,payback(F61,W61,disc_rate/12,85))</f>
        <v>24</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4">
        <f t="shared" si="40"/>
        <v>0.49999999719860178</v>
      </c>
      <c r="AJ61" s="1145">
        <f t="shared" si="41"/>
        <v>0.49999999719860178</v>
      </c>
      <c r="AK61" s="1145">
        <f t="shared" si="42"/>
        <v>0.4992875089834975</v>
      </c>
      <c r="AL61" s="1145">
        <f t="shared" si="43"/>
        <v>6.0776629984515329E-2</v>
      </c>
      <c r="AM61" s="1153">
        <f t="shared" si="44"/>
        <v>0</v>
      </c>
      <c r="AN61" s="299">
        <f t="shared" si="66"/>
        <v>0.98255956941168898</v>
      </c>
      <c r="AO61" s="300">
        <f t="shared" si="67"/>
        <v>0.96791813883719779</v>
      </c>
      <c r="AP61" s="300">
        <f t="shared" si="68"/>
        <v>0.16676079263507659</v>
      </c>
      <c r="AQ61" s="300">
        <f t="shared" si="69"/>
        <v>0.67427609909838693</v>
      </c>
      <c r="AR61" s="598">
        <f t="shared" si="70"/>
        <v>0</v>
      </c>
      <c r="AS61" s="296">
        <f t="shared" ca="1" si="46"/>
        <v>0.96103048654337708</v>
      </c>
      <c r="AT61" s="297">
        <f t="shared" ca="1" si="47"/>
        <v>0.9886499544746119</v>
      </c>
      <c r="AU61" s="297">
        <f t="shared" si="48"/>
        <v>0</v>
      </c>
      <c r="AV61" s="297">
        <f t="shared" ca="1" si="49"/>
        <v>6.698971564655265E-2</v>
      </c>
      <c r="AW61" s="298">
        <f t="shared" ca="1" si="50"/>
        <v>0</v>
      </c>
      <c r="AX61" s="296">
        <f t="shared" ca="1" si="51"/>
        <v>0.94426970104956653</v>
      </c>
      <c r="AY61" s="297">
        <f t="shared" ca="1" si="52"/>
        <v>0.95693222389654664</v>
      </c>
      <c r="AZ61" s="297">
        <f t="shared" si="53"/>
        <v>0</v>
      </c>
      <c r="BA61" s="297">
        <f t="shared" ca="1" si="71"/>
        <v>4.5169564145867695E-2</v>
      </c>
      <c r="BB61" s="298">
        <f t="shared" ca="1" si="72"/>
        <v>0</v>
      </c>
      <c r="BC61" s="296">
        <f t="shared" ca="1" si="73"/>
        <v>4.3067776103453359E-2</v>
      </c>
      <c r="BD61" s="297">
        <f t="shared" ca="1" si="56"/>
        <v>0.47391078364964523</v>
      </c>
      <c r="BE61" s="297">
        <f t="shared" ca="1" si="57"/>
        <v>0.48026586008461264</v>
      </c>
      <c r="BF61" s="297">
        <f t="shared" ca="1" si="58"/>
        <v>0</v>
      </c>
      <c r="BG61" s="297">
        <f t="shared" ca="1" si="59"/>
        <v>2.7555801622888062E-3</v>
      </c>
      <c r="BH61" s="298">
        <f t="shared" ca="1" si="60"/>
        <v>0</v>
      </c>
    </row>
    <row r="62" spans="1:60" ht="15" thickBot="1" x14ac:dyDescent="0.25">
      <c r="A62" s="302">
        <v>2045</v>
      </c>
      <c r="B62" s="823">
        <f t="shared" si="78"/>
        <v>169300</v>
      </c>
      <c r="C62" s="824">
        <f t="shared" si="78"/>
        <v>15006.37</v>
      </c>
      <c r="D62" s="824">
        <f t="shared" si="78"/>
        <v>19719.37</v>
      </c>
      <c r="E62" s="824">
        <f t="shared" si="78"/>
        <v>124030.71</v>
      </c>
      <c r="F62" s="824">
        <f t="shared" si="78"/>
        <v>60800.71</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7055.1523460156877</v>
      </c>
      <c r="P62" s="779">
        <f t="shared" si="30"/>
        <v>5996.2292289751713</v>
      </c>
      <c r="Q62" s="779">
        <f t="shared" si="31"/>
        <v>5007.4375736964557</v>
      </c>
      <c r="R62" s="779">
        <f t="shared" si="32"/>
        <v>5446.0099434378235</v>
      </c>
      <c r="S62" s="780">
        <f t="shared" si="33"/>
        <v>70949.66302667628</v>
      </c>
      <c r="T62" s="737">
        <f t="shared" si="61"/>
        <v>1699.2761573245025</v>
      </c>
      <c r="U62" s="304">
        <f t="shared" si="62"/>
        <v>2758.1992743650189</v>
      </c>
      <c r="V62" s="304">
        <f t="shared" si="63"/>
        <v>3746.9909296437345</v>
      </c>
      <c r="W62" s="304">
        <f t="shared" si="64"/>
        <v>3308.4185599023667</v>
      </c>
      <c r="X62" s="305">
        <f t="shared" si="65"/>
        <v>-62195.23452333609</v>
      </c>
      <c r="Y62" s="307">
        <f ca="1">IF(AND(Y$22=TRUE,INDEX(CDRANGE_CLS1,MATCH($A62,$A$24:$A$67,0),MATCH(Y$20,$B$20:$G$20,0))&lt;$D$6/OPDAYS_Cls1),86,payback(C62,T62,disc_rate/12,85))</f>
        <v>10</v>
      </c>
      <c r="Z62" s="308">
        <f ca="1">IF(AND(Z$22=TRUE,INDEX(CDRANGE_CLS1,MATCH($A62,$A$24:$A$67,0),MATCH(Z$20,$B$20:$G$20,0))&lt;$D$6/OPDAYS_Cls1),86,payback(D62,U62,disc_rate/12,85))</f>
        <v>8</v>
      </c>
      <c r="AA62" s="308">
        <f>IF(AND(AA$22=TRUE,INDEX(CDRANGE_CLS1,MATCH($A62,$A$24:$A$67,0),MATCH(AA$20,$B$20:$G$20,0))&lt;$D$6/OPDAYS_Cls1),86,payback(E62,V62,disc_rate/12,85))</f>
        <v>86</v>
      </c>
      <c r="AB62" s="308">
        <f ca="1">IF(AND(AB$22=TRUE,INDEX(CDRANGE_CLS1,MATCH($A62,$A$24:$A$67,0),MATCH(AB$20,$B$20:$G$20,0))&lt;$D$6/OPDAYS_Cls1),86,payback(F62,W62,disc_rate/12,85))</f>
        <v>20</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7">
        <f t="shared" si="40"/>
        <v>0.49999999896942315</v>
      </c>
      <c r="AJ62" s="1148">
        <f t="shared" si="41"/>
        <v>0.49999999896942315</v>
      </c>
      <c r="AK62" s="1148">
        <f t="shared" si="42"/>
        <v>0.49974809901174622</v>
      </c>
      <c r="AL62" s="1148">
        <f t="shared" si="43"/>
        <v>7.7226768818009398E-2</v>
      </c>
      <c r="AM62" s="1154">
        <f t="shared" si="44"/>
        <v>0</v>
      </c>
      <c r="AN62" s="313">
        <f t="shared" si="66"/>
        <v>0.97841239439502958</v>
      </c>
      <c r="AO62" s="314">
        <f t="shared" si="67"/>
        <v>0.96301614837893579</v>
      </c>
      <c r="AP62" s="314">
        <f t="shared" si="68"/>
        <v>0.22517491435074732</v>
      </c>
      <c r="AQ62" s="314">
        <f t="shared" si="69"/>
        <v>0.6988898619798718</v>
      </c>
      <c r="AR62" s="599">
        <f t="shared" si="70"/>
        <v>0</v>
      </c>
      <c r="AS62" s="310">
        <f t="shared" ca="1" si="46"/>
        <v>0.9610304899470038</v>
      </c>
      <c r="AT62" s="311">
        <f t="shared" ca="1" si="47"/>
        <v>0.98864995797605693</v>
      </c>
      <c r="AU62" s="311">
        <f t="shared" si="48"/>
        <v>0</v>
      </c>
      <c r="AV62" s="311">
        <f t="shared" ca="1" si="49"/>
        <v>0.1057294748150979</v>
      </c>
      <c r="AW62" s="312">
        <f t="shared" ca="1" si="50"/>
        <v>0</v>
      </c>
      <c r="AX62" s="310">
        <f t="shared" ca="1" si="51"/>
        <v>0.9402841427556764</v>
      </c>
      <c r="AY62" s="311">
        <f t="shared" ca="1" si="52"/>
        <v>0.95208587462509908</v>
      </c>
      <c r="AZ62" s="311">
        <f t="shared" si="53"/>
        <v>0</v>
      </c>
      <c r="BA62" s="311">
        <f t="shared" ca="1" si="71"/>
        <v>7.3893258060728093E-2</v>
      </c>
      <c r="BB62" s="312">
        <f t="shared" ca="1" si="72"/>
        <v>0</v>
      </c>
      <c r="BC62" s="310">
        <f t="shared" ca="1" si="73"/>
        <v>4.7914125374900807E-2</v>
      </c>
      <c r="BD62" s="311">
        <f t="shared" ca="1" si="56"/>
        <v>0.47023805073665814</v>
      </c>
      <c r="BE62" s="311">
        <f t="shared" ca="1" si="57"/>
        <v>0.47614012133132955</v>
      </c>
      <c r="BF62" s="311">
        <f t="shared" ca="1" si="58"/>
        <v>0</v>
      </c>
      <c r="BG62" s="311">
        <f t="shared" ca="1" si="59"/>
        <v>5.7077025571115421E-3</v>
      </c>
      <c r="BH62" s="312">
        <f t="shared" ca="1" si="60"/>
        <v>0</v>
      </c>
    </row>
    <row r="63" spans="1:60" x14ac:dyDescent="0.2">
      <c r="A63" s="316">
        <v>2046</v>
      </c>
      <c r="B63" s="826">
        <f t="shared" si="78"/>
        <v>169300</v>
      </c>
      <c r="C63" s="827">
        <f t="shared" si="78"/>
        <v>16172.29</v>
      </c>
      <c r="D63" s="827">
        <f t="shared" si="78"/>
        <v>20729.29</v>
      </c>
      <c r="E63" s="827">
        <f t="shared" si="78"/>
        <v>111744.76</v>
      </c>
      <c r="F63" s="827">
        <f t="shared" si="78"/>
        <v>57464.36</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6934.7828918076175</v>
      </c>
      <c r="P63" s="632">
        <f t="shared" si="30"/>
        <v>5858.2140925275453</v>
      </c>
      <c r="Q63" s="632">
        <f t="shared" si="31"/>
        <v>4435.6935930880018</v>
      </c>
      <c r="R63" s="632">
        <f t="shared" si="32"/>
        <v>5315.3058919571349</v>
      </c>
      <c r="S63" s="745">
        <f t="shared" si="33"/>
        <v>70992.020331022824</v>
      </c>
      <c r="T63" s="733">
        <f t="shared" si="61"/>
        <v>1824.8696474779681</v>
      </c>
      <c r="U63" s="276">
        <f t="shared" si="62"/>
        <v>2901.4384467580403</v>
      </c>
      <c r="V63" s="276">
        <f t="shared" si="63"/>
        <v>4323.9589461975838</v>
      </c>
      <c r="W63" s="276">
        <f t="shared" si="64"/>
        <v>3444.3466473284507</v>
      </c>
      <c r="X63" s="277">
        <f t="shared" si="65"/>
        <v>-62232.367791737241</v>
      </c>
      <c r="Y63" s="279">
        <f ca="1">IF(AND(Y$22=TRUE,INDEX(CDRANGE_CLS1,MATCH($A63,$A$24:$A$67,0),MATCH(Y$20,$B$20:$G$20,0))&lt;$D$6/OPDAYS_Cls1),86,payback(C63,T63,disc_rate/12,85))</f>
        <v>10</v>
      </c>
      <c r="Z63" s="280">
        <f ca="1">IF(AND(Z$22=TRUE,INDEX(CDRANGE_CLS1,MATCH($A63,$A$24:$A$67,0),MATCH(Z$20,$B$20:$G$20,0))&lt;$D$6/OPDAYS_Cls1),86,payback(D63,U63,disc_rate/12,85))</f>
        <v>8</v>
      </c>
      <c r="AA63" s="280">
        <f>IF(AND(AA$22=TRUE,INDEX(CDRANGE_CLS1,MATCH($A63,$A$24:$A$67,0),MATCH(AA$20,$B$20:$G$20,0))&lt;$D$6/OPDAYS_Cls1),86,payback(E63,V63,disc_rate/12,85))</f>
        <v>86</v>
      </c>
      <c r="AB63" s="280">
        <f ca="1">IF(AND(AB$22=TRUE,INDEX(CDRANGE_CLS1,MATCH($A63,$A$24:$A$67,0),MATCH(AB$20,$B$20:$G$20,0))&lt;$D$6/OPDAYS_Cls1),86,payback(F63,W63,disc_rate/12,85))</f>
        <v>18</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1">
        <f t="shared" si="40"/>
        <v>0.49999999962087194</v>
      </c>
      <c r="AJ63" s="1142">
        <f t="shared" si="41"/>
        <v>0.49999999962087194</v>
      </c>
      <c r="AK63" s="1142">
        <f t="shared" si="42"/>
        <v>0.49988204931764657</v>
      </c>
      <c r="AL63" s="1142">
        <f t="shared" si="43"/>
        <v>9.6250620132841011E-2</v>
      </c>
      <c r="AM63" s="1155">
        <f t="shared" si="44"/>
        <v>0</v>
      </c>
      <c r="AN63" s="285">
        <f t="shared" si="66"/>
        <v>0.9749715348369824</v>
      </c>
      <c r="AO63" s="286">
        <f t="shared" si="67"/>
        <v>0.95921119899974006</v>
      </c>
      <c r="AP63" s="286">
        <f t="shared" si="68"/>
        <v>0.29815362320382222</v>
      </c>
      <c r="AQ63" s="286">
        <f t="shared" si="69"/>
        <v>0.72613258236536704</v>
      </c>
      <c r="AR63" s="611">
        <f t="shared" si="70"/>
        <v>0</v>
      </c>
      <c r="AS63" s="282">
        <f t="shared" ca="1" si="46"/>
        <v>0.96103049119912809</v>
      </c>
      <c r="AT63" s="283">
        <f t="shared" ca="1" si="47"/>
        <v>0.98864995926416654</v>
      </c>
      <c r="AU63" s="283">
        <f t="shared" si="48"/>
        <v>0</v>
      </c>
      <c r="AV63" s="283">
        <f t="shared" ca="1" si="49"/>
        <v>0.14444921722528689</v>
      </c>
      <c r="AW63" s="284">
        <f t="shared" ca="1" si="50"/>
        <v>0</v>
      </c>
      <c r="AX63" s="282">
        <f t="shared" ca="1" si="51"/>
        <v>0.93697737302955297</v>
      </c>
      <c r="AY63" s="283">
        <f t="shared" ca="1" si="52"/>
        <v>0.94832411281682538</v>
      </c>
      <c r="AZ63" s="283">
        <f t="shared" si="53"/>
        <v>0</v>
      </c>
      <c r="BA63" s="283">
        <f t="shared" ca="1" si="71"/>
        <v>0.10488928312445343</v>
      </c>
      <c r="BB63" s="284">
        <f t="shared" ca="1" si="72"/>
        <v>0</v>
      </c>
      <c r="BC63" s="282">
        <f t="shared" ca="1" si="73"/>
        <v>5.1675887183174729E-2</v>
      </c>
      <c r="BD63" s="283">
        <f t="shared" ca="1" si="56"/>
        <v>0.46631413911945885</v>
      </c>
      <c r="BE63" s="283">
        <f t="shared" ca="1" si="57"/>
        <v>0.47196117537456755</v>
      </c>
      <c r="BF63" s="283">
        <f t="shared" ca="1" si="58"/>
        <v>0</v>
      </c>
      <c r="BG63" s="283">
        <f t="shared" ca="1" si="59"/>
        <v>1.0048798322798945E-2</v>
      </c>
      <c r="BH63" s="284">
        <f t="shared" ca="1" si="60"/>
        <v>0</v>
      </c>
    </row>
    <row r="64" spans="1:60" x14ac:dyDescent="0.2">
      <c r="A64" s="317">
        <v>2047</v>
      </c>
      <c r="B64" s="820">
        <f t="shared" si="78"/>
        <v>169300</v>
      </c>
      <c r="C64" s="821">
        <f t="shared" si="78"/>
        <v>16995.32</v>
      </c>
      <c r="D64" s="821">
        <f t="shared" si="78"/>
        <v>21396.32</v>
      </c>
      <c r="E64" s="821">
        <f t="shared" si="78"/>
        <v>99115.92</v>
      </c>
      <c r="F64" s="821">
        <f t="shared" si="78"/>
        <v>53785.120000000003</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6913.403602285448</v>
      </c>
      <c r="P64" s="276">
        <f t="shared" si="30"/>
        <v>5816.0173364012544</v>
      </c>
      <c r="Q64" s="276">
        <f t="shared" si="31"/>
        <v>4095.3702006182375</v>
      </c>
      <c r="R64" s="276">
        <f t="shared" si="32"/>
        <v>5226.7560352933606</v>
      </c>
      <c r="S64" s="278">
        <f t="shared" si="33"/>
        <v>71654.818790691512</v>
      </c>
      <c r="T64" s="734">
        <f t="shared" si="61"/>
        <v>1928.0326193819792</v>
      </c>
      <c r="U64" s="290">
        <f t="shared" si="62"/>
        <v>3025.4188852661728</v>
      </c>
      <c r="V64" s="290">
        <f t="shared" si="63"/>
        <v>4746.0660210491897</v>
      </c>
      <c r="W64" s="290">
        <f t="shared" si="64"/>
        <v>3614.6801863740666</v>
      </c>
      <c r="X64" s="291">
        <f t="shared" si="65"/>
        <v>-62813.382569024085</v>
      </c>
      <c r="Y64" s="293">
        <f ca="1">IF(AND(Y$22=TRUE,INDEX(CDRANGE_CLS1,MATCH($A64,$A$24:$A$67,0),MATCH(Y$20,$B$20:$G$20,0))&lt;$D$6/OPDAYS_Cls1),86,payback(C64,T64,disc_rate/12,85))</f>
        <v>10</v>
      </c>
      <c r="Z64" s="294">
        <f ca="1">IF(AND(Z$22=TRUE,INDEX(CDRANGE_CLS1,MATCH($A64,$A$24:$A$67,0),MATCH(Z$20,$B$20:$G$20,0))&lt;$D$6/OPDAYS_Cls1),86,payback(D64,U64,disc_rate/12,85))</f>
        <v>8</v>
      </c>
      <c r="AA64" s="294">
        <f>IF(AND(AA$22=TRUE,INDEX(CDRANGE_CLS1,MATCH($A64,$A$24:$A$67,0),MATCH(AA$20,$B$20:$G$20,0))&lt;$D$6/OPDAYS_Cls1),86,payback(E64,V64,disc_rate/12,85))</f>
        <v>86</v>
      </c>
      <c r="AB64" s="294">
        <f ca="1">IF(AND(AB$22=TRUE,INDEX(CDRANGE_CLS1,MATCH($A64,$A$24:$A$67,0),MATCH(AB$20,$B$20:$G$20,0))&lt;$D$6/OPDAYS_Cls1),86,payback(F64,W64,disc_rate/12,85))</f>
        <v>16</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4">
        <f t="shared" si="40"/>
        <v>0.49999999962087194</v>
      </c>
      <c r="AJ64" s="1145">
        <f t="shared" si="41"/>
        <v>0.49999999962087194</v>
      </c>
      <c r="AK64" s="1145">
        <f t="shared" si="42"/>
        <v>0.49996596978666119</v>
      </c>
      <c r="AL64" s="1145">
        <f t="shared" si="43"/>
        <v>0.11782847022157542</v>
      </c>
      <c r="AM64" s="1153">
        <f t="shared" si="44"/>
        <v>0</v>
      </c>
      <c r="AN64" s="299">
        <f t="shared" si="66"/>
        <v>0.97239562285415482</v>
      </c>
      <c r="AO64" s="300">
        <f t="shared" si="67"/>
        <v>0.95660265481079643</v>
      </c>
      <c r="AP64" s="300">
        <f t="shared" si="68"/>
        <v>0.385939998542423</v>
      </c>
      <c r="AQ64" s="300">
        <f t="shared" si="69"/>
        <v>0.7555156999987731</v>
      </c>
      <c r="AR64" s="598">
        <f t="shared" si="70"/>
        <v>0</v>
      </c>
      <c r="AS64" s="296">
        <f t="shared" ca="1" si="46"/>
        <v>0.96103049119912809</v>
      </c>
      <c r="AT64" s="297">
        <f t="shared" ca="1" si="47"/>
        <v>0.98864995926416654</v>
      </c>
      <c r="AU64" s="297">
        <f t="shared" si="48"/>
        <v>0</v>
      </c>
      <c r="AV64" s="297">
        <f t="shared" ca="1" si="49"/>
        <v>0.19162572810912198</v>
      </c>
      <c r="AW64" s="298">
        <f t="shared" ca="1" si="50"/>
        <v>0</v>
      </c>
      <c r="AX64" s="296">
        <f t="shared" ca="1" si="51"/>
        <v>0.93450184307141049</v>
      </c>
      <c r="AY64" s="297">
        <f t="shared" ca="1" si="52"/>
        <v>0.9457451757106875</v>
      </c>
      <c r="AZ64" s="297">
        <f t="shared" si="53"/>
        <v>0</v>
      </c>
      <c r="BA64" s="297">
        <f t="shared" ca="1" si="71"/>
        <v>0.14477624611013787</v>
      </c>
      <c r="BB64" s="298">
        <f t="shared" ca="1" si="72"/>
        <v>0</v>
      </c>
      <c r="BC64" s="296">
        <f t="shared" ca="1" si="73"/>
        <v>5.4254824289312609E-2</v>
      </c>
      <c r="BD64" s="297">
        <f t="shared" ca="1" si="56"/>
        <v>0.46166787387345842</v>
      </c>
      <c r="BE64" s="297">
        <f t="shared" ca="1" si="57"/>
        <v>0.46722236850962412</v>
      </c>
      <c r="BF64" s="297">
        <f t="shared" ca="1" si="58"/>
        <v>0</v>
      </c>
      <c r="BG64" s="297">
        <f t="shared" ca="1" si="59"/>
        <v>1.6854933327604942E-2</v>
      </c>
      <c r="BH64" s="298">
        <f t="shared" ca="1" si="60"/>
        <v>0</v>
      </c>
    </row>
    <row r="65" spans="1:60" x14ac:dyDescent="0.2">
      <c r="A65" s="317">
        <v>2048</v>
      </c>
      <c r="B65" s="820">
        <f t="shared" si="78"/>
        <v>169300</v>
      </c>
      <c r="C65" s="821">
        <f t="shared" si="78"/>
        <v>17546.05</v>
      </c>
      <c r="D65" s="821">
        <f t="shared" si="78"/>
        <v>21791.05</v>
      </c>
      <c r="E65" s="821">
        <f t="shared" si="78"/>
        <v>86214.79</v>
      </c>
      <c r="F65" s="821">
        <f t="shared" si="78"/>
        <v>49833.59</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6915.1429117425987</v>
      </c>
      <c r="P65" s="276">
        <f t="shared" si="30"/>
        <v>5801.7626137580264</v>
      </c>
      <c r="Q65" s="276">
        <f t="shared" si="31"/>
        <v>3920.6487777754783</v>
      </c>
      <c r="R65" s="276">
        <f t="shared" si="32"/>
        <v>5169.1321842488478</v>
      </c>
      <c r="S65" s="278">
        <f t="shared" si="33"/>
        <v>72262.959573350861</v>
      </c>
      <c r="T65" s="734">
        <f t="shared" si="61"/>
        <v>2001.3371856045187</v>
      </c>
      <c r="U65" s="290">
        <f t="shared" si="62"/>
        <v>3114.717483589091</v>
      </c>
      <c r="V65" s="290">
        <f t="shared" si="63"/>
        <v>4995.8313195716391</v>
      </c>
      <c r="W65" s="290">
        <f t="shared" si="64"/>
        <v>3747.3479130982696</v>
      </c>
      <c r="X65" s="291">
        <f t="shared" si="65"/>
        <v>-63346.479476003748</v>
      </c>
      <c r="Y65" s="293">
        <f ca="1">IF(AND(Y$22=TRUE,INDEX(CDRANGE_CLS1,MATCH($A65,$A$24:$A$67,0),MATCH(Y$20,$B$20:$G$20,0))&lt;$D$6/OPDAYS_Cls1),86,payback(C65,T65,disc_rate/12,85))</f>
        <v>10</v>
      </c>
      <c r="Z65" s="294">
        <f ca="1">IF(AND(Z$22=TRUE,INDEX(CDRANGE_CLS1,MATCH($A65,$A$24:$A$67,0),MATCH(Z$20,$B$20:$G$20,0))&lt;$D$6/OPDAYS_Cls1),86,payback(D65,U65,disc_rate/12,85))</f>
        <v>8</v>
      </c>
      <c r="AA65" s="294">
        <f>IF(AND(AA$22=TRUE,INDEX(CDRANGE_CLS1,MATCH($A65,$A$24:$A$67,0),MATCH(AA$20,$B$20:$G$20,0))&lt;$D$6/OPDAYS_Cls1),86,payback(E65,V65,disc_rate/12,85))</f>
        <v>86</v>
      </c>
      <c r="AB65" s="294">
        <f ca="1">IF(AND(AB$22=TRUE,INDEX(CDRANGE_CLS1,MATCH($A65,$A$24:$A$67,0),MATCH(AB$20,$B$20:$G$20,0))&lt;$D$6/OPDAYS_Cls1),86,payback(F65,W65,disc_rate/12,85))</f>
        <v>14</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4">
        <f t="shared" si="40"/>
        <v>0.49999999962087194</v>
      </c>
      <c r="AJ65" s="1145">
        <f t="shared" si="41"/>
        <v>0.49999999962087194</v>
      </c>
      <c r="AK65" s="1145">
        <f t="shared" si="42"/>
        <v>0.49998619831278412</v>
      </c>
      <c r="AL65" s="1145">
        <f t="shared" si="43"/>
        <v>0.12954116250433836</v>
      </c>
      <c r="AM65" s="1153">
        <f t="shared" si="44"/>
        <v>0</v>
      </c>
      <c r="AN65" s="299">
        <f t="shared" si="66"/>
        <v>0.97060458565991148</v>
      </c>
      <c r="AO65" s="300">
        <f t="shared" si="67"/>
        <v>0.95502354128354461</v>
      </c>
      <c r="AP65" s="300">
        <f t="shared" si="68"/>
        <v>0.48657903968386351</v>
      </c>
      <c r="AQ65" s="300">
        <f t="shared" si="69"/>
        <v>0.78609839420685235</v>
      </c>
      <c r="AR65" s="598">
        <f t="shared" si="70"/>
        <v>0</v>
      </c>
      <c r="AS65" s="296">
        <f t="shared" ca="1" si="46"/>
        <v>0.96103049119912809</v>
      </c>
      <c r="AT65" s="297">
        <f t="shared" ca="1" si="47"/>
        <v>0.98864995926416654</v>
      </c>
      <c r="AU65" s="297">
        <f t="shared" si="48"/>
        <v>0</v>
      </c>
      <c r="AV65" s="297">
        <f t="shared" ca="1" si="49"/>
        <v>0.22559273577437994</v>
      </c>
      <c r="AW65" s="298">
        <f t="shared" ca="1" si="50"/>
        <v>0</v>
      </c>
      <c r="AX65" s="296">
        <f t="shared" ca="1" si="51"/>
        <v>0.93278060171687094</v>
      </c>
      <c r="AY65" s="297">
        <f t="shared" ca="1" si="52"/>
        <v>0.94418398518629643</v>
      </c>
      <c r="AZ65" s="297">
        <f t="shared" si="53"/>
        <v>0</v>
      </c>
      <c r="BA65" s="297">
        <f t="shared" ca="1" si="71"/>
        <v>0.17733808733697079</v>
      </c>
      <c r="BB65" s="298">
        <f t="shared" ca="1" si="72"/>
        <v>0</v>
      </c>
      <c r="BC65" s="296">
        <f t="shared" ca="1" si="73"/>
        <v>5.5816014813703574E-2</v>
      </c>
      <c r="BD65" s="297">
        <f t="shared" ca="1" si="56"/>
        <v>0.4580123978325637</v>
      </c>
      <c r="BE65" s="297">
        <f t="shared" ca="1" si="57"/>
        <v>0.46361166843984536</v>
      </c>
      <c r="BF65" s="297">
        <f t="shared" ca="1" si="58"/>
        <v>0</v>
      </c>
      <c r="BG65" s="297">
        <f t="shared" ca="1" si="59"/>
        <v>2.255991891388736E-2</v>
      </c>
      <c r="BH65" s="298">
        <f t="shared" ca="1" si="60"/>
        <v>0</v>
      </c>
    </row>
    <row r="66" spans="1:60" x14ac:dyDescent="0.2">
      <c r="A66" s="317">
        <v>2049</v>
      </c>
      <c r="B66" s="820">
        <f t="shared" si="78"/>
        <v>169300</v>
      </c>
      <c r="C66" s="821">
        <f t="shared" si="78"/>
        <v>17901.509999999998</v>
      </c>
      <c r="D66" s="821">
        <f t="shared" si="78"/>
        <v>21990.51</v>
      </c>
      <c r="E66" s="821">
        <f t="shared" si="78"/>
        <v>73118.38</v>
      </c>
      <c r="F66" s="821">
        <f t="shared" si="78"/>
        <v>45686.78</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6921.0100645807415</v>
      </c>
      <c r="P66" s="276">
        <f t="shared" si="30"/>
        <v>5796.7115828301385</v>
      </c>
      <c r="Q66" s="276">
        <f t="shared" si="31"/>
        <v>3828.8203613273081</v>
      </c>
      <c r="R66" s="276">
        <f t="shared" si="32"/>
        <v>5132.6098055043321</v>
      </c>
      <c r="S66" s="278">
        <f t="shared" si="33"/>
        <v>72705.472601164875</v>
      </c>
      <c r="T66" s="734">
        <f t="shared" si="61"/>
        <v>2050.0758231290292</v>
      </c>
      <c r="U66" s="290">
        <f t="shared" si="62"/>
        <v>3174.3743048796323</v>
      </c>
      <c r="V66" s="290">
        <f t="shared" si="63"/>
        <v>5142.2655263824627</v>
      </c>
      <c r="W66" s="290">
        <f t="shared" si="64"/>
        <v>3838.4760822054386</v>
      </c>
      <c r="X66" s="291">
        <f t="shared" si="65"/>
        <v>-63734.386713455104</v>
      </c>
      <c r="Y66" s="293">
        <f ca="1">IF(AND(Y$22=TRUE,INDEX(CDRANGE_CLS1,MATCH($A66,$A$24:$A$67,0),MATCH(Y$20,$B$20:$G$20,0))&lt;$D$6/OPDAYS_Cls1),86,payback(C66,T66,disc_rate/12,85))</f>
        <v>10</v>
      </c>
      <c r="Z66" s="294">
        <f ca="1">IF(AND(Z$22=TRUE,INDEX(CDRANGE_CLS1,MATCH($A66,$A$24:$A$67,0),MATCH(Z$20,$B$20:$G$20,0))&lt;$D$6/OPDAYS_Cls1),86,payback(D66,U66,disc_rate/12,85))</f>
        <v>8</v>
      </c>
      <c r="AA66" s="294">
        <f>IF(AND(AA$22=TRUE,INDEX(CDRANGE_CLS1,MATCH($A66,$A$24:$A$67,0),MATCH(AA$20,$B$20:$G$20,0))&lt;$D$6/OPDAYS_Cls1),86,payback(E66,V66,disc_rate/12,85))</f>
        <v>86</v>
      </c>
      <c r="AB66" s="294">
        <f ca="1">IF(AND(AB$22=TRUE,INDEX(CDRANGE_CLS1,MATCH($A66,$A$24:$A$67,0),MATCH(AB$20,$B$20:$G$20,0))&lt;$D$6/OPDAYS_Cls1),86,payback(F66,W66,disc_rate/12,85))</f>
        <v>13</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4">
        <f t="shared" si="40"/>
        <v>0.49999999962087194</v>
      </c>
      <c r="AJ66" s="1145">
        <f t="shared" si="41"/>
        <v>0.49999999962087194</v>
      </c>
      <c r="AK66" s="1145">
        <f t="shared" si="42"/>
        <v>0.49999473991021715</v>
      </c>
      <c r="AL66" s="1145">
        <f t="shared" si="43"/>
        <v>0.15468482913019341</v>
      </c>
      <c r="AM66" s="1153">
        <f t="shared" si="44"/>
        <v>0</v>
      </c>
      <c r="AN66" s="299">
        <f t="shared" si="66"/>
        <v>0.9694200780167247</v>
      </c>
      <c r="AO66" s="300">
        <f t="shared" si="67"/>
        <v>0.95421563507532436</v>
      </c>
      <c r="AP66" s="300">
        <f t="shared" si="68"/>
        <v>0.59563478730485053</v>
      </c>
      <c r="AQ66" s="300">
        <f t="shared" si="69"/>
        <v>0.81686170729699303</v>
      </c>
      <c r="AR66" s="598">
        <f t="shared" si="70"/>
        <v>0</v>
      </c>
      <c r="AS66" s="296">
        <f t="shared" ca="1" si="46"/>
        <v>0.96103049119912809</v>
      </c>
      <c r="AT66" s="297">
        <f t="shared" ca="1" si="47"/>
        <v>0.98864995926416654</v>
      </c>
      <c r="AU66" s="297">
        <f t="shared" si="48"/>
        <v>0</v>
      </c>
      <c r="AV66" s="297">
        <f t="shared" ca="1" si="49"/>
        <v>0.277465038050837</v>
      </c>
      <c r="AW66" s="298">
        <f t="shared" ca="1" si="50"/>
        <v>0</v>
      </c>
      <c r="AX66" s="296">
        <f t="shared" ca="1" si="51"/>
        <v>0.93164225375470999</v>
      </c>
      <c r="AY66" s="297">
        <f t="shared" ca="1" si="52"/>
        <v>0.94338524874645024</v>
      </c>
      <c r="AZ66" s="297">
        <f t="shared" si="53"/>
        <v>0</v>
      </c>
      <c r="BA66" s="297">
        <f t="shared" ca="1" si="71"/>
        <v>0.22665056469743183</v>
      </c>
      <c r="BB66" s="298">
        <f t="shared" ca="1" si="72"/>
        <v>0</v>
      </c>
      <c r="BC66" s="296">
        <f t="shared" ca="1" si="73"/>
        <v>5.6614751253549755E-2</v>
      </c>
      <c r="BD66" s="297">
        <f t="shared" ca="1" si="56"/>
        <v>0.45184136259953428</v>
      </c>
      <c r="BE66" s="297">
        <f t="shared" ca="1" si="57"/>
        <v>0.45753665050289338</v>
      </c>
      <c r="BF66" s="297">
        <f t="shared" ca="1" si="58"/>
        <v>0</v>
      </c>
      <c r="BG66" s="297">
        <f t="shared" ca="1" si="59"/>
        <v>3.4007235644022589E-2</v>
      </c>
      <c r="BH66" s="298">
        <f t="shared" ca="1" si="60"/>
        <v>0</v>
      </c>
    </row>
    <row r="67" spans="1:60" ht="15" thickBot="1" x14ac:dyDescent="0.25">
      <c r="A67" s="302">
        <v>2050</v>
      </c>
      <c r="B67" s="823">
        <f t="shared" si="78"/>
        <v>169300</v>
      </c>
      <c r="C67" s="824">
        <f t="shared" si="78"/>
        <v>18484.48</v>
      </c>
      <c r="D67" s="824">
        <f t="shared" si="78"/>
        <v>22417.48</v>
      </c>
      <c r="E67" s="824">
        <f t="shared" si="78"/>
        <v>60249.48</v>
      </c>
      <c r="F67" s="824">
        <f t="shared" si="78"/>
        <v>41767.480000000003</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6900.492340953143</v>
      </c>
      <c r="P67" s="779">
        <f t="shared" si="30"/>
        <v>5763.5143440914799</v>
      </c>
      <c r="Q67" s="779">
        <f t="shared" si="31"/>
        <v>3753.205016087787</v>
      </c>
      <c r="R67" s="779">
        <f t="shared" si="32"/>
        <v>5073.8161868211619</v>
      </c>
      <c r="S67" s="780">
        <f t="shared" si="33"/>
        <v>73113.264913891864</v>
      </c>
      <c r="T67" s="737">
        <f t="shared" si="61"/>
        <v>2120.9270730777489</v>
      </c>
      <c r="U67" s="304">
        <f t="shared" si="62"/>
        <v>3257.905069939412</v>
      </c>
      <c r="V67" s="304">
        <f t="shared" si="63"/>
        <v>5268.2143979431048</v>
      </c>
      <c r="W67" s="304">
        <f t="shared" si="64"/>
        <v>3947.60322720973</v>
      </c>
      <c r="X67" s="305">
        <f t="shared" si="65"/>
        <v>-64091.845499860974</v>
      </c>
      <c r="Y67" s="307">
        <f ca="1">IF(AND(Y$22=TRUE,INDEX(CDRANGE_CLS1,MATCH($A67,$A$24:$A$67,0),MATCH(Y$20,$B$20:$G$20,0))&lt;$D$6/OPDAYS_Cls1),86,payback(C67,T67,disc_rate/12,85))</f>
        <v>9</v>
      </c>
      <c r="Z67" s="308">
        <f ca="1">IF(AND(Z$22=TRUE,INDEX(CDRANGE_CLS1,MATCH($A67,$A$24:$A$67,0),MATCH(Z$20,$B$20:$G$20,0))&lt;$D$6/OPDAYS_Cls1),86,payback(D67,U67,disc_rate/12,85))</f>
        <v>8</v>
      </c>
      <c r="AA67" s="308">
        <f>IF(AND(AA$22=TRUE,INDEX(CDRANGE_CLS1,MATCH($A67,$A$24:$A$67,0),MATCH(AA$20,$B$20:$G$20,0))&lt;$D$6/OPDAYS_Cls1),86,payback(E67,V67,disc_rate/12,85))</f>
        <v>86</v>
      </c>
      <c r="AB67" s="308">
        <f ca="1">IF(AND(AB$22=TRUE,INDEX(CDRANGE_CLS1,MATCH($A67,$A$24:$A$67,0),MATCH(AB$20,$B$20:$G$20,0))&lt;$D$6/OPDAYS_Cls1),86,payback(F67,W67,disc_rate/12,85))</f>
        <v>11</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7">
        <f t="shared" si="40"/>
        <v>0.49999999962087194</v>
      </c>
      <c r="AJ67" s="1148">
        <f t="shared" si="41"/>
        <v>0.49999999962087194</v>
      </c>
      <c r="AK67" s="1148">
        <f t="shared" si="42"/>
        <v>0.49999890515837031</v>
      </c>
      <c r="AL67" s="1148">
        <f t="shared" si="43"/>
        <v>0.16804211820484452</v>
      </c>
      <c r="AM67" s="1154">
        <f t="shared" si="44"/>
        <v>0</v>
      </c>
      <c r="AN67" s="313">
        <f t="shared" si="66"/>
        <v>0.96742926863847378</v>
      </c>
      <c r="AO67" s="314">
        <f t="shared" si="67"/>
        <v>0.95246381447591955</v>
      </c>
      <c r="AP67" s="314">
        <f t="shared" si="68"/>
        <v>0.70342400927912996</v>
      </c>
      <c r="AQ67" s="314">
        <f t="shared" si="69"/>
        <v>0.84445190133181536</v>
      </c>
      <c r="AR67" s="599">
        <f t="shared" si="70"/>
        <v>0</v>
      </c>
      <c r="AS67" s="310">
        <f t="shared" ca="1" si="46"/>
        <v>0.97659517096381165</v>
      </c>
      <c r="AT67" s="311">
        <f t="shared" ca="1" si="47"/>
        <v>0.98864995926416654</v>
      </c>
      <c r="AU67" s="311">
        <f t="shared" si="48"/>
        <v>0</v>
      </c>
      <c r="AV67" s="311">
        <f t="shared" ca="1" si="49"/>
        <v>0.31670307388890001</v>
      </c>
      <c r="AW67" s="312">
        <f t="shared" ca="1" si="50"/>
        <v>0</v>
      </c>
      <c r="AX67" s="310">
        <f t="shared" ca="1" si="51"/>
        <v>0.94478675200138562</v>
      </c>
      <c r="AY67" s="311">
        <f t="shared" ca="1" si="52"/>
        <v>0.94165331138221053</v>
      </c>
      <c r="AZ67" s="311">
        <f t="shared" si="53"/>
        <v>0</v>
      </c>
      <c r="BA67" s="311">
        <f t="shared" ca="1" si="71"/>
        <v>0.26744051290311199</v>
      </c>
      <c r="BB67" s="312">
        <f t="shared" ca="1" si="72"/>
        <v>0</v>
      </c>
      <c r="BC67" s="310">
        <f t="shared" ca="1" si="73"/>
        <v>5.5213247998614379E-2</v>
      </c>
      <c r="BD67" s="311">
        <f t="shared" ca="1" si="56"/>
        <v>0.45165804658791819</v>
      </c>
      <c r="BE67" s="311">
        <f t="shared" ca="1" si="57"/>
        <v>0.45016009621323544</v>
      </c>
      <c r="BF67" s="311">
        <f t="shared" ca="1" si="58"/>
        <v>0</v>
      </c>
      <c r="BG67" s="311">
        <f t="shared" ca="1" si="59"/>
        <v>4.2968609200231996E-2</v>
      </c>
      <c r="BH67" s="312">
        <f t="shared" ca="1" si="60"/>
        <v>0</v>
      </c>
    </row>
    <row r="68" spans="1:60" x14ac:dyDescent="0.2">
      <c r="A68" s="227" t="str">
        <f>"Output generated: "&amp; TEXT(MAX($P$4,$P$5),"m/dd/yyyy hh:mm")</f>
        <v>Output generated: 7/21/2020 15:48</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53" t="s">
        <v>187</v>
      </c>
      <c r="C70" s="1554"/>
      <c r="D70" s="1554"/>
      <c r="E70" s="1554"/>
      <c r="F70" s="1554"/>
      <c r="G70" s="1554"/>
      <c r="H70" s="1554"/>
      <c r="I70" s="1554"/>
      <c r="J70" s="1554"/>
      <c r="K70" s="1554"/>
      <c r="L70" s="1554"/>
      <c r="M70" s="1554"/>
      <c r="N70" s="1555"/>
      <c r="O70" s="1553" t="s">
        <v>188</v>
      </c>
      <c r="P70" s="1554"/>
      <c r="Q70" s="1554"/>
      <c r="R70" s="1554"/>
      <c r="S70" s="1554"/>
      <c r="T70" s="1554"/>
      <c r="U70" s="1554"/>
      <c r="V70" s="1554"/>
      <c r="W70" s="1554"/>
      <c r="X70" s="1554"/>
      <c r="Y70" s="1554"/>
      <c r="Z70" s="1554"/>
      <c r="AA70" s="1555"/>
    </row>
    <row r="71" spans="1:60" x14ac:dyDescent="0.2">
      <c r="A71" s="324"/>
      <c r="B71" s="1556" t="s">
        <v>121</v>
      </c>
      <c r="C71" s="1557"/>
      <c r="D71" s="1557"/>
      <c r="E71" s="1557"/>
      <c r="F71" s="1557"/>
      <c r="G71" s="1557"/>
      <c r="H71" s="1557"/>
      <c r="I71" s="1557"/>
      <c r="J71" s="1557"/>
      <c r="K71" s="1557"/>
      <c r="L71" s="1558"/>
      <c r="M71" s="382"/>
      <c r="N71" s="325"/>
      <c r="O71" s="1556" t="s">
        <v>121</v>
      </c>
      <c r="P71" s="1557"/>
      <c r="Q71" s="1557"/>
      <c r="R71" s="1557"/>
      <c r="S71" s="1557"/>
      <c r="T71" s="1557"/>
      <c r="U71" s="1557"/>
      <c r="V71" s="1557"/>
      <c r="W71" s="1557"/>
      <c r="X71" s="1557"/>
      <c r="Y71" s="1558"/>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4"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7"/>
      <c r="AC73" s="904" t="s">
        <v>268</v>
      </c>
      <c r="AD73" s="234">
        <f>MATCH(RIGHT(O70),TECH_OPT_ROWS_Cls1,0)</f>
        <v>2</v>
      </c>
      <c r="AH73"/>
      <c r="AI73"/>
      <c r="AJ73"/>
      <c r="AK73"/>
      <c r="AL73"/>
      <c r="AM73"/>
      <c r="AN73"/>
      <c r="AO73"/>
      <c r="AP73"/>
      <c r="AQ73"/>
      <c r="AR73"/>
      <c r="AS73"/>
      <c r="AT73"/>
      <c r="AU73"/>
    </row>
    <row r="74" spans="1:60" s="228" customFormat="1" x14ac:dyDescent="0.2">
      <c r="A74" s="331" t="s">
        <v>125</v>
      </c>
      <c r="B74" s="939">
        <f t="array" ref="B74:L74">TRANSPOSE(Cls1CentVMTShr)</f>
        <v>8.9762242961142352E-4</v>
      </c>
      <c r="C74" s="940">
        <v>1.2044238150123706E-3</v>
      </c>
      <c r="D74" s="940">
        <v>4.1499109643594731E-3</v>
      </c>
      <c r="E74" s="940">
        <v>1.9575808105519295E-2</v>
      </c>
      <c r="F74" s="940">
        <v>3.4523467949689302E-2</v>
      </c>
      <c r="G74" s="940">
        <v>2.7311948935134379E-2</v>
      </c>
      <c r="H74" s="940">
        <v>7.6478458482655817E-2</v>
      </c>
      <c r="I74" s="940">
        <v>3.2480526319280681E-2</v>
      </c>
      <c r="J74" s="940">
        <v>1.1772940427842455E-2</v>
      </c>
      <c r="K74" s="940">
        <v>6.0339283082965706E-3</v>
      </c>
      <c r="L74" s="941">
        <v>1.5952440951210019E-2</v>
      </c>
      <c r="M74" s="388"/>
      <c r="N74" s="334"/>
      <c r="O74" s="939">
        <f t="array" ref="O74:Y74">TRANSPOSE(Cls1NCentVMTShr)</f>
        <v>1.3589913425833078E-3</v>
      </c>
      <c r="P74" s="940">
        <v>5.8692629772239642E-3</v>
      </c>
      <c r="Q74" s="940">
        <v>1.2100393581509007E-2</v>
      </c>
      <c r="R74" s="940">
        <v>3.6555003327388577E-2</v>
      </c>
      <c r="S74" s="940">
        <v>8.3148735051829181E-2</v>
      </c>
      <c r="T74" s="940">
        <v>0.18151138394047112</v>
      </c>
      <c r="U74" s="940">
        <v>0.2383386372324876</v>
      </c>
      <c r="V74" s="940">
        <v>9.5602564448196578E-2</v>
      </c>
      <c r="W74" s="940">
        <v>2.9193025028929166E-2</v>
      </c>
      <c r="X74" s="940">
        <v>3.5209492159336005E-2</v>
      </c>
      <c r="Y74" s="941">
        <v>5.0731034221433824E-2</v>
      </c>
      <c r="Z74" s="386"/>
      <c r="AA74" s="334"/>
      <c r="AB74" s="1550" t="str">
        <f>"% of miles on f2 for Tech "&amp; RIGHT(O70)&amp;" adopters"</f>
        <v>% of miles on f2 for Tech A adopters</v>
      </c>
      <c r="AC74" s="1551"/>
      <c r="AD74" s="1552"/>
      <c r="AE74" s="1174" t="s">
        <v>298</v>
      </c>
      <c r="AF74" s="1174"/>
      <c r="AG74" s="1174"/>
      <c r="AH74" s="1175" t="s">
        <v>307</v>
      </c>
      <c r="AI74" s="1176"/>
      <c r="AJ74" s="1171"/>
      <c r="AK74"/>
      <c r="AL74"/>
      <c r="AM74"/>
      <c r="AN74"/>
      <c r="AO74"/>
      <c r="AP74"/>
      <c r="AQ74"/>
      <c r="AR74"/>
      <c r="AS74"/>
      <c r="AT74"/>
      <c r="AU74"/>
    </row>
    <row r="75" spans="1:60" ht="15" thickBot="1" x14ac:dyDescent="0.25">
      <c r="A75" s="943" t="s">
        <v>266</v>
      </c>
      <c r="B75" s="934">
        <f t="array" ref="B75:L75">TRANSPOSE(Cls1CentVMT/OPDAYS_Cls1)</f>
        <v>51.642967609234425</v>
      </c>
      <c r="C75" s="935">
        <v>110.97733417848234</v>
      </c>
      <c r="D75" s="935">
        <v>204.40224583551472</v>
      </c>
      <c r="E75" s="935">
        <v>290.24610572847212</v>
      </c>
      <c r="F75" s="935">
        <v>364.75750419264841</v>
      </c>
      <c r="G75" s="935">
        <v>443.63126889109378</v>
      </c>
      <c r="H75" s="935">
        <v>506.78134229373978</v>
      </c>
      <c r="I75" s="935">
        <v>595.71283413609137</v>
      </c>
      <c r="J75" s="935">
        <v>682.23089916089702</v>
      </c>
      <c r="K75" s="935">
        <v>765.26438827532684</v>
      </c>
      <c r="L75" s="936">
        <v>970.27871027310334</v>
      </c>
      <c r="M75" s="932"/>
      <c r="N75" s="933"/>
      <c r="O75" s="934">
        <f t="array" ref="O75:Y75">TRANSPOSE(Cls1NCentVMT/OPDAYS_Cls1)</f>
        <v>47.924548633512046</v>
      </c>
      <c r="P75" s="935">
        <v>112.56389213862748</v>
      </c>
      <c r="Q75" s="935">
        <v>214.67280220238027</v>
      </c>
      <c r="R75" s="935">
        <v>288.30186744262801</v>
      </c>
      <c r="S75" s="935">
        <v>368.60089210549245</v>
      </c>
      <c r="T75" s="935">
        <v>447.31558789932524</v>
      </c>
      <c r="U75" s="935">
        <v>511.28831950097862</v>
      </c>
      <c r="V75" s="935">
        <v>595.73726658362273</v>
      </c>
      <c r="W75" s="935">
        <v>672.11099195240695</v>
      </c>
      <c r="X75" s="935">
        <v>757.0793017898726</v>
      </c>
      <c r="Y75" s="936">
        <v>896.16800791754974</v>
      </c>
      <c r="Z75" s="944"/>
      <c r="AA75" s="933"/>
      <c r="AB75" s="946" t="s">
        <v>186</v>
      </c>
      <c r="AC75" s="947" t="s">
        <v>15</v>
      </c>
      <c r="AD75" s="948" t="s">
        <v>18</v>
      </c>
      <c r="AE75" s="938" t="s">
        <v>186</v>
      </c>
      <c r="AF75" s="938" t="s">
        <v>15</v>
      </c>
      <c r="AG75" s="938" t="s">
        <v>18</v>
      </c>
      <c r="AH75" s="1173" t="s">
        <v>186</v>
      </c>
      <c r="AI75" s="938" t="s">
        <v>15</v>
      </c>
      <c r="AJ75"/>
      <c r="AK75"/>
      <c r="AL75"/>
      <c r="AM75"/>
      <c r="AN75"/>
      <c r="AO75"/>
      <c r="AP75"/>
      <c r="AQ75"/>
      <c r="AR75"/>
      <c r="AS75"/>
      <c r="AT75"/>
      <c r="AU75"/>
    </row>
    <row r="76" spans="1:60" ht="15" thickTop="1" x14ac:dyDescent="0.2">
      <c r="A76" s="942">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9">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50">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7">
        <f t="shared" ref="AD76:AD101" si="84">AB76*AH76+AC76*AI76</f>
        <v>0</v>
      </c>
      <c r="AE76" s="938">
        <f t="shared" ref="AE76:AE90" si="85">SUMPRODUCT($B$74:$L$74,B76:L76)</f>
        <v>0</v>
      </c>
      <c r="AF76" s="938">
        <f t="shared" ref="AF76:AF90" si="86">SUMPRODUCT($O$74:$Y$74,O76:Y76)</f>
        <v>0</v>
      </c>
      <c r="AG76" s="938">
        <f t="shared" ref="AG76:AG90" si="87">SUM(AE76:AF76)</f>
        <v>0</v>
      </c>
      <c r="AH76" s="1173">
        <f>IF(AG76&gt;0,AE76/AG76,0)</f>
        <v>0</v>
      </c>
      <c r="AI76" s="938">
        <f>IF(AG76&gt;0,AF76/AG76,0)</f>
        <v>0</v>
      </c>
      <c r="AJ76"/>
      <c r="AK76"/>
      <c r="AL76"/>
      <c r="AM76" s="1172"/>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9">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50">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7">
        <f t="shared" si="84"/>
        <v>0</v>
      </c>
      <c r="AE77" s="938">
        <f t="shared" si="85"/>
        <v>0</v>
      </c>
      <c r="AF77" s="938">
        <f t="shared" si="86"/>
        <v>0</v>
      </c>
      <c r="AG77" s="938">
        <f t="shared" si="87"/>
        <v>0</v>
      </c>
      <c r="AH77" s="1173">
        <f t="shared" ref="AH77:AH119" si="88">IF(AG77&gt;0,AE77/AG77,0)</f>
        <v>0</v>
      </c>
      <c r="AI77" s="938">
        <f t="shared" ref="AI77:AI119" si="89">IF(AG77&gt;0,AF77/AG77,0)</f>
        <v>0</v>
      </c>
      <c r="AJ77"/>
      <c r="AK77"/>
      <c r="AL77"/>
      <c r="AM77" s="1172"/>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9">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50">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7">
        <f t="shared" si="84"/>
        <v>0</v>
      </c>
      <c r="AE78" s="938">
        <f t="shared" si="85"/>
        <v>0</v>
      </c>
      <c r="AF78" s="938">
        <f t="shared" si="86"/>
        <v>0</v>
      </c>
      <c r="AG78" s="938">
        <f t="shared" si="87"/>
        <v>0</v>
      </c>
      <c r="AH78" s="1173">
        <f t="shared" si="88"/>
        <v>0</v>
      </c>
      <c r="AI78" s="938">
        <f t="shared" si="89"/>
        <v>0</v>
      </c>
      <c r="AJ78"/>
      <c r="AK78"/>
      <c r="AL78"/>
      <c r="AM78" s="1172"/>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9">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50">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7">
        <f t="shared" si="84"/>
        <v>0</v>
      </c>
      <c r="AE79" s="938">
        <f t="shared" si="85"/>
        <v>0</v>
      </c>
      <c r="AF79" s="938">
        <f t="shared" si="86"/>
        <v>0</v>
      </c>
      <c r="AG79" s="938">
        <f t="shared" si="87"/>
        <v>0</v>
      </c>
      <c r="AH79" s="1173">
        <f t="shared" si="88"/>
        <v>0</v>
      </c>
      <c r="AI79" s="938">
        <f t="shared" si="89"/>
        <v>0</v>
      </c>
      <c r="AJ79" s="1170"/>
      <c r="AK79" s="1170"/>
      <c r="AL79" s="1170"/>
      <c r="AM79" s="1172"/>
      <c r="AN79" s="1170"/>
      <c r="AO79" s="1170"/>
      <c r="AP79" s="1170"/>
      <c r="AQ79" s="1170"/>
      <c r="AR79" s="1170"/>
      <c r="AS79" s="1170"/>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9">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50">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7">
        <f t="shared" si="84"/>
        <v>0</v>
      </c>
      <c r="AE80" s="938">
        <f t="shared" si="85"/>
        <v>0</v>
      </c>
      <c r="AF80" s="938">
        <f t="shared" si="86"/>
        <v>0</v>
      </c>
      <c r="AG80" s="938">
        <f t="shared" si="87"/>
        <v>0</v>
      </c>
      <c r="AH80" s="1173">
        <f t="shared" si="88"/>
        <v>0</v>
      </c>
      <c r="AI80" s="938">
        <f t="shared" si="89"/>
        <v>0</v>
      </c>
      <c r="AJ80" s="1170"/>
      <c r="AK80" s="1170"/>
      <c r="AL80" s="1170"/>
      <c r="AM80" s="1172"/>
      <c r="AN80" s="1170"/>
      <c r="AO80" s="1170"/>
      <c r="AP80" s="1170"/>
      <c r="AQ80" s="1170"/>
      <c r="AR80" s="1170"/>
      <c r="AS80" s="1170"/>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9">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50">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7">
        <f t="shared" si="84"/>
        <v>0</v>
      </c>
      <c r="AE81" s="938">
        <f t="shared" si="85"/>
        <v>0</v>
      </c>
      <c r="AF81" s="938">
        <f t="shared" si="86"/>
        <v>0</v>
      </c>
      <c r="AG81" s="938">
        <f t="shared" si="87"/>
        <v>0</v>
      </c>
      <c r="AH81" s="1173">
        <f t="shared" si="88"/>
        <v>0</v>
      </c>
      <c r="AI81" s="938">
        <f t="shared" si="89"/>
        <v>0</v>
      </c>
      <c r="AJ81" s="1170"/>
      <c r="AK81" s="1170"/>
      <c r="AL81" s="1170"/>
      <c r="AM81" s="1172"/>
      <c r="AN81" s="1170"/>
      <c r="AO81" s="1170"/>
      <c r="AP81" s="1170"/>
      <c r="AQ81" s="1170"/>
      <c r="AR81" s="1170"/>
      <c r="AS81" s="1170"/>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9">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50">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7">
        <f t="shared" si="84"/>
        <v>0</v>
      </c>
      <c r="AE82" s="938">
        <f t="shared" si="85"/>
        <v>0</v>
      </c>
      <c r="AF82" s="938">
        <f t="shared" si="86"/>
        <v>0</v>
      </c>
      <c r="AG82" s="938">
        <f t="shared" si="87"/>
        <v>0</v>
      </c>
      <c r="AH82" s="1173">
        <f t="shared" si="88"/>
        <v>0</v>
      </c>
      <c r="AI82" s="938">
        <f t="shared" si="89"/>
        <v>0</v>
      </c>
      <c r="AJ82" s="1170"/>
      <c r="AK82" s="1170"/>
      <c r="AL82" s="1170"/>
      <c r="AM82" s="1172"/>
      <c r="AN82" s="1170"/>
      <c r="AO82" s="1170"/>
      <c r="AP82" s="1170"/>
      <c r="AQ82" s="1170"/>
      <c r="AR82" s="1170"/>
      <c r="AS82" s="1170"/>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9">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50">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7">
        <f t="shared" si="84"/>
        <v>0</v>
      </c>
      <c r="AE83" s="938">
        <f t="shared" si="85"/>
        <v>0</v>
      </c>
      <c r="AF83" s="938">
        <f t="shared" si="86"/>
        <v>0</v>
      </c>
      <c r="AG83" s="938">
        <f t="shared" si="87"/>
        <v>0</v>
      </c>
      <c r="AH83" s="1173">
        <f t="shared" si="88"/>
        <v>0</v>
      </c>
      <c r="AI83" s="938">
        <f t="shared" si="89"/>
        <v>0</v>
      </c>
      <c r="AJ83" s="1170"/>
      <c r="AK83" s="1170"/>
      <c r="AL83" s="1170"/>
      <c r="AM83" s="1172"/>
      <c r="AN83" s="1170"/>
      <c r="AO83" s="1170"/>
      <c r="AP83" s="1170"/>
      <c r="AQ83" s="1170"/>
      <c r="AR83" s="1170"/>
      <c r="AS83" s="1170"/>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9">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50">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7">
        <f t="shared" si="84"/>
        <v>0</v>
      </c>
      <c r="AE84" s="938">
        <f t="shared" si="85"/>
        <v>0</v>
      </c>
      <c r="AF84" s="938">
        <f t="shared" si="86"/>
        <v>0</v>
      </c>
      <c r="AG84" s="938">
        <f t="shared" si="87"/>
        <v>0</v>
      </c>
      <c r="AH84" s="1173">
        <f t="shared" si="88"/>
        <v>0</v>
      </c>
      <c r="AI84" s="938">
        <f t="shared" si="89"/>
        <v>0</v>
      </c>
      <c r="AJ84" s="1170"/>
      <c r="AK84" s="1170"/>
      <c r="AL84" s="1170"/>
      <c r="AM84" s="1172"/>
      <c r="AN84" s="1170"/>
      <c r="AO84" s="1170"/>
      <c r="AP84" s="1170"/>
      <c r="AQ84" s="1170"/>
      <c r="AR84" s="1170"/>
      <c r="AS84" s="1170"/>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9">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50">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7">
        <f t="shared" si="84"/>
        <v>0</v>
      </c>
      <c r="AE85" s="938">
        <f t="shared" si="85"/>
        <v>0</v>
      </c>
      <c r="AF85" s="938">
        <f t="shared" si="86"/>
        <v>0</v>
      </c>
      <c r="AG85" s="938">
        <f t="shared" si="87"/>
        <v>0</v>
      </c>
      <c r="AH85" s="1173">
        <f t="shared" si="88"/>
        <v>0</v>
      </c>
      <c r="AI85" s="938">
        <f t="shared" si="89"/>
        <v>0</v>
      </c>
      <c r="AJ85" s="1170"/>
      <c r="AK85" s="1170"/>
      <c r="AL85" s="1170"/>
      <c r="AM85" s="1172"/>
      <c r="AN85" s="1170"/>
      <c r="AO85" s="1170"/>
      <c r="AP85" s="1170"/>
      <c r="AQ85" s="1170"/>
      <c r="AR85" s="1170"/>
      <c r="AS85" s="1170"/>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9">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50">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7">
        <f t="shared" si="84"/>
        <v>0</v>
      </c>
      <c r="AE86" s="938">
        <f t="shared" si="85"/>
        <v>0</v>
      </c>
      <c r="AF86" s="938">
        <f t="shared" si="86"/>
        <v>0</v>
      </c>
      <c r="AG86" s="938">
        <f t="shared" si="87"/>
        <v>0</v>
      </c>
      <c r="AH86" s="1173">
        <f t="shared" si="88"/>
        <v>0</v>
      </c>
      <c r="AI86" s="938">
        <f t="shared" si="89"/>
        <v>0</v>
      </c>
      <c r="AJ86" s="1170"/>
      <c r="AK86" s="1170"/>
      <c r="AL86" s="1170"/>
      <c r="AM86" s="1172"/>
      <c r="AN86" s="1170"/>
      <c r="AO86" s="1170"/>
      <c r="AP86" s="1170"/>
      <c r="AQ86" s="1170"/>
      <c r="AR86" s="1170"/>
      <c r="AS86" s="1170"/>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9">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50">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7">
        <f t="shared" si="84"/>
        <v>0</v>
      </c>
      <c r="AE87" s="938">
        <f t="shared" si="85"/>
        <v>0</v>
      </c>
      <c r="AF87" s="938">
        <f t="shared" si="86"/>
        <v>0</v>
      </c>
      <c r="AG87" s="938">
        <f t="shared" si="87"/>
        <v>0</v>
      </c>
      <c r="AH87" s="1173">
        <f t="shared" si="88"/>
        <v>0</v>
      </c>
      <c r="AI87" s="938">
        <f t="shared" si="89"/>
        <v>0</v>
      </c>
      <c r="AJ87" s="1170"/>
      <c r="AK87" s="1170"/>
      <c r="AL87" s="1170"/>
      <c r="AM87" s="1172"/>
      <c r="AN87" s="1170"/>
      <c r="AO87" s="1170"/>
      <c r="AP87" s="1170"/>
      <c r="AQ87" s="1170"/>
      <c r="AR87" s="1170"/>
      <c r="AS87" s="1170"/>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9">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50">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7">
        <f t="shared" si="84"/>
        <v>0</v>
      </c>
      <c r="AE88" s="938">
        <f t="shared" si="85"/>
        <v>0</v>
      </c>
      <c r="AF88" s="938">
        <f t="shared" si="86"/>
        <v>0</v>
      </c>
      <c r="AG88" s="938">
        <f t="shared" si="87"/>
        <v>0</v>
      </c>
      <c r="AH88" s="1173">
        <f t="shared" si="88"/>
        <v>0</v>
      </c>
      <c r="AI88" s="938">
        <f t="shared" si="89"/>
        <v>0</v>
      </c>
      <c r="AJ88" s="1170"/>
      <c r="AK88" s="1170"/>
      <c r="AL88" s="1170"/>
      <c r="AM88" s="1172"/>
      <c r="AN88" s="1170"/>
      <c r="AO88" s="1170"/>
      <c r="AP88" s="1170"/>
      <c r="AQ88" s="1170"/>
      <c r="AR88" s="1170"/>
      <c r="AS88" s="1170"/>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9">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50">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7">
        <f t="shared" si="84"/>
        <v>0</v>
      </c>
      <c r="AE89" s="938">
        <f t="shared" si="85"/>
        <v>0</v>
      </c>
      <c r="AF89" s="938">
        <f t="shared" si="86"/>
        <v>0</v>
      </c>
      <c r="AG89" s="938">
        <f t="shared" si="87"/>
        <v>0</v>
      </c>
      <c r="AH89" s="1173">
        <f t="shared" si="88"/>
        <v>0</v>
      </c>
      <c r="AI89" s="938">
        <f t="shared" si="89"/>
        <v>0</v>
      </c>
      <c r="AJ89" s="1170"/>
      <c r="AK89" s="1170"/>
      <c r="AL89" s="1170"/>
      <c r="AM89" s="1172"/>
      <c r="AN89" s="1170"/>
      <c r="AO89" s="1170"/>
      <c r="AP89" s="1170"/>
      <c r="AQ89" s="1170"/>
      <c r="AR89" s="1170"/>
      <c r="AS89" s="1170"/>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9">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50">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7">
        <f t="shared" si="84"/>
        <v>0</v>
      </c>
      <c r="AE90" s="938">
        <f t="shared" si="85"/>
        <v>0</v>
      </c>
      <c r="AF90" s="938">
        <f t="shared" si="86"/>
        <v>0</v>
      </c>
      <c r="AG90" s="938">
        <f t="shared" si="87"/>
        <v>0</v>
      </c>
      <c r="AH90" s="1173">
        <f t="shared" si="88"/>
        <v>0</v>
      </c>
      <c r="AI90" s="938">
        <f t="shared" si="89"/>
        <v>0</v>
      </c>
      <c r="AJ90" s="1170"/>
      <c r="AK90" s="1170"/>
      <c r="AL90" s="1170"/>
      <c r="AM90" s="1172"/>
      <c r="AN90" s="1170"/>
      <c r="AO90" s="1170"/>
      <c r="AP90" s="1170"/>
      <c r="AQ90" s="1170"/>
      <c r="AR90" s="1170"/>
      <c r="AS90" s="1170"/>
    </row>
    <row r="91" spans="1:45" x14ac:dyDescent="0.2">
      <c r="A91" s="330">
        <v>2022</v>
      </c>
      <c r="B91" s="344">
        <v>2.3710772326558112E-2</v>
      </c>
      <c r="C91" s="345">
        <v>2.3710772326558112E-2</v>
      </c>
      <c r="D91" s="345">
        <v>2.3710772326558112E-2</v>
      </c>
      <c r="E91" s="345">
        <v>2.3309011156167098E-2</v>
      </c>
      <c r="F91" s="345">
        <v>2.1017059888285363E-2</v>
      </c>
      <c r="G91" s="345">
        <v>1.774541150996628E-2</v>
      </c>
      <c r="H91" s="345">
        <v>1.5048783448052475E-2</v>
      </c>
      <c r="I91" s="345">
        <v>1.2867863558911508E-2</v>
      </c>
      <c r="J91" s="345">
        <v>1.2376647611531986E-2</v>
      </c>
      <c r="K91" s="345">
        <v>1.3356952839242308E-2</v>
      </c>
      <c r="L91" s="380">
        <v>1.4412483369995033E-2</v>
      </c>
      <c r="M91" s="296">
        <f t="shared" si="80"/>
        <v>3.8398564918840773E-3</v>
      </c>
      <c r="N91" s="298">
        <f t="shared" si="81"/>
        <v>4.2667396072288864E-3</v>
      </c>
      <c r="O91" s="344">
        <v>2.3710772326558112E-2</v>
      </c>
      <c r="P91" s="345">
        <v>2.3710772326558112E-2</v>
      </c>
      <c r="Q91" s="345">
        <v>2.3710772326558112E-2</v>
      </c>
      <c r="R91" s="345">
        <v>2.3092750896789402E-2</v>
      </c>
      <c r="S91" s="345">
        <v>2.0086716411005009E-2</v>
      </c>
      <c r="T91" s="345">
        <v>1.6412946598014729E-2</v>
      </c>
      <c r="U91" s="345">
        <v>1.4152246040115772E-2</v>
      </c>
      <c r="V91" s="345">
        <v>1.2462683834090849E-2</v>
      </c>
      <c r="W91" s="345">
        <v>1.2720744008227142E-2</v>
      </c>
      <c r="X91" s="345">
        <v>1.3356952839242308E-2</v>
      </c>
      <c r="Y91" s="380">
        <v>1.4412483369995033E-2</v>
      </c>
      <c r="Z91" s="296">
        <f t="shared" si="82"/>
        <v>1.2089074749075585E-2</v>
      </c>
      <c r="AA91" s="298">
        <f t="shared" si="83"/>
        <v>1.2778156237141954E-2</v>
      </c>
      <c r="AB91" s="949">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50">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7">
        <f t="shared" si="84"/>
        <v>0</v>
      </c>
      <c r="AE91" s="938">
        <f>SUMPRODUCT($B$74:$L$74,B91:L91)</f>
        <v>3.8398564918840773E-3</v>
      </c>
      <c r="AF91" s="938">
        <f>SUMPRODUCT($O$74:$Y$74,O91:Y91)</f>
        <v>1.2089074749075585E-2</v>
      </c>
      <c r="AG91" s="938">
        <f>SUM(AE91:AF91)</f>
        <v>1.5928931240959662E-2</v>
      </c>
      <c r="AH91" s="1173">
        <f t="shared" si="88"/>
        <v>0.2410617783326397</v>
      </c>
      <c r="AI91" s="938">
        <f t="shared" si="89"/>
        <v>0.75893822166736025</v>
      </c>
      <c r="AJ91" s="1170"/>
      <c r="AK91" s="1172"/>
      <c r="AL91" s="1172"/>
      <c r="AM91" s="1172"/>
      <c r="AN91" s="1170"/>
      <c r="AO91" s="1172"/>
      <c r="AP91" s="1170"/>
      <c r="AQ91" s="1170"/>
      <c r="AR91" s="1170"/>
      <c r="AS91" s="1170"/>
    </row>
    <row r="92" spans="1:45" x14ac:dyDescent="0.2">
      <c r="A92" s="330">
        <v>2023</v>
      </c>
      <c r="B92" s="344">
        <v>5.9594924811287565E-2</v>
      </c>
      <c r="C92" s="345">
        <v>5.9594924811287565E-2</v>
      </c>
      <c r="D92" s="345">
        <v>5.9594924811287565E-2</v>
      </c>
      <c r="E92" s="345">
        <v>5.7259820958489069E-2</v>
      </c>
      <c r="F92" s="345">
        <v>4.9606126019348384E-2</v>
      </c>
      <c r="G92" s="345">
        <v>4.0106005546415087E-2</v>
      </c>
      <c r="H92" s="345">
        <v>3.4464334540748778E-2</v>
      </c>
      <c r="I92" s="345">
        <v>3.033485197197704E-2</v>
      </c>
      <c r="J92" s="345">
        <v>3.279937116248606E-2</v>
      </c>
      <c r="K92" s="345">
        <v>3.4308875021627126E-2</v>
      </c>
      <c r="L92" s="380">
        <v>6.4954638383467364E-2</v>
      </c>
      <c r="M92" s="296">
        <f t="shared" si="80"/>
        <v>9.5518593687248556E-3</v>
      </c>
      <c r="N92" s="298">
        <f t="shared" si="81"/>
        <v>1.0367565173462323E-2</v>
      </c>
      <c r="O92" s="344">
        <v>5.9594924811287565E-2</v>
      </c>
      <c r="P92" s="345">
        <v>5.9594924811287565E-2</v>
      </c>
      <c r="Q92" s="345">
        <v>5.9509008837870046E-2</v>
      </c>
      <c r="R92" s="345">
        <v>5.6573208935051064E-2</v>
      </c>
      <c r="S92" s="345">
        <v>4.6711003320219123E-2</v>
      </c>
      <c r="T92" s="345">
        <v>3.7818891153305396E-2</v>
      </c>
      <c r="U92" s="345">
        <v>3.3386822641616645E-2</v>
      </c>
      <c r="V92" s="345">
        <v>3.1112871408838068E-2</v>
      </c>
      <c r="W92" s="345">
        <v>3.279937116248606E-2</v>
      </c>
      <c r="X92" s="345">
        <v>3.4995291205706373E-2</v>
      </c>
      <c r="Y92" s="380">
        <v>3.6777022767758565E-2</v>
      </c>
      <c r="Z92" s="296">
        <f t="shared" si="82"/>
        <v>2.8954659452711629E-2</v>
      </c>
      <c r="AA92" s="298">
        <f t="shared" si="83"/>
        <v>3.0583331478535467E-2</v>
      </c>
      <c r="AB92" s="949">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50">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7">
        <f t="shared" si="84"/>
        <v>0</v>
      </c>
      <c r="AE92" s="938">
        <f t="shared" ref="AE92:AE119" si="90">SUMPRODUCT($B$74:$L$74,B92:L92)</f>
        <v>9.5518593687248556E-3</v>
      </c>
      <c r="AF92" s="938">
        <f t="shared" ref="AF92:AF119" si="91">SUMPRODUCT($O$74:$Y$74,O92:Y92)</f>
        <v>2.8954659452711629E-2</v>
      </c>
      <c r="AG92" s="938">
        <f t="shared" ref="AG92:AG119" si="92">SUM(AE92:AF92)</f>
        <v>3.8506518821436485E-2</v>
      </c>
      <c r="AH92" s="1173">
        <f t="shared" si="88"/>
        <v>0.24805824211269284</v>
      </c>
      <c r="AI92" s="938">
        <f t="shared" si="89"/>
        <v>0.75194175788730711</v>
      </c>
      <c r="AJ92" s="1170"/>
      <c r="AK92" s="1172"/>
      <c r="AL92" s="1172"/>
      <c r="AM92" s="1172"/>
      <c r="AN92" s="1170"/>
      <c r="AO92" s="1172"/>
      <c r="AP92" s="1170"/>
      <c r="AQ92" s="1170"/>
      <c r="AR92" s="1170"/>
      <c r="AS92" s="1170"/>
    </row>
    <row r="93" spans="1:45" x14ac:dyDescent="0.2">
      <c r="A93" s="330">
        <v>2024</v>
      </c>
      <c r="B93" s="344">
        <v>0.13444952797063267</v>
      </c>
      <c r="C93" s="345">
        <v>0.13444952797063267</v>
      </c>
      <c r="D93" s="345">
        <v>0.13425555154311558</v>
      </c>
      <c r="E93" s="345">
        <v>0.12342366779216732</v>
      </c>
      <c r="F93" s="345">
        <v>0.10059561014321844</v>
      </c>
      <c r="G93" s="345">
        <v>8.2740046241500956E-2</v>
      </c>
      <c r="H93" s="345">
        <v>7.0631387242447163E-2</v>
      </c>
      <c r="I93" s="345">
        <v>7.2168581537270821E-2</v>
      </c>
      <c r="J93" s="345">
        <v>0.15763254366552712</v>
      </c>
      <c r="K93" s="345">
        <v>0.15346607240072599</v>
      </c>
      <c r="L93" s="380">
        <v>0.14431003936430883</v>
      </c>
      <c r="M93" s="296">
        <f t="shared" si="80"/>
        <v>2.1818339322764869E-2</v>
      </c>
      <c r="N93" s="298">
        <f t="shared" si="81"/>
        <v>2.302171628916469E-2</v>
      </c>
      <c r="O93" s="344">
        <v>0.13444952797063267</v>
      </c>
      <c r="P93" s="345">
        <v>0.13444952797063267</v>
      </c>
      <c r="Q93" s="345">
        <v>0.13354626888416432</v>
      </c>
      <c r="R93" s="345">
        <v>0.1206935205419398</v>
      </c>
      <c r="S93" s="345">
        <v>9.5593491732635427E-2</v>
      </c>
      <c r="T93" s="345">
        <v>7.7728915933468049E-2</v>
      </c>
      <c r="U93" s="345">
        <v>6.8411960713648232E-2</v>
      </c>
      <c r="V93" s="345">
        <v>7.402217626172275E-2</v>
      </c>
      <c r="W93" s="345">
        <v>0.15458230658905586</v>
      </c>
      <c r="X93" s="345">
        <v>0.15072710936928832</v>
      </c>
      <c r="Y93" s="380">
        <v>0.14431003936430883</v>
      </c>
      <c r="Z93" s="296">
        <f t="shared" si="82"/>
        <v>6.957958189108647E-2</v>
      </c>
      <c r="AA93" s="298">
        <f t="shared" si="83"/>
        <v>6.9681107796878652E-2</v>
      </c>
      <c r="AB93" s="949">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50">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7">
        <f t="shared" si="84"/>
        <v>0</v>
      </c>
      <c r="AE93" s="938">
        <f t="shared" si="90"/>
        <v>2.1818339322764869E-2</v>
      </c>
      <c r="AF93" s="938">
        <f t="shared" si="91"/>
        <v>6.957958189108647E-2</v>
      </c>
      <c r="AG93" s="938">
        <f t="shared" si="92"/>
        <v>9.1397921213851346E-2</v>
      </c>
      <c r="AH93" s="1173">
        <f t="shared" si="88"/>
        <v>0.2387181134209243</v>
      </c>
      <c r="AI93" s="938">
        <f t="shared" si="89"/>
        <v>0.76128188657907558</v>
      </c>
      <c r="AJ93" s="1170"/>
      <c r="AK93" s="1172"/>
      <c r="AL93" s="1172"/>
      <c r="AM93" s="1172"/>
      <c r="AN93" s="1170"/>
      <c r="AO93" s="1172"/>
      <c r="AP93" s="1170"/>
      <c r="AQ93" s="1170"/>
      <c r="AR93" s="1170"/>
      <c r="AS93" s="1170"/>
    </row>
    <row r="94" spans="1:45" ht="15" thickBot="1" x14ac:dyDescent="0.25">
      <c r="A94" s="328">
        <v>2025</v>
      </c>
      <c r="B94" s="346">
        <v>0.24991241522448601</v>
      </c>
      <c r="C94" s="347">
        <v>0.24991241522448601</v>
      </c>
      <c r="D94" s="347">
        <v>0.24918252161814289</v>
      </c>
      <c r="E94" s="347">
        <v>0.22433450885590991</v>
      </c>
      <c r="F94" s="347">
        <v>0.17766852442671108</v>
      </c>
      <c r="G94" s="347">
        <v>0.14445861903140808</v>
      </c>
      <c r="H94" s="347">
        <v>0.12713987088461015</v>
      </c>
      <c r="I94" s="347">
        <v>0.2855076287191991</v>
      </c>
      <c r="J94" s="347">
        <v>0.27599580902482557</v>
      </c>
      <c r="K94" s="347">
        <v>0.27206229103572011</v>
      </c>
      <c r="L94" s="381">
        <v>0.26329355728411419</v>
      </c>
      <c r="M94" s="310">
        <f t="shared" si="80"/>
        <v>4.4118082953047595E-2</v>
      </c>
      <c r="N94" s="312">
        <f t="shared" si="81"/>
        <v>4.523400127594554E-2</v>
      </c>
      <c r="O94" s="346">
        <v>0.24991241522448601</v>
      </c>
      <c r="P94" s="347">
        <v>0.24991241522448601</v>
      </c>
      <c r="Q94" s="347">
        <v>0.24721556914245449</v>
      </c>
      <c r="R94" s="347">
        <v>0.21514768844535367</v>
      </c>
      <c r="S94" s="347">
        <v>0.16812371680631494</v>
      </c>
      <c r="T94" s="347">
        <v>0.13993935388177997</v>
      </c>
      <c r="U94" s="347">
        <v>0.12674082675823153</v>
      </c>
      <c r="V94" s="347">
        <v>0.27952958631636649</v>
      </c>
      <c r="W94" s="347">
        <v>0.27599580902482557</v>
      </c>
      <c r="X94" s="347">
        <v>0.26738959625924502</v>
      </c>
      <c r="Y94" s="381">
        <v>0.26696235121596651</v>
      </c>
      <c r="Z94" s="310">
        <f t="shared" si="82"/>
        <v>0.13998848267484912</v>
      </c>
      <c r="AA94" s="312">
        <f t="shared" si="83"/>
        <v>0.13692727133892474</v>
      </c>
      <c r="AB94" s="949">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50">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7">
        <f t="shared" si="84"/>
        <v>0</v>
      </c>
      <c r="AE94" s="938">
        <f t="shared" si="90"/>
        <v>4.4118082953047595E-2</v>
      </c>
      <c r="AF94" s="938">
        <f t="shared" si="91"/>
        <v>0.13998848267484912</v>
      </c>
      <c r="AG94" s="938">
        <f t="shared" si="92"/>
        <v>0.18410656562789671</v>
      </c>
      <c r="AH94" s="1173">
        <f t="shared" si="88"/>
        <v>0.23963340363545738</v>
      </c>
      <c r="AI94" s="938">
        <f t="shared" si="89"/>
        <v>0.76036659636454262</v>
      </c>
      <c r="AJ94" s="1170"/>
      <c r="AK94" s="1172"/>
      <c r="AL94" s="1172"/>
      <c r="AM94" s="1172"/>
      <c r="AN94" s="1170"/>
      <c r="AO94" s="1172"/>
      <c r="AP94" s="1170"/>
      <c r="AQ94" s="1170"/>
      <c r="AR94" s="1170"/>
      <c r="AS94" s="1170"/>
    </row>
    <row r="95" spans="1:45" x14ac:dyDescent="0.2">
      <c r="A95" s="329">
        <v>2026</v>
      </c>
      <c r="B95" s="342">
        <v>0.3653244599579003</v>
      </c>
      <c r="C95" s="343">
        <v>0.3653244599579003</v>
      </c>
      <c r="D95" s="343">
        <v>0.36502016271040366</v>
      </c>
      <c r="E95" s="343">
        <v>0.34159440203127256</v>
      </c>
      <c r="F95" s="343">
        <v>0.28624114064645728</v>
      </c>
      <c r="G95" s="343">
        <v>0.2316933611930353</v>
      </c>
      <c r="H95" s="343">
        <v>0.19807875481991419</v>
      </c>
      <c r="I95" s="343">
        <v>0.19087779936621072</v>
      </c>
      <c r="J95" s="343">
        <v>0.20597926327636215</v>
      </c>
      <c r="K95" s="343">
        <v>0.21859701987775332</v>
      </c>
      <c r="L95" s="379">
        <v>0.23144591979159965</v>
      </c>
      <c r="M95" s="282">
        <f t="shared" si="80"/>
        <v>5.3964427567174671E-2</v>
      </c>
      <c r="N95" s="284">
        <f t="shared" si="81"/>
        <v>6.0118341217862539E-2</v>
      </c>
      <c r="O95" s="342">
        <v>0.3653244599579003</v>
      </c>
      <c r="P95" s="343">
        <v>0.3653244599579003</v>
      </c>
      <c r="Q95" s="343">
        <v>0.3638248602652569</v>
      </c>
      <c r="R95" s="343">
        <v>0.3353398975026744</v>
      </c>
      <c r="S95" s="343">
        <v>0.26653754670284485</v>
      </c>
      <c r="T95" s="343">
        <v>0.21787348081828595</v>
      </c>
      <c r="U95" s="343">
        <v>0.19183508001939464</v>
      </c>
      <c r="V95" s="343">
        <v>0.1961788433045453</v>
      </c>
      <c r="W95" s="343">
        <v>0.21046650111959461</v>
      </c>
      <c r="X95" s="343">
        <v>0.21859701987775332</v>
      </c>
      <c r="Y95" s="379">
        <v>0.22866152978714666</v>
      </c>
      <c r="Z95" s="282">
        <f t="shared" si="82"/>
        <v>0.17092820189893543</v>
      </c>
      <c r="AA95" s="284">
        <f t="shared" si="83"/>
        <v>0.18018004046974914</v>
      </c>
      <c r="AB95" s="949">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50">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7">
        <f t="shared" si="84"/>
        <v>0</v>
      </c>
      <c r="AE95" s="938">
        <f t="shared" si="90"/>
        <v>5.3964427567174671E-2</v>
      </c>
      <c r="AF95" s="938">
        <f t="shared" si="91"/>
        <v>0.17092820189893543</v>
      </c>
      <c r="AG95" s="938">
        <f t="shared" si="92"/>
        <v>0.22489262946611011</v>
      </c>
      <c r="AH95" s="1173">
        <f t="shared" si="88"/>
        <v>0.23995640806586224</v>
      </c>
      <c r="AI95" s="938">
        <f t="shared" si="89"/>
        <v>0.76004359193413773</v>
      </c>
      <c r="AJ95" s="1170"/>
      <c r="AK95" s="1172"/>
      <c r="AL95" s="1172"/>
      <c r="AM95" s="1172"/>
      <c r="AN95" s="1170"/>
      <c r="AO95" s="1172"/>
      <c r="AP95" s="1170"/>
      <c r="AQ95" s="1170"/>
      <c r="AR95" s="1170"/>
      <c r="AS95" s="1170"/>
    </row>
    <row r="96" spans="1:45" x14ac:dyDescent="0.2">
      <c r="A96" s="330">
        <v>2027</v>
      </c>
      <c r="B96" s="344">
        <v>0.43979121009962546</v>
      </c>
      <c r="C96" s="345">
        <v>0.43979121009962546</v>
      </c>
      <c r="D96" s="345">
        <v>0.43979121009962546</v>
      </c>
      <c r="E96" s="345">
        <v>0.42250831519531046</v>
      </c>
      <c r="F96" s="345">
        <v>0.36588972295116357</v>
      </c>
      <c r="G96" s="345">
        <v>0.29567385470837099</v>
      </c>
      <c r="H96" s="345">
        <v>0.2540083117180636</v>
      </c>
      <c r="I96" s="345">
        <v>0.22352601980465089</v>
      </c>
      <c r="J96" s="345">
        <v>0.24238070794339969</v>
      </c>
      <c r="K96" s="345">
        <v>0.2535160472250767</v>
      </c>
      <c r="L96" s="380">
        <v>0.27541376799648709</v>
      </c>
      <c r="M96" s="296">
        <f t="shared" si="80"/>
        <v>6.7190868924191474E-2</v>
      </c>
      <c r="N96" s="298">
        <f t="shared" si="81"/>
        <v>7.4931356044852099E-2</v>
      </c>
      <c r="O96" s="344">
        <v>0.43979121009962546</v>
      </c>
      <c r="P96" s="345">
        <v>0.43979121009962546</v>
      </c>
      <c r="Q96" s="345">
        <v>0.43915524353359453</v>
      </c>
      <c r="R96" s="345">
        <v>0.41446122299447241</v>
      </c>
      <c r="S96" s="345">
        <v>0.3444844836328525</v>
      </c>
      <c r="T96" s="345">
        <v>0.27877988214338478</v>
      </c>
      <c r="U96" s="345">
        <v>0.24605327993715567</v>
      </c>
      <c r="V96" s="345">
        <v>0.2299376662391715</v>
      </c>
      <c r="W96" s="345">
        <v>0.24811519154614878</v>
      </c>
      <c r="X96" s="345">
        <v>0.25857904723126673</v>
      </c>
      <c r="Y96" s="380">
        <v>0.27171942427316859</v>
      </c>
      <c r="Z96" s="296">
        <f t="shared" si="82"/>
        <v>0.21364758799851008</v>
      </c>
      <c r="AA96" s="298">
        <f t="shared" si="83"/>
        <v>0.22552780213531343</v>
      </c>
      <c r="AB96" s="949">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50">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7">
        <f t="shared" si="84"/>
        <v>0</v>
      </c>
      <c r="AE96" s="938">
        <f t="shared" si="90"/>
        <v>6.7190868924191474E-2</v>
      </c>
      <c r="AF96" s="938">
        <f t="shared" si="91"/>
        <v>0.21364758799851008</v>
      </c>
      <c r="AG96" s="938">
        <f t="shared" si="92"/>
        <v>0.28083845692270154</v>
      </c>
      <c r="AH96" s="1173">
        <f t="shared" si="88"/>
        <v>0.23925095466069024</v>
      </c>
      <c r="AI96" s="938">
        <f t="shared" si="89"/>
        <v>0.76074904533930976</v>
      </c>
      <c r="AJ96" s="1170"/>
      <c r="AK96" s="1172"/>
      <c r="AL96" s="1172"/>
      <c r="AM96" s="1172"/>
      <c r="AN96" s="1170"/>
      <c r="AO96" s="1172"/>
      <c r="AP96" s="1170"/>
      <c r="AQ96" s="1170"/>
      <c r="AR96" s="1170"/>
      <c r="AS96" s="1170"/>
    </row>
    <row r="97" spans="1:45" x14ac:dyDescent="0.2">
      <c r="A97" s="330">
        <v>2028</v>
      </c>
      <c r="B97" s="344">
        <v>0.47371639970151252</v>
      </c>
      <c r="C97" s="345">
        <v>0.47371639970151252</v>
      </c>
      <c r="D97" s="345">
        <v>0.47338760937145791</v>
      </c>
      <c r="E97" s="345">
        <v>0.44633779007955104</v>
      </c>
      <c r="F97" s="345">
        <v>0.37076184053296135</v>
      </c>
      <c r="G97" s="345">
        <v>0.29988039244136488</v>
      </c>
      <c r="H97" s="345">
        <v>0.26460432751635959</v>
      </c>
      <c r="I97" s="345">
        <v>0.24810935349385893</v>
      </c>
      <c r="J97" s="345">
        <v>0.26768275342167952</v>
      </c>
      <c r="K97" s="345">
        <v>0.27894744464249405</v>
      </c>
      <c r="L97" s="380">
        <v>0.29706645171832374</v>
      </c>
      <c r="M97" s="296">
        <f t="shared" si="80"/>
        <v>7.0556766106464386E-2</v>
      </c>
      <c r="N97" s="298">
        <f t="shared" si="81"/>
        <v>7.8542845731957939E-2</v>
      </c>
      <c r="O97" s="344">
        <v>0.47371639970151252</v>
      </c>
      <c r="P97" s="345">
        <v>0.47371639970151252</v>
      </c>
      <c r="Q97" s="345">
        <v>0.4720656785272796</v>
      </c>
      <c r="R97" s="345">
        <v>0.43465441526683007</v>
      </c>
      <c r="S97" s="345">
        <v>0.3539019831230954</v>
      </c>
      <c r="T97" s="345">
        <v>0.28193933203553917</v>
      </c>
      <c r="U97" s="345">
        <v>0.24815477285148227</v>
      </c>
      <c r="V97" s="345">
        <v>0.25498110690697906</v>
      </c>
      <c r="W97" s="345">
        <v>0.27349720152101309</v>
      </c>
      <c r="X97" s="345">
        <v>0.28403067946392596</v>
      </c>
      <c r="Y97" s="380">
        <v>0.29706645171832374</v>
      </c>
      <c r="Z97" s="296">
        <f t="shared" si="82"/>
        <v>0.22220381033880315</v>
      </c>
      <c r="AA97" s="298">
        <f t="shared" si="83"/>
        <v>0.23433837131187329</v>
      </c>
      <c r="AB97" s="949">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50">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7">
        <f t="shared" si="84"/>
        <v>0</v>
      </c>
      <c r="AE97" s="938">
        <f t="shared" si="90"/>
        <v>7.0556766106464386E-2</v>
      </c>
      <c r="AF97" s="938">
        <f t="shared" si="91"/>
        <v>0.22220381033880315</v>
      </c>
      <c r="AG97" s="938">
        <f t="shared" si="92"/>
        <v>0.29276057644526754</v>
      </c>
      <c r="AH97" s="1173">
        <f t="shared" si="88"/>
        <v>0.24100501154620177</v>
      </c>
      <c r="AI97" s="938">
        <f t="shared" si="89"/>
        <v>0.7589949884537982</v>
      </c>
      <c r="AJ97" s="1170"/>
      <c r="AK97" s="1172"/>
      <c r="AL97" s="1172"/>
      <c r="AM97" s="1172"/>
      <c r="AN97" s="1170"/>
      <c r="AO97" s="1172"/>
      <c r="AP97" s="1170"/>
      <c r="AQ97" s="1170"/>
      <c r="AR97" s="1170"/>
      <c r="AS97" s="1170"/>
    </row>
    <row r="98" spans="1:45" x14ac:dyDescent="0.2">
      <c r="A98" s="330">
        <v>2029</v>
      </c>
      <c r="B98" s="344">
        <v>0.48492170447749872</v>
      </c>
      <c r="C98" s="345">
        <v>0.48492170447749872</v>
      </c>
      <c r="D98" s="345">
        <v>0.48492170447749872</v>
      </c>
      <c r="E98" s="345">
        <v>0.46299458125017245</v>
      </c>
      <c r="F98" s="345">
        <v>0.39514397162259801</v>
      </c>
      <c r="G98" s="345">
        <v>0.324890952878855</v>
      </c>
      <c r="H98" s="345">
        <v>0.27883020192407398</v>
      </c>
      <c r="I98" s="345">
        <v>0.24743100327205372</v>
      </c>
      <c r="J98" s="345">
        <v>0.26851290921966603</v>
      </c>
      <c r="K98" s="345">
        <v>0.28634692998147304</v>
      </c>
      <c r="L98" s="380">
        <v>0.30486698725571137</v>
      </c>
      <c r="M98" s="296">
        <f t="shared" si="80"/>
        <v>7.3723897355762971E-2</v>
      </c>
      <c r="N98" s="298">
        <f t="shared" si="81"/>
        <v>8.2123430951411128E-2</v>
      </c>
      <c r="O98" s="344">
        <v>0.48492170447749872</v>
      </c>
      <c r="P98" s="345">
        <v>0.48492170447749872</v>
      </c>
      <c r="Q98" s="345">
        <v>0.48407390125983057</v>
      </c>
      <c r="R98" s="345">
        <v>0.4567146049693272</v>
      </c>
      <c r="S98" s="345">
        <v>0.37896747600997588</v>
      </c>
      <c r="T98" s="345">
        <v>0.30620380507661588</v>
      </c>
      <c r="U98" s="345">
        <v>0.2614925296189573</v>
      </c>
      <c r="V98" s="345">
        <v>0.25480401933302083</v>
      </c>
      <c r="W98" s="345">
        <v>0.2748280284985441</v>
      </c>
      <c r="X98" s="345">
        <v>0.28634692998147304</v>
      </c>
      <c r="Y98" s="380">
        <v>0.30080407413057331</v>
      </c>
      <c r="Z98" s="296">
        <f t="shared" si="82"/>
        <v>0.23319695283567723</v>
      </c>
      <c r="AA98" s="298">
        <f t="shared" si="83"/>
        <v>0.24642681163529853</v>
      </c>
      <c r="AB98" s="949">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50">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7">
        <f t="shared" si="84"/>
        <v>0</v>
      </c>
      <c r="AE98" s="938">
        <f t="shared" si="90"/>
        <v>7.3723897355762971E-2</v>
      </c>
      <c r="AF98" s="938">
        <f t="shared" si="91"/>
        <v>0.23319695283567723</v>
      </c>
      <c r="AG98" s="938">
        <f t="shared" si="92"/>
        <v>0.30692085019144022</v>
      </c>
      <c r="AH98" s="1173">
        <f t="shared" si="88"/>
        <v>0.24020491703244692</v>
      </c>
      <c r="AI98" s="938">
        <f t="shared" si="89"/>
        <v>0.75979508296755305</v>
      </c>
      <c r="AJ98" s="1170"/>
      <c r="AK98" s="1172"/>
      <c r="AL98" s="1172"/>
      <c r="AM98" s="1172"/>
      <c r="AN98" s="1170"/>
      <c r="AO98" s="1172"/>
      <c r="AP98" s="1170"/>
      <c r="AQ98" s="1170"/>
      <c r="AR98" s="1170"/>
      <c r="AS98" s="1170"/>
    </row>
    <row r="99" spans="1:45" ht="15" thickBot="1" x14ac:dyDescent="0.25">
      <c r="A99" s="328">
        <v>2030</v>
      </c>
      <c r="B99" s="346">
        <v>0.48358978014166593</v>
      </c>
      <c r="C99" s="347">
        <v>0.48358978014166593</v>
      </c>
      <c r="D99" s="347">
        <v>0.48330625299782798</v>
      </c>
      <c r="E99" s="347">
        <v>0.45508922646589867</v>
      </c>
      <c r="F99" s="347">
        <v>0.38506550801826434</v>
      </c>
      <c r="G99" s="347">
        <v>0.31313406285307877</v>
      </c>
      <c r="H99" s="347">
        <v>0.2676429088035211</v>
      </c>
      <c r="I99" s="347">
        <v>0.25578146256250289</v>
      </c>
      <c r="J99" s="347">
        <v>0.27572391367966825</v>
      </c>
      <c r="K99" s="347">
        <v>0.28718552805294939</v>
      </c>
      <c r="L99" s="381">
        <v>0.30559762341429353</v>
      </c>
      <c r="M99" s="310">
        <f t="shared" si="80"/>
        <v>7.2407843382957401E-2</v>
      </c>
      <c r="N99" s="312">
        <f t="shared" si="81"/>
        <v>8.0582242481152061E-2</v>
      </c>
      <c r="O99" s="346">
        <v>0.48358978014166593</v>
      </c>
      <c r="P99" s="347">
        <v>0.48358978014166593</v>
      </c>
      <c r="Q99" s="347">
        <v>0.48213980786659272</v>
      </c>
      <c r="R99" s="347">
        <v>0.44736963832242826</v>
      </c>
      <c r="S99" s="347">
        <v>0.35937294247015256</v>
      </c>
      <c r="T99" s="347">
        <v>0.29453265104600923</v>
      </c>
      <c r="U99" s="347">
        <v>0.25082356801516037</v>
      </c>
      <c r="V99" s="347">
        <v>0.26278667197447486</v>
      </c>
      <c r="W99" s="347">
        <v>0.27572391367966825</v>
      </c>
      <c r="X99" s="347">
        <v>0.29235393038757684</v>
      </c>
      <c r="Y99" s="381">
        <v>0.30559762341429353</v>
      </c>
      <c r="Z99" s="310">
        <f t="shared" si="82"/>
        <v>0.22777578381090249</v>
      </c>
      <c r="AA99" s="312">
        <f t="shared" si="83"/>
        <v>0.2401820525375023</v>
      </c>
      <c r="AB99" s="949">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50">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7">
        <f t="shared" si="84"/>
        <v>0</v>
      </c>
      <c r="AE99" s="938">
        <f t="shared" si="90"/>
        <v>7.2407843382957401E-2</v>
      </c>
      <c r="AF99" s="938">
        <f t="shared" si="91"/>
        <v>0.22777578381090249</v>
      </c>
      <c r="AG99" s="938">
        <f t="shared" si="92"/>
        <v>0.30018362719385988</v>
      </c>
      <c r="AH99" s="1173">
        <f t="shared" si="88"/>
        <v>0.24121183443558067</v>
      </c>
      <c r="AI99" s="938">
        <f t="shared" si="89"/>
        <v>0.75878816556441941</v>
      </c>
      <c r="AJ99" s="1170"/>
      <c r="AK99" s="1172"/>
      <c r="AL99" s="1172"/>
      <c r="AM99" s="1172"/>
      <c r="AN99" s="1170"/>
      <c r="AO99" s="1172"/>
      <c r="AP99" s="1170"/>
      <c r="AQ99" s="1170"/>
      <c r="AR99" s="1170"/>
      <c r="AS99" s="1170"/>
    </row>
    <row r="100" spans="1:45" x14ac:dyDescent="0.2">
      <c r="A100" s="329">
        <v>2031</v>
      </c>
      <c r="B100" s="342">
        <v>0.48016832757899303</v>
      </c>
      <c r="C100" s="343">
        <v>0.48016832757899303</v>
      </c>
      <c r="D100" s="343">
        <v>0.47982426751092011</v>
      </c>
      <c r="E100" s="343">
        <v>0.44788334218251968</v>
      </c>
      <c r="F100" s="343">
        <v>0.37318336434809013</v>
      </c>
      <c r="G100" s="343">
        <v>0.30039266350882499</v>
      </c>
      <c r="H100" s="343">
        <v>0.26442576181236493</v>
      </c>
      <c r="I100" s="343">
        <v>0.25530491812169337</v>
      </c>
      <c r="J100" s="343">
        <v>0.27508380975344465</v>
      </c>
      <c r="K100" s="343">
        <v>0.28644320105214766</v>
      </c>
      <c r="L100" s="379">
        <v>0.30467853732722677</v>
      </c>
      <c r="M100" s="282">
        <f t="shared" si="80"/>
        <v>7.1198737562635769E-2</v>
      </c>
      <c r="N100" s="284">
        <f t="shared" si="81"/>
        <v>7.9162376606152551E-2</v>
      </c>
      <c r="O100" s="342">
        <v>0.48016832757899303</v>
      </c>
      <c r="P100" s="343">
        <v>0.48016832757899303</v>
      </c>
      <c r="Q100" s="343">
        <v>0.47812343437085453</v>
      </c>
      <c r="R100" s="343">
        <v>0.43940023401486294</v>
      </c>
      <c r="S100" s="343">
        <v>0.34679666557861261</v>
      </c>
      <c r="T100" s="343">
        <v>0.28207884002053829</v>
      </c>
      <c r="U100" s="343">
        <v>0.24771250498257977</v>
      </c>
      <c r="V100" s="343">
        <v>0.2622547445827485</v>
      </c>
      <c r="W100" s="343">
        <v>0.28094928463452185</v>
      </c>
      <c r="X100" s="343">
        <v>0.29156354662972389</v>
      </c>
      <c r="Y100" s="379">
        <v>0.30467853732722677</v>
      </c>
      <c r="Z100" s="282">
        <f t="shared" si="82"/>
        <v>0.22339067043115896</v>
      </c>
      <c r="AA100" s="284">
        <f t="shared" si="83"/>
        <v>0.23524463925064229</v>
      </c>
      <c r="AB100" s="949">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50">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7">
        <f t="shared" si="84"/>
        <v>0</v>
      </c>
      <c r="AE100" s="938">
        <f t="shared" si="90"/>
        <v>7.1198737562635769E-2</v>
      </c>
      <c r="AF100" s="938">
        <f t="shared" si="91"/>
        <v>0.22339067043115896</v>
      </c>
      <c r="AG100" s="938">
        <f t="shared" si="92"/>
        <v>0.29458940799379474</v>
      </c>
      <c r="AH100" s="1173">
        <f t="shared" si="88"/>
        <v>0.24168804319039028</v>
      </c>
      <c r="AI100" s="938">
        <f t="shared" si="89"/>
        <v>0.75831195680960961</v>
      </c>
      <c r="AJ100" s="1170"/>
      <c r="AK100" s="1172"/>
      <c r="AL100" s="1172"/>
      <c r="AM100" s="1172"/>
      <c r="AN100" s="1170"/>
      <c r="AO100" s="1172"/>
      <c r="AP100" s="1170"/>
      <c r="AQ100" s="1170"/>
      <c r="AR100" s="1170"/>
      <c r="AS100" s="1170"/>
    </row>
    <row r="101" spans="1:45" x14ac:dyDescent="0.2">
      <c r="A101" s="330">
        <v>2032</v>
      </c>
      <c r="B101" s="344">
        <v>0.47364918262367628</v>
      </c>
      <c r="C101" s="345">
        <v>0.47364918262367628</v>
      </c>
      <c r="D101" s="345">
        <v>0.47323356167441816</v>
      </c>
      <c r="E101" s="345">
        <v>0.44134858795429666</v>
      </c>
      <c r="F101" s="345">
        <v>0.3583462138395383</v>
      </c>
      <c r="G101" s="345">
        <v>0.29462690552130888</v>
      </c>
      <c r="H101" s="345">
        <v>0.25067112990531515</v>
      </c>
      <c r="I101" s="345">
        <v>0.25362821157556198</v>
      </c>
      <c r="J101" s="345">
        <v>0.27310650813703158</v>
      </c>
      <c r="K101" s="345">
        <v>0.28931721565787122</v>
      </c>
      <c r="L101" s="380">
        <v>0.30576532266416118</v>
      </c>
      <c r="M101" s="296">
        <f t="shared" si="80"/>
        <v>6.9265062570003283E-2</v>
      </c>
      <c r="N101" s="298">
        <f t="shared" si="81"/>
        <v>7.7023497185511117E-2</v>
      </c>
      <c r="O101" s="344">
        <v>0.47364918262367628</v>
      </c>
      <c r="P101" s="345">
        <v>0.47364918262367628</v>
      </c>
      <c r="Q101" s="345">
        <v>0.4716013299202611</v>
      </c>
      <c r="R101" s="345">
        <v>0.42805296446584878</v>
      </c>
      <c r="S101" s="345">
        <v>0.34064093345001956</v>
      </c>
      <c r="T101" s="345">
        <v>0.27650419580507568</v>
      </c>
      <c r="U101" s="345">
        <v>0.24255314461418401</v>
      </c>
      <c r="V101" s="345">
        <v>0.26047519022935894</v>
      </c>
      <c r="W101" s="345">
        <v>0.27887816366720486</v>
      </c>
      <c r="X101" s="345">
        <v>0.28931721565787122</v>
      </c>
      <c r="Y101" s="380">
        <v>0.30220605977503506</v>
      </c>
      <c r="Z101" s="296">
        <f t="shared" si="82"/>
        <v>0.21966133547894329</v>
      </c>
      <c r="AA101" s="298">
        <f t="shared" si="83"/>
        <v>0.23112703841282592</v>
      </c>
      <c r="AB101" s="949">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50">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7">
        <f t="shared" si="84"/>
        <v>0</v>
      </c>
      <c r="AE101" s="938">
        <f t="shared" si="90"/>
        <v>6.9265062570003283E-2</v>
      </c>
      <c r="AF101" s="938">
        <f t="shared" si="91"/>
        <v>0.21966133547894329</v>
      </c>
      <c r="AG101" s="938">
        <f t="shared" si="92"/>
        <v>0.2889263980489466</v>
      </c>
      <c r="AH101" s="1173">
        <f t="shared" si="88"/>
        <v>0.2397325513962528</v>
      </c>
      <c r="AI101" s="938">
        <f t="shared" si="89"/>
        <v>0.76026744860374706</v>
      </c>
      <c r="AJ101" s="1170"/>
      <c r="AK101" s="1172"/>
      <c r="AL101" s="1172"/>
      <c r="AM101" s="1172"/>
      <c r="AN101" s="1170"/>
      <c r="AO101" s="1172"/>
      <c r="AP101" s="1170"/>
      <c r="AQ101" s="1170"/>
      <c r="AR101" s="1170"/>
      <c r="AS101" s="1170"/>
    </row>
    <row r="102" spans="1:45" x14ac:dyDescent="0.2">
      <c r="A102" s="330">
        <v>2033</v>
      </c>
      <c r="B102" s="344">
        <v>0.46443847576209252</v>
      </c>
      <c r="C102" s="345">
        <v>0.46443847576209252</v>
      </c>
      <c r="D102" s="345">
        <v>0.46340865762776046</v>
      </c>
      <c r="E102" s="345">
        <v>0.41890300021701887</v>
      </c>
      <c r="F102" s="345">
        <v>0.34096284910133579</v>
      </c>
      <c r="G102" s="345">
        <v>0.2688354313049478</v>
      </c>
      <c r="H102" s="345">
        <v>0.23548321183953541</v>
      </c>
      <c r="I102" s="345">
        <v>0.25773806837927038</v>
      </c>
      <c r="J102" s="345">
        <v>0.27573068400048456</v>
      </c>
      <c r="K102" s="345">
        <v>0.2859243895262501</v>
      </c>
      <c r="L102" s="380">
        <v>0.27127577322410878</v>
      </c>
      <c r="M102" s="296">
        <f t="shared" si="80"/>
        <v>6.5893160227136052E-2</v>
      </c>
      <c r="N102" s="298">
        <f t="shared" si="81"/>
        <v>7.3447140980303416E-2</v>
      </c>
      <c r="O102" s="344">
        <v>0.46443847576209252</v>
      </c>
      <c r="P102" s="345">
        <v>0.46443847576209252</v>
      </c>
      <c r="Q102" s="345">
        <v>0.46050025404162637</v>
      </c>
      <c r="R102" s="345">
        <v>0.40809266936231181</v>
      </c>
      <c r="S102" s="345">
        <v>0.31402313964853112</v>
      </c>
      <c r="T102" s="345">
        <v>0.2516820987122424</v>
      </c>
      <c r="U102" s="345">
        <v>0.24399663354976531</v>
      </c>
      <c r="V102" s="345">
        <v>0.26409174311718786</v>
      </c>
      <c r="W102" s="345">
        <v>0.28100890926370503</v>
      </c>
      <c r="X102" s="345">
        <v>0.29047716254136124</v>
      </c>
      <c r="Y102" s="380">
        <v>0.2577486580315288</v>
      </c>
      <c r="Z102" s="296">
        <f t="shared" si="82"/>
        <v>0.21054951802324653</v>
      </c>
      <c r="AA102" s="298">
        <f t="shared" si="83"/>
        <v>0.22148473802503638</v>
      </c>
      <c r="AB102" s="949">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50">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7">
        <f>AB102*AH102+AC102*AI102</f>
        <v>0</v>
      </c>
      <c r="AE102" s="938">
        <f t="shared" si="90"/>
        <v>6.5893160227136052E-2</v>
      </c>
      <c r="AF102" s="938">
        <f t="shared" si="91"/>
        <v>0.21054951802324653</v>
      </c>
      <c r="AG102" s="938">
        <f t="shared" si="92"/>
        <v>0.2764426782503826</v>
      </c>
      <c r="AH102" s="1173">
        <f t="shared" si="88"/>
        <v>0.23836102530975553</v>
      </c>
      <c r="AI102" s="938">
        <f t="shared" si="89"/>
        <v>0.76163897469024444</v>
      </c>
      <c r="AJ102" s="1170"/>
      <c r="AK102" s="1172"/>
      <c r="AL102" s="1172"/>
      <c r="AM102" s="1172"/>
      <c r="AN102" s="1170"/>
      <c r="AO102" s="1172"/>
      <c r="AP102" s="1170"/>
      <c r="AQ102" s="1170"/>
      <c r="AR102" s="1170"/>
      <c r="AS102" s="1170"/>
    </row>
    <row r="103" spans="1:45" x14ac:dyDescent="0.2">
      <c r="A103" s="330">
        <v>2034</v>
      </c>
      <c r="B103" s="344">
        <v>0.4645286299248309</v>
      </c>
      <c r="C103" s="345">
        <v>0.4645286299248309</v>
      </c>
      <c r="D103" s="345">
        <v>0.46330125770183417</v>
      </c>
      <c r="E103" s="345">
        <v>0.41377374404080081</v>
      </c>
      <c r="F103" s="345">
        <v>0.33215753685905719</v>
      </c>
      <c r="G103" s="345">
        <v>0.26887139446662262</v>
      </c>
      <c r="H103" s="345">
        <v>0.23551229071629978</v>
      </c>
      <c r="I103" s="345">
        <v>0.26415932863432967</v>
      </c>
      <c r="J103" s="345">
        <v>0.28107935762123487</v>
      </c>
      <c r="K103" s="345">
        <v>0.29054913611997341</v>
      </c>
      <c r="L103" s="380">
        <v>0.25780971688820203</v>
      </c>
      <c r="M103" s="296">
        <f t="shared" si="80"/>
        <v>6.5576335366785476E-2</v>
      </c>
      <c r="N103" s="298">
        <f t="shared" si="81"/>
        <v>7.3028883147871357E-2</v>
      </c>
      <c r="O103" s="344">
        <v>0.4645286299248309</v>
      </c>
      <c r="P103" s="345">
        <v>0.4645286299248309</v>
      </c>
      <c r="Q103" s="345">
        <v>0.45991589680771588</v>
      </c>
      <c r="R103" s="345">
        <v>0.40215042747829538</v>
      </c>
      <c r="S103" s="345">
        <v>0.31406952492836465</v>
      </c>
      <c r="T103" s="345">
        <v>0.25171443550961509</v>
      </c>
      <c r="U103" s="345">
        <v>0.24406058900205341</v>
      </c>
      <c r="V103" s="345">
        <v>0.27015939457863053</v>
      </c>
      <c r="W103" s="345">
        <v>0.28107935762123487</v>
      </c>
      <c r="X103" s="345">
        <v>0.29054913611997341</v>
      </c>
      <c r="Y103" s="380">
        <v>0.24423659202926815</v>
      </c>
      <c r="Z103" s="296">
        <f t="shared" si="82"/>
        <v>0.21025004219657156</v>
      </c>
      <c r="AA103" s="298">
        <f t="shared" si="83"/>
        <v>0.22125135846671745</v>
      </c>
      <c r="AB103" s="949">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50">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7">
        <f t="shared" ref="AD103:AD119" si="93">AB103*AH103+AC103*AI103</f>
        <v>0</v>
      </c>
      <c r="AE103" s="938">
        <f t="shared" si="90"/>
        <v>6.5576335366785476E-2</v>
      </c>
      <c r="AF103" s="938">
        <f t="shared" si="91"/>
        <v>0.21025004219657156</v>
      </c>
      <c r="AG103" s="938">
        <f t="shared" si="92"/>
        <v>0.27582637756335704</v>
      </c>
      <c r="AH103" s="1173">
        <f t="shared" si="88"/>
        <v>0.237744975466397</v>
      </c>
      <c r="AI103" s="938">
        <f t="shared" si="89"/>
        <v>0.76225502453360294</v>
      </c>
      <c r="AJ103" s="1170"/>
      <c r="AK103" s="1172"/>
      <c r="AL103" s="1172"/>
      <c r="AM103" s="1172"/>
      <c r="AN103" s="1170"/>
      <c r="AO103" s="1172"/>
      <c r="AP103" s="1170"/>
      <c r="AQ103" s="1170"/>
      <c r="AR103" s="1170"/>
      <c r="AS103" s="1170"/>
    </row>
    <row r="104" spans="1:45" ht="15" thickBot="1" x14ac:dyDescent="0.25">
      <c r="A104" s="328">
        <v>2035</v>
      </c>
      <c r="B104" s="346">
        <v>0.46455808054210945</v>
      </c>
      <c r="C104" s="347">
        <v>0.46455808054210945</v>
      </c>
      <c r="D104" s="347">
        <v>0.46282641121761992</v>
      </c>
      <c r="E104" s="347">
        <v>0.40818323034166637</v>
      </c>
      <c r="F104" s="347">
        <v>0.32316544371462086</v>
      </c>
      <c r="G104" s="347">
        <v>0.26018801246565587</v>
      </c>
      <c r="H104" s="347">
        <v>0.23672590723331657</v>
      </c>
      <c r="I104" s="347">
        <v>0.26419319026682497</v>
      </c>
      <c r="J104" s="347">
        <v>0.28111385031538932</v>
      </c>
      <c r="K104" s="347">
        <v>0.29058390120408578</v>
      </c>
      <c r="L104" s="381">
        <v>0.27387822193993289</v>
      </c>
      <c r="M104" s="310">
        <f t="shared" si="80"/>
        <v>6.5268252646587532E-2</v>
      </c>
      <c r="N104" s="312">
        <f t="shared" si="81"/>
        <v>7.2424749885661485E-2</v>
      </c>
      <c r="O104" s="346">
        <v>0.46455808054210945</v>
      </c>
      <c r="P104" s="347">
        <v>0.46455808054210945</v>
      </c>
      <c r="Q104" s="347">
        <v>0.45827660331091363</v>
      </c>
      <c r="R104" s="347">
        <v>0.39575069331220042</v>
      </c>
      <c r="S104" s="347">
        <v>0.30493810067836685</v>
      </c>
      <c r="T104" s="347">
        <v>0.24347788247572569</v>
      </c>
      <c r="U104" s="347">
        <v>0.24409346044704117</v>
      </c>
      <c r="V104" s="347">
        <v>0.27019350117875524</v>
      </c>
      <c r="W104" s="347">
        <v>0.28603027795609742</v>
      </c>
      <c r="X104" s="347">
        <v>0.29477545448229836</v>
      </c>
      <c r="Y104" s="381">
        <v>0.25783762295409052</v>
      </c>
      <c r="Z104" s="310">
        <f t="shared" si="82"/>
        <v>0.20873661060081669</v>
      </c>
      <c r="AA104" s="312">
        <f t="shared" si="83"/>
        <v>0.21891927136141631</v>
      </c>
      <c r="AB104" s="949">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50">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7">
        <f t="shared" si="93"/>
        <v>0</v>
      </c>
      <c r="AE104" s="938">
        <f t="shared" si="90"/>
        <v>6.5268252646587532E-2</v>
      </c>
      <c r="AF104" s="938">
        <f t="shared" si="91"/>
        <v>0.20873661060081669</v>
      </c>
      <c r="AG104" s="938">
        <f t="shared" si="92"/>
        <v>0.27400486324740425</v>
      </c>
      <c r="AH104" s="1173">
        <f t="shared" si="88"/>
        <v>0.23820107378041525</v>
      </c>
      <c r="AI104" s="938">
        <f t="shared" si="89"/>
        <v>0.76179892621958467</v>
      </c>
      <c r="AJ104" s="1170"/>
      <c r="AK104" s="1172"/>
      <c r="AL104" s="1172"/>
      <c r="AM104" s="1172"/>
      <c r="AN104" s="1170"/>
      <c r="AO104" s="1172"/>
      <c r="AP104" s="1170"/>
      <c r="AQ104" s="1170"/>
      <c r="AR104" s="1170"/>
      <c r="AS104" s="1170"/>
    </row>
    <row r="105" spans="1:45" x14ac:dyDescent="0.2">
      <c r="A105" s="329">
        <v>2036</v>
      </c>
      <c r="B105" s="342">
        <v>0.36830723556096212</v>
      </c>
      <c r="C105" s="343">
        <v>0.36830723556096212</v>
      </c>
      <c r="D105" s="343">
        <v>0.36205246067115276</v>
      </c>
      <c r="E105" s="343">
        <v>0.28237511881579463</v>
      </c>
      <c r="F105" s="343">
        <v>0.20670982505385121</v>
      </c>
      <c r="G105" s="343">
        <v>0.20283634997474814</v>
      </c>
      <c r="H105" s="343">
        <v>0.22511213542611613</v>
      </c>
      <c r="I105" s="343">
        <v>0.19153838701700077</v>
      </c>
      <c r="J105" s="343">
        <v>0.26193701675913661</v>
      </c>
      <c r="K105" s="343">
        <v>0.30726463005124627</v>
      </c>
      <c r="L105" s="379">
        <v>0.39089902498902912</v>
      </c>
      <c r="M105" s="282">
        <f t="shared" si="80"/>
        <v>5.5091673491500431E-2</v>
      </c>
      <c r="N105" s="284">
        <f t="shared" si="81"/>
        <v>5.7890973899173748E-2</v>
      </c>
      <c r="O105" s="342">
        <v>0.36830723556096212</v>
      </c>
      <c r="P105" s="343">
        <v>0.36830723556096212</v>
      </c>
      <c r="Q105" s="343">
        <v>0.35136308590232251</v>
      </c>
      <c r="R105" s="343">
        <v>0.26796055133360758</v>
      </c>
      <c r="S105" s="343">
        <v>0.1920944461616434</v>
      </c>
      <c r="T105" s="343">
        <v>0.20883887441045301</v>
      </c>
      <c r="U105" s="343">
        <v>0.14292099805662739</v>
      </c>
      <c r="V105" s="343">
        <v>0.21817891398702854</v>
      </c>
      <c r="W105" s="343">
        <v>0.27442985613845094</v>
      </c>
      <c r="X105" s="343">
        <v>0.31970269462966378</v>
      </c>
      <c r="Y105" s="379">
        <v>0.37974161327615819</v>
      </c>
      <c r="Z105" s="282">
        <f t="shared" si="82"/>
        <v>0.16404294371677255</v>
      </c>
      <c r="AA105" s="284">
        <f t="shared" si="83"/>
        <v>0.16522966386989776</v>
      </c>
      <c r="AB105" s="949">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50">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7">
        <f t="shared" si="93"/>
        <v>0</v>
      </c>
      <c r="AE105" s="938">
        <f t="shared" si="90"/>
        <v>5.5091673491500431E-2</v>
      </c>
      <c r="AF105" s="938">
        <f t="shared" si="91"/>
        <v>0.16404294371677255</v>
      </c>
      <c r="AG105" s="938">
        <f t="shared" si="92"/>
        <v>0.21913461720827299</v>
      </c>
      <c r="AH105" s="1173">
        <f t="shared" si="88"/>
        <v>0.25140561629812891</v>
      </c>
      <c r="AI105" s="938">
        <f t="shared" si="89"/>
        <v>0.74859438370187115</v>
      </c>
      <c r="AJ105" s="1170"/>
      <c r="AK105" s="1172"/>
      <c r="AL105" s="1172"/>
      <c r="AM105" s="1172"/>
      <c r="AN105" s="1170"/>
      <c r="AO105" s="1172"/>
      <c r="AP105" s="1170"/>
      <c r="AQ105" s="1170"/>
      <c r="AR105" s="1170"/>
      <c r="AS105" s="1170"/>
    </row>
    <row r="106" spans="1:45" x14ac:dyDescent="0.2">
      <c r="A106" s="330">
        <v>2037</v>
      </c>
      <c r="B106" s="344">
        <v>0.26417550911024656</v>
      </c>
      <c r="C106" s="345">
        <v>0.26417550911024656</v>
      </c>
      <c r="D106" s="345">
        <v>0.25308049907064062</v>
      </c>
      <c r="E106" s="345">
        <v>0.17358203365303004</v>
      </c>
      <c r="F106" s="345">
        <v>0.1482300637243178</v>
      </c>
      <c r="G106" s="345">
        <v>9.9524903024581723E-2</v>
      </c>
      <c r="H106" s="345">
        <v>0.16401938900344704</v>
      </c>
      <c r="I106" s="345">
        <v>0.2422264999562557</v>
      </c>
      <c r="J106" s="345">
        <v>0.30312060909082122</v>
      </c>
      <c r="K106" s="345">
        <v>0.34342081463763169</v>
      </c>
      <c r="L106" s="380">
        <v>0.41569779781886035</v>
      </c>
      <c r="M106" s="296">
        <f t="shared" si="80"/>
        <v>4.5523000440449907E-2</v>
      </c>
      <c r="N106" s="298">
        <f t="shared" si="81"/>
        <v>4.4433178255864562E-2</v>
      </c>
      <c r="O106" s="344">
        <v>0.26417550911024656</v>
      </c>
      <c r="P106" s="345">
        <v>0.26417550911024656</v>
      </c>
      <c r="Q106" s="345">
        <v>0.23686723148329214</v>
      </c>
      <c r="R106" s="345">
        <v>0.16144603579490241</v>
      </c>
      <c r="S106" s="345">
        <v>0.15316509278259813</v>
      </c>
      <c r="T106" s="345">
        <v>0.12930166950225594</v>
      </c>
      <c r="U106" s="345">
        <v>0.18874720357246011</v>
      </c>
      <c r="V106" s="345">
        <v>0.2581556194373188</v>
      </c>
      <c r="W106" s="345">
        <v>0.3152218430937308</v>
      </c>
      <c r="X106" s="345">
        <v>0.35962216702032512</v>
      </c>
      <c r="Y106" s="380">
        <v>0.40139259279462725</v>
      </c>
      <c r="Z106" s="296">
        <f t="shared" si="82"/>
        <v>0.15877612847648073</v>
      </c>
      <c r="AA106" s="298">
        <f t="shared" si="83"/>
        <v>0.14842145027512002</v>
      </c>
      <c r="AB106" s="949">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50">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7">
        <f t="shared" si="93"/>
        <v>0</v>
      </c>
      <c r="AE106" s="938">
        <f t="shared" si="90"/>
        <v>4.5523000440449907E-2</v>
      </c>
      <c r="AF106" s="938">
        <f t="shared" si="91"/>
        <v>0.15877612847648073</v>
      </c>
      <c r="AG106" s="938">
        <f t="shared" si="92"/>
        <v>0.20429912891693064</v>
      </c>
      <c r="AH106" s="1173">
        <f t="shared" si="88"/>
        <v>0.22282523024833775</v>
      </c>
      <c r="AI106" s="938">
        <f t="shared" si="89"/>
        <v>0.77717476975166222</v>
      </c>
      <c r="AJ106" s="1170"/>
      <c r="AK106" s="1172"/>
      <c r="AL106" s="1172"/>
      <c r="AM106" s="1172"/>
      <c r="AN106" s="1170"/>
      <c r="AO106" s="1172"/>
      <c r="AP106" s="1170"/>
      <c r="AQ106" s="1170"/>
      <c r="AR106" s="1170"/>
      <c r="AS106" s="1170"/>
    </row>
    <row r="107" spans="1:45" x14ac:dyDescent="0.2">
      <c r="A107" s="330">
        <v>2038</v>
      </c>
      <c r="B107" s="344">
        <v>0.10820765401552511</v>
      </c>
      <c r="C107" s="345">
        <v>0.10820765401552511</v>
      </c>
      <c r="D107" s="345">
        <v>8.9010822332871969E-2</v>
      </c>
      <c r="E107" s="345">
        <v>7.0568619080314934E-2</v>
      </c>
      <c r="F107" s="345">
        <v>8.764426018042433E-2</v>
      </c>
      <c r="G107" s="345">
        <v>0.1689409617025614</v>
      </c>
      <c r="H107" s="345">
        <v>0.23816211151398739</v>
      </c>
      <c r="I107" s="345">
        <v>0.31025355983684183</v>
      </c>
      <c r="J107" s="345">
        <v>0.35450679478313013</v>
      </c>
      <c r="K107" s="345">
        <v>0.39649919597159244</v>
      </c>
      <c r="L107" s="380">
        <v>0.44234695660845003</v>
      </c>
      <c r="M107" s="296">
        <f t="shared" si="80"/>
        <v>5.1532191829858347E-2</v>
      </c>
      <c r="N107" s="298">
        <f t="shared" si="81"/>
        <v>4.4660921152666441E-2</v>
      </c>
      <c r="O107" s="344">
        <v>0.10820765401552511</v>
      </c>
      <c r="P107" s="345">
        <v>0.10820765401552511</v>
      </c>
      <c r="Q107" s="345">
        <v>7.3814241681633738E-2</v>
      </c>
      <c r="R107" s="345">
        <v>7.2766803683174452E-2</v>
      </c>
      <c r="S107" s="345">
        <v>0.11454708003043397</v>
      </c>
      <c r="T107" s="345">
        <v>0.1966844085655948</v>
      </c>
      <c r="U107" s="345">
        <v>0.26573882572040919</v>
      </c>
      <c r="V107" s="345">
        <v>0.3216446090845228</v>
      </c>
      <c r="W107" s="345">
        <v>0.36532474321053182</v>
      </c>
      <c r="X107" s="345">
        <v>0.39649919597159244</v>
      </c>
      <c r="Y107" s="380">
        <v>0.43404412483501931</v>
      </c>
      <c r="Z107" s="296">
        <f t="shared" si="82"/>
        <v>0.19029108468224618</v>
      </c>
      <c r="AA107" s="298">
        <f t="shared" si="83"/>
        <v>0.16554636338680198</v>
      </c>
      <c r="AB107" s="949">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50">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7">
        <f t="shared" si="93"/>
        <v>0</v>
      </c>
      <c r="AE107" s="938">
        <f t="shared" si="90"/>
        <v>5.1532191829858347E-2</v>
      </c>
      <c r="AF107" s="938">
        <f t="shared" si="91"/>
        <v>0.19029108468224618</v>
      </c>
      <c r="AG107" s="938">
        <f t="shared" si="92"/>
        <v>0.24182327651210453</v>
      </c>
      <c r="AH107" s="1173">
        <f t="shared" si="88"/>
        <v>0.21309855929968299</v>
      </c>
      <c r="AI107" s="938">
        <f t="shared" si="89"/>
        <v>0.78690144070031698</v>
      </c>
      <c r="AJ107" s="1170"/>
      <c r="AK107" s="1172"/>
      <c r="AL107" s="1172"/>
      <c r="AM107" s="1172"/>
      <c r="AN107" s="1170"/>
      <c r="AO107" s="1172"/>
      <c r="AP107" s="1170"/>
      <c r="AQ107" s="1170"/>
      <c r="AR107" s="1170"/>
      <c r="AS107" s="1170"/>
    </row>
    <row r="108" spans="1:45" x14ac:dyDescent="0.2">
      <c r="A108" s="330">
        <v>2039</v>
      </c>
      <c r="B108" s="344">
        <v>0</v>
      </c>
      <c r="C108" s="345">
        <v>0</v>
      </c>
      <c r="D108" s="345">
        <v>2.3345688631124378E-3</v>
      </c>
      <c r="E108" s="345">
        <v>5.6868953121877674E-2</v>
      </c>
      <c r="F108" s="345">
        <v>0.15275994705376059</v>
      </c>
      <c r="G108" s="345">
        <v>0.23984269108938303</v>
      </c>
      <c r="H108" s="345">
        <v>0.29915996711490611</v>
      </c>
      <c r="I108" s="345">
        <v>0.35922859757820952</v>
      </c>
      <c r="J108" s="345">
        <v>0.40036799781045795</v>
      </c>
      <c r="K108" s="345">
        <v>0.42893524685705386</v>
      </c>
      <c r="L108" s="380">
        <v>0.46075947403221246</v>
      </c>
      <c r="M108" s="296">
        <f t="shared" si="80"/>
        <v>6.2146456895033744E-2</v>
      </c>
      <c r="N108" s="298">
        <f t="shared" si="81"/>
        <v>5.2896488551629733E-2</v>
      </c>
      <c r="O108" s="344">
        <v>0</v>
      </c>
      <c r="P108" s="345">
        <v>0</v>
      </c>
      <c r="Q108" s="345">
        <v>7.9137503128981351E-3</v>
      </c>
      <c r="R108" s="345">
        <v>7.645651580027979E-2</v>
      </c>
      <c r="S108" s="345">
        <v>0.17535077345955699</v>
      </c>
      <c r="T108" s="345">
        <v>0.27184182439525523</v>
      </c>
      <c r="U108" s="345">
        <v>0.31574463328393459</v>
      </c>
      <c r="V108" s="345">
        <v>0.37526086091211286</v>
      </c>
      <c r="W108" s="345">
        <v>0.405868165115365</v>
      </c>
      <c r="X108" s="345">
        <v>0.42893524685705386</v>
      </c>
      <c r="Y108" s="380">
        <v>0.46075947403221246</v>
      </c>
      <c r="Z108" s="296">
        <f t="shared" si="82"/>
        <v>0.22826917105469216</v>
      </c>
      <c r="AA108" s="298">
        <f t="shared" si="83"/>
        <v>0.19706878009786932</v>
      </c>
      <c r="AB108" s="949">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50">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7">
        <f t="shared" si="93"/>
        <v>0</v>
      </c>
      <c r="AE108" s="938">
        <f t="shared" si="90"/>
        <v>6.2146456895033744E-2</v>
      </c>
      <c r="AF108" s="938">
        <f t="shared" si="91"/>
        <v>0.22826917105469216</v>
      </c>
      <c r="AG108" s="938">
        <f t="shared" si="92"/>
        <v>0.29041562794972592</v>
      </c>
      <c r="AH108" s="1173">
        <f t="shared" si="88"/>
        <v>0.21399143473708643</v>
      </c>
      <c r="AI108" s="938">
        <f t="shared" si="89"/>
        <v>0.78600856526291352</v>
      </c>
      <c r="AJ108" s="1170"/>
      <c r="AK108" s="1172"/>
      <c r="AL108" s="1172"/>
      <c r="AM108" s="1172"/>
      <c r="AN108" s="1170"/>
      <c r="AO108" s="1172"/>
      <c r="AP108" s="1170"/>
      <c r="AQ108" s="1170"/>
      <c r="AR108" s="1170"/>
      <c r="AS108" s="1170"/>
    </row>
    <row r="109" spans="1:45" ht="15" thickBot="1" x14ac:dyDescent="0.25">
      <c r="A109" s="328">
        <v>2040</v>
      </c>
      <c r="B109" s="346">
        <v>0</v>
      </c>
      <c r="C109" s="347">
        <v>0</v>
      </c>
      <c r="D109" s="347">
        <v>1.1524168178517456E-2</v>
      </c>
      <c r="E109" s="347">
        <v>0.10526553365883906</v>
      </c>
      <c r="F109" s="347">
        <v>0.20901119503766433</v>
      </c>
      <c r="G109" s="347">
        <v>0.29267189603997262</v>
      </c>
      <c r="H109" s="347">
        <v>0.34230009458604105</v>
      </c>
      <c r="I109" s="347">
        <v>0.38438039481999159</v>
      </c>
      <c r="J109" s="347">
        <v>0.42286580551876496</v>
      </c>
      <c r="K109" s="347">
        <v>0.44870254095874479</v>
      </c>
      <c r="L109" s="381">
        <v>0.47544064202636821</v>
      </c>
      <c r="M109" s="310">
        <f t="shared" si="80"/>
        <v>7.1251426103255966E-2</v>
      </c>
      <c r="N109" s="312">
        <f t="shared" si="81"/>
        <v>6.2357122366218543E-2</v>
      </c>
      <c r="O109" s="346">
        <v>0</v>
      </c>
      <c r="P109" s="347">
        <v>0</v>
      </c>
      <c r="Q109" s="347">
        <v>2.5035737569881266E-2</v>
      </c>
      <c r="R109" s="347">
        <v>0.11530481683228001</v>
      </c>
      <c r="S109" s="347">
        <v>0.23418459584173426</v>
      </c>
      <c r="T109" s="347">
        <v>0.30921878121272856</v>
      </c>
      <c r="U109" s="347">
        <v>0.35861445680599724</v>
      </c>
      <c r="V109" s="347">
        <v>0.39967684510286366</v>
      </c>
      <c r="W109" s="347">
        <v>0.42819239539024379</v>
      </c>
      <c r="X109" s="347">
        <v>0.44870254095874479</v>
      </c>
      <c r="Y109" s="381">
        <v>0.46988562976963238</v>
      </c>
      <c r="Z109" s="310">
        <f t="shared" si="82"/>
        <v>0.25593520821933641</v>
      </c>
      <c r="AA109" s="312">
        <f t="shared" si="83"/>
        <v>0.22478970716340818</v>
      </c>
      <c r="AB109" s="949">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50">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7">
        <f t="shared" si="93"/>
        <v>0</v>
      </c>
      <c r="AE109" s="938">
        <f t="shared" si="90"/>
        <v>7.1251426103255966E-2</v>
      </c>
      <c r="AF109" s="938">
        <f t="shared" si="91"/>
        <v>0.25593520821933641</v>
      </c>
      <c r="AG109" s="938">
        <f t="shared" si="92"/>
        <v>0.32718663432259237</v>
      </c>
      <c r="AH109" s="1173">
        <f t="shared" si="88"/>
        <v>0.21776997783168928</v>
      </c>
      <c r="AI109" s="938">
        <f t="shared" si="89"/>
        <v>0.78223002216831072</v>
      </c>
      <c r="AJ109" s="1170"/>
      <c r="AK109" s="1172"/>
      <c r="AL109" s="1172"/>
      <c r="AM109" s="1172"/>
      <c r="AN109" s="1170"/>
      <c r="AO109" s="1172"/>
      <c r="AP109" s="1170"/>
      <c r="AQ109" s="1170"/>
      <c r="AR109" s="1170"/>
      <c r="AS109" s="1170"/>
    </row>
    <row r="110" spans="1:45" x14ac:dyDescent="0.2">
      <c r="A110" s="329">
        <v>2041</v>
      </c>
      <c r="B110" s="342">
        <v>0</v>
      </c>
      <c r="C110" s="343">
        <v>0</v>
      </c>
      <c r="D110" s="343">
        <v>2.449425940196516E-2</v>
      </c>
      <c r="E110" s="343">
        <v>0.1418193743653231</v>
      </c>
      <c r="F110" s="343">
        <v>0.24350652846424786</v>
      </c>
      <c r="G110" s="343">
        <v>0.32493352851010127</v>
      </c>
      <c r="H110" s="343">
        <v>0.36759118449118866</v>
      </c>
      <c r="I110" s="343">
        <v>0.40748526603168039</v>
      </c>
      <c r="J110" s="343">
        <v>0.43511018258683243</v>
      </c>
      <c r="K110" s="343">
        <v>0.45433505232377253</v>
      </c>
      <c r="L110" s="379">
        <v>0.48157149718209102</v>
      </c>
      <c r="M110" s="282">
        <f t="shared" si="80"/>
        <v>7.705347093798702E-2</v>
      </c>
      <c r="N110" s="284">
        <f t="shared" si="81"/>
        <v>6.8488916524842638E-2</v>
      </c>
      <c r="O110" s="342">
        <v>0</v>
      </c>
      <c r="P110" s="343">
        <v>0</v>
      </c>
      <c r="Q110" s="343">
        <v>4.3559574724277537E-2</v>
      </c>
      <c r="R110" s="343">
        <v>0.15396150316439774</v>
      </c>
      <c r="S110" s="343">
        <v>0.26520058405700292</v>
      </c>
      <c r="T110" s="343">
        <v>0.34139161691129727</v>
      </c>
      <c r="U110" s="343">
        <v>0.38335137302040273</v>
      </c>
      <c r="V110" s="343">
        <v>0.42172567001682798</v>
      </c>
      <c r="W110" s="343">
        <v>0.44250167289677955</v>
      </c>
      <c r="X110" s="343">
        <v>0.45870987452842099</v>
      </c>
      <c r="Y110" s="379">
        <v>0.47413821054841471</v>
      </c>
      <c r="Z110" s="282">
        <f t="shared" si="82"/>
        <v>0.27498063451144866</v>
      </c>
      <c r="AA110" s="284">
        <f t="shared" si="83"/>
        <v>0.24417080048761333</v>
      </c>
      <c r="AB110" s="949">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50">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7">
        <f t="shared" si="93"/>
        <v>0</v>
      </c>
      <c r="AE110" s="938">
        <f t="shared" si="90"/>
        <v>7.705347093798702E-2</v>
      </c>
      <c r="AF110" s="938">
        <f t="shared" si="91"/>
        <v>0.27498063451144866</v>
      </c>
      <c r="AG110" s="938">
        <f t="shared" si="92"/>
        <v>0.3520341054494357</v>
      </c>
      <c r="AH110" s="1173">
        <f t="shared" si="88"/>
        <v>0.21888069861757917</v>
      </c>
      <c r="AI110" s="938">
        <f t="shared" si="89"/>
        <v>0.78111930138242081</v>
      </c>
      <c r="AJ110" s="1170"/>
      <c r="AK110" s="1172"/>
      <c r="AL110" s="1172"/>
      <c r="AM110" s="1172"/>
      <c r="AN110" s="1170"/>
      <c r="AO110" s="1172"/>
      <c r="AP110" s="1170"/>
      <c r="AQ110" s="1170"/>
      <c r="AR110" s="1170"/>
      <c r="AS110" s="1170"/>
    </row>
    <row r="111" spans="1:45" x14ac:dyDescent="0.2">
      <c r="A111" s="330">
        <v>2042</v>
      </c>
      <c r="B111" s="344">
        <v>0</v>
      </c>
      <c r="C111" s="345">
        <v>0</v>
      </c>
      <c r="D111" s="345">
        <v>3.7795606530312886E-2</v>
      </c>
      <c r="E111" s="345">
        <v>0.16611407135667247</v>
      </c>
      <c r="F111" s="345">
        <v>0.26421866698022084</v>
      </c>
      <c r="G111" s="345">
        <v>0.34011313333913562</v>
      </c>
      <c r="H111" s="345">
        <v>0.38190542988470932</v>
      </c>
      <c r="I111" s="345">
        <v>0.42004606319379612</v>
      </c>
      <c r="J111" s="345">
        <v>0.4450509310270388</v>
      </c>
      <c r="K111" s="345">
        <v>0.46072409757678023</v>
      </c>
      <c r="L111" s="380">
        <v>0.46446404832384569</v>
      </c>
      <c r="M111" s="296">
        <f t="shared" si="80"/>
        <v>8.0099288150058914E-2</v>
      </c>
      <c r="N111" s="298">
        <f t="shared" si="81"/>
        <v>7.1958400418561247E-2</v>
      </c>
      <c r="O111" s="344">
        <v>0</v>
      </c>
      <c r="P111" s="345">
        <v>0</v>
      </c>
      <c r="Q111" s="345">
        <v>6.3955814807029748E-2</v>
      </c>
      <c r="R111" s="345">
        <v>0.17942211785244827</v>
      </c>
      <c r="S111" s="345">
        <v>0.29080989154086551</v>
      </c>
      <c r="T111" s="345">
        <v>0.35967433119870673</v>
      </c>
      <c r="U111" s="345">
        <v>0.39709873708598503</v>
      </c>
      <c r="V111" s="345">
        <v>0.43344728562817419</v>
      </c>
      <c r="W111" s="345">
        <v>0.45256670954105094</v>
      </c>
      <c r="X111" s="345">
        <v>0.46308885549563095</v>
      </c>
      <c r="Y111" s="380">
        <v>0.47976025362515146</v>
      </c>
      <c r="Z111" s="296">
        <f t="shared" si="82"/>
        <v>0.28673641934527933</v>
      </c>
      <c r="AA111" s="298">
        <f t="shared" si="83"/>
        <v>0.25643284337311451</v>
      </c>
      <c r="AB111" s="949">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50">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7">
        <f t="shared" si="93"/>
        <v>0</v>
      </c>
      <c r="AE111" s="938">
        <f t="shared" si="90"/>
        <v>8.0099288150058914E-2</v>
      </c>
      <c r="AF111" s="938">
        <f t="shared" si="91"/>
        <v>0.28673641934527933</v>
      </c>
      <c r="AG111" s="938">
        <f t="shared" si="92"/>
        <v>0.36683570749533823</v>
      </c>
      <c r="AH111" s="1173">
        <f t="shared" si="88"/>
        <v>0.21835193933806682</v>
      </c>
      <c r="AI111" s="938">
        <f t="shared" si="89"/>
        <v>0.78164806066193326</v>
      </c>
      <c r="AJ111" s="1170"/>
      <c r="AK111" s="1172"/>
      <c r="AL111" s="1172"/>
      <c r="AM111" s="1172"/>
      <c r="AN111" s="1170"/>
      <c r="AO111" s="1172"/>
      <c r="AP111" s="1170"/>
      <c r="AQ111" s="1170"/>
      <c r="AR111" s="1170"/>
      <c r="AS111" s="1170"/>
    </row>
    <row r="112" spans="1:45" x14ac:dyDescent="0.2">
      <c r="A112" s="330">
        <v>2043</v>
      </c>
      <c r="B112" s="344">
        <v>0</v>
      </c>
      <c r="C112" s="345">
        <v>0</v>
      </c>
      <c r="D112" s="345">
        <v>4.2213324148404147E-2</v>
      </c>
      <c r="E112" s="345">
        <v>0.17860531841338409</v>
      </c>
      <c r="F112" s="345">
        <v>0.27322751813827867</v>
      </c>
      <c r="G112" s="345">
        <v>0.34844218966165991</v>
      </c>
      <c r="H112" s="345">
        <v>0.38874078081502433</v>
      </c>
      <c r="I112" s="345">
        <v>0.42261621161723872</v>
      </c>
      <c r="J112" s="345">
        <v>0.43453035560812359</v>
      </c>
      <c r="K112" s="345">
        <v>0.44326181753936655</v>
      </c>
      <c r="L112" s="380">
        <v>0.43461607951860964</v>
      </c>
      <c r="M112" s="296">
        <f t="shared" si="80"/>
        <v>8.0801511747850677E-2</v>
      </c>
      <c r="N112" s="298">
        <f t="shared" si="81"/>
        <v>7.3174131358047498E-2</v>
      </c>
      <c r="O112" s="344">
        <v>0</v>
      </c>
      <c r="P112" s="345">
        <v>0</v>
      </c>
      <c r="Q112" s="345">
        <v>7.0601182251557773E-2</v>
      </c>
      <c r="R112" s="345">
        <v>0.19241750187050294</v>
      </c>
      <c r="S112" s="345">
        <v>0.29946907484567553</v>
      </c>
      <c r="T112" s="345">
        <v>0.3644849841260791</v>
      </c>
      <c r="U112" s="345">
        <v>0.4039905183163971</v>
      </c>
      <c r="V112" s="345">
        <v>0.43128429764601467</v>
      </c>
      <c r="W112" s="345">
        <v>0.45020932759864712</v>
      </c>
      <c r="X112" s="345">
        <v>0.46056115311733803</v>
      </c>
      <c r="Y112" s="380">
        <v>0.47700303633127622</v>
      </c>
      <c r="Z112" s="296">
        <f t="shared" si="82"/>
        <v>0.29002316145834134</v>
      </c>
      <c r="AA112" s="298">
        <f t="shared" si="83"/>
        <v>0.26028086137997652</v>
      </c>
      <c r="AB112" s="949">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50">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7">
        <f t="shared" si="93"/>
        <v>0</v>
      </c>
      <c r="AE112" s="938">
        <f t="shared" si="90"/>
        <v>8.0801511747850677E-2</v>
      </c>
      <c r="AF112" s="938">
        <f t="shared" si="91"/>
        <v>0.29002316145834134</v>
      </c>
      <c r="AG112" s="938">
        <f t="shared" si="92"/>
        <v>0.370824673206192</v>
      </c>
      <c r="AH112" s="1173">
        <f t="shared" si="88"/>
        <v>0.21789680565004393</v>
      </c>
      <c r="AI112" s="938">
        <f t="shared" si="89"/>
        <v>0.78210319434995612</v>
      </c>
      <c r="AJ112" s="1170"/>
      <c r="AK112" s="1172"/>
      <c r="AL112" s="1172"/>
      <c r="AM112" s="1172"/>
      <c r="AN112" s="1170"/>
      <c r="AO112" s="1172"/>
      <c r="AP112" s="1170"/>
      <c r="AQ112" s="1170"/>
      <c r="AR112" s="1170"/>
      <c r="AS112" s="1170"/>
    </row>
    <row r="113" spans="1:45" x14ac:dyDescent="0.2">
      <c r="A113" s="330">
        <v>2044</v>
      </c>
      <c r="B113" s="344">
        <v>0</v>
      </c>
      <c r="C113" s="345">
        <v>0</v>
      </c>
      <c r="D113" s="345">
        <v>4.7018385296158281E-2</v>
      </c>
      <c r="E113" s="345">
        <v>0.18680066987207794</v>
      </c>
      <c r="F113" s="345">
        <v>0.28794035893778663</v>
      </c>
      <c r="G113" s="345">
        <v>0.34507603580003759</v>
      </c>
      <c r="H113" s="345">
        <v>0.38146345070260984</v>
      </c>
      <c r="I113" s="345">
        <v>0.41280538366668351</v>
      </c>
      <c r="J113" s="345">
        <v>0.4188045535569308</v>
      </c>
      <c r="K113" s="345">
        <v>0.4144192801314045</v>
      </c>
      <c r="L113" s="380">
        <v>0.41020729279638601</v>
      </c>
      <c r="M113" s="296">
        <f t="shared" si="80"/>
        <v>7.9774112709835587E-2</v>
      </c>
      <c r="N113" s="298">
        <f t="shared" si="81"/>
        <v>7.2855194220419792E-2</v>
      </c>
      <c r="O113" s="344">
        <v>0</v>
      </c>
      <c r="P113" s="345">
        <v>0</v>
      </c>
      <c r="Q113" s="345">
        <v>7.7720124347311556E-2</v>
      </c>
      <c r="R113" s="345">
        <v>0.20088051624314746</v>
      </c>
      <c r="S113" s="345">
        <v>0.30428931093845901</v>
      </c>
      <c r="T113" s="345">
        <v>0.36257458628868849</v>
      </c>
      <c r="U113" s="345">
        <v>0.40178033329295892</v>
      </c>
      <c r="V113" s="345">
        <v>0.42878806268753361</v>
      </c>
      <c r="W113" s="345">
        <v>0.44747774836810777</v>
      </c>
      <c r="X113" s="345">
        <v>0.46675616897078004</v>
      </c>
      <c r="Y113" s="380">
        <v>0.47391078364964523</v>
      </c>
      <c r="Z113" s="296">
        <f t="shared" si="82"/>
        <v>0.28968879473120618</v>
      </c>
      <c r="AA113" s="298">
        <f t="shared" si="83"/>
        <v>0.26044087724041376</v>
      </c>
      <c r="AB113" s="949">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50">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7">
        <f t="shared" si="93"/>
        <v>0</v>
      </c>
      <c r="AE113" s="938">
        <f t="shared" si="90"/>
        <v>7.9774112709835587E-2</v>
      </c>
      <c r="AF113" s="938">
        <f t="shared" si="91"/>
        <v>0.28968879473120618</v>
      </c>
      <c r="AG113" s="938">
        <f t="shared" si="92"/>
        <v>0.36946290744104177</v>
      </c>
      <c r="AH113" s="1173">
        <f t="shared" si="88"/>
        <v>0.21591913857432576</v>
      </c>
      <c r="AI113" s="938">
        <f t="shared" si="89"/>
        <v>0.78408086142567424</v>
      </c>
      <c r="AJ113" s="1170"/>
      <c r="AK113" s="1172"/>
      <c r="AL113" s="1172"/>
      <c r="AM113" s="1172"/>
      <c r="AN113" s="1170"/>
      <c r="AO113" s="1172"/>
      <c r="AP113" s="1170"/>
      <c r="AQ113" s="1170"/>
      <c r="AR113" s="1170"/>
      <c r="AS113" s="1170"/>
    </row>
    <row r="114" spans="1:45" ht="15" thickBot="1" x14ac:dyDescent="0.25">
      <c r="A114" s="328">
        <v>2045</v>
      </c>
      <c r="B114" s="346">
        <v>0</v>
      </c>
      <c r="C114" s="347">
        <v>0</v>
      </c>
      <c r="D114" s="347">
        <v>5.2262523367888281E-2</v>
      </c>
      <c r="E114" s="347">
        <v>0.1859015365776456</v>
      </c>
      <c r="F114" s="347">
        <v>0.28521631464349184</v>
      </c>
      <c r="G114" s="347">
        <v>0.35236880261781384</v>
      </c>
      <c r="H114" s="347">
        <v>0.37270811788933994</v>
      </c>
      <c r="I114" s="347">
        <v>0.39139606452290115</v>
      </c>
      <c r="J114" s="347">
        <v>0.39359186008167152</v>
      </c>
      <c r="K114" s="347">
        <v>0.38876801841579128</v>
      </c>
      <c r="L114" s="381">
        <v>0.38643564260887925</v>
      </c>
      <c r="M114" s="310">
        <f t="shared" si="80"/>
        <v>7.7687608804683228E-2</v>
      </c>
      <c r="N114" s="312">
        <f t="shared" si="81"/>
        <v>7.1355806115030909E-2</v>
      </c>
      <c r="O114" s="346">
        <v>0</v>
      </c>
      <c r="P114" s="347">
        <v>0</v>
      </c>
      <c r="Q114" s="347">
        <v>7.7372367513150228E-2</v>
      </c>
      <c r="R114" s="347">
        <v>0.19995495408234637</v>
      </c>
      <c r="S114" s="347">
        <v>0.30276233369112104</v>
      </c>
      <c r="T114" s="347">
        <v>0.36970481563239266</v>
      </c>
      <c r="U114" s="347">
        <v>0.39919944474635927</v>
      </c>
      <c r="V114" s="347">
        <v>0.43309084387002561</v>
      </c>
      <c r="W114" s="347">
        <v>0.44854120273456266</v>
      </c>
      <c r="X114" s="347">
        <v>0.46328515406398174</v>
      </c>
      <c r="Y114" s="381">
        <v>0.47023805073665814</v>
      </c>
      <c r="Z114" s="310">
        <f t="shared" si="82"/>
        <v>0.29033674707315044</v>
      </c>
      <c r="AA114" s="312">
        <f t="shared" si="83"/>
        <v>0.26116143402990255</v>
      </c>
      <c r="AB114" s="949">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50">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7">
        <f t="shared" si="93"/>
        <v>0</v>
      </c>
      <c r="AE114" s="938">
        <f t="shared" si="90"/>
        <v>7.7687608804683228E-2</v>
      </c>
      <c r="AF114" s="938">
        <f t="shared" si="91"/>
        <v>0.29033674707315044</v>
      </c>
      <c r="AG114" s="938">
        <f t="shared" si="92"/>
        <v>0.36802435587783366</v>
      </c>
      <c r="AH114" s="1173">
        <f t="shared" si="88"/>
        <v>0.2110936615034027</v>
      </c>
      <c r="AI114" s="938">
        <f t="shared" si="89"/>
        <v>0.7889063384965973</v>
      </c>
      <c r="AJ114" s="1170"/>
      <c r="AK114" s="1172"/>
      <c r="AL114" s="1172"/>
      <c r="AM114" s="1172"/>
      <c r="AN114" s="1170"/>
      <c r="AO114" s="1172"/>
      <c r="AP114" s="1170"/>
      <c r="AQ114" s="1170"/>
      <c r="AR114" s="1170"/>
      <c r="AS114" s="1170"/>
    </row>
    <row r="115" spans="1:45" x14ac:dyDescent="0.2">
      <c r="A115" s="329">
        <v>2046</v>
      </c>
      <c r="B115" s="342">
        <v>0</v>
      </c>
      <c r="C115" s="343">
        <v>0</v>
      </c>
      <c r="D115" s="343">
        <v>4.7746683914971146E-2</v>
      </c>
      <c r="E115" s="343">
        <v>0.18495961331645216</v>
      </c>
      <c r="F115" s="343">
        <v>0.28091071591619982</v>
      </c>
      <c r="G115" s="343">
        <v>0.33248528126104782</v>
      </c>
      <c r="H115" s="343">
        <v>0.35820548818005599</v>
      </c>
      <c r="I115" s="343">
        <v>0.37531138950030463</v>
      </c>
      <c r="J115" s="343">
        <v>0.37475566897491319</v>
      </c>
      <c r="K115" s="343">
        <v>0.37283137281199064</v>
      </c>
      <c r="L115" s="379">
        <v>0.37437285998954195</v>
      </c>
      <c r="M115" s="282">
        <f t="shared" si="80"/>
        <v>7.4816801409603534E-2</v>
      </c>
      <c r="N115" s="284">
        <f t="shared" si="81"/>
        <v>6.884074635701419E-2</v>
      </c>
      <c r="O115" s="342">
        <v>0</v>
      </c>
      <c r="P115" s="343">
        <v>0</v>
      </c>
      <c r="Q115" s="343">
        <v>7.7090158868595951E-2</v>
      </c>
      <c r="R115" s="343">
        <v>0.2040002584963943</v>
      </c>
      <c r="S115" s="343">
        <v>0.30127167984752556</v>
      </c>
      <c r="T115" s="343">
        <v>0.36695939979828235</v>
      </c>
      <c r="U115" s="343">
        <v>0.39446658842474852</v>
      </c>
      <c r="V115" s="343">
        <v>0.43004499584031197</v>
      </c>
      <c r="W115" s="343">
        <v>0.44529221167451349</v>
      </c>
      <c r="X115" s="343">
        <v>0.45971631456348627</v>
      </c>
      <c r="Y115" s="379">
        <v>0.46631413911945885</v>
      </c>
      <c r="Z115" s="282">
        <f t="shared" si="82"/>
        <v>0.2880201557380091</v>
      </c>
      <c r="AA115" s="284">
        <f t="shared" si="83"/>
        <v>0.25925162812365493</v>
      </c>
      <c r="AB115" s="949">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50">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7">
        <f t="shared" si="93"/>
        <v>0</v>
      </c>
      <c r="AE115" s="938">
        <f t="shared" si="90"/>
        <v>7.4816801409603534E-2</v>
      </c>
      <c r="AF115" s="938">
        <f t="shared" si="91"/>
        <v>0.2880201557380091</v>
      </c>
      <c r="AG115" s="938">
        <f t="shared" si="92"/>
        <v>0.36283695714761266</v>
      </c>
      <c r="AH115" s="1173">
        <f t="shared" si="88"/>
        <v>0.20619950624039071</v>
      </c>
      <c r="AI115" s="938">
        <f t="shared" si="89"/>
        <v>0.79380049375960926</v>
      </c>
      <c r="AJ115" s="1170"/>
      <c r="AK115" s="1172"/>
      <c r="AL115" s="1172"/>
      <c r="AM115" s="1172"/>
      <c r="AN115" s="1170"/>
      <c r="AO115" s="1172"/>
      <c r="AP115" s="1170"/>
      <c r="AQ115" s="1170"/>
      <c r="AR115" s="1170"/>
      <c r="AS115" s="1170"/>
    </row>
    <row r="116" spans="1:45" x14ac:dyDescent="0.2">
      <c r="A116" s="330">
        <v>2047</v>
      </c>
      <c r="B116" s="344">
        <v>0</v>
      </c>
      <c r="C116" s="345">
        <v>0</v>
      </c>
      <c r="D116" s="345">
        <v>5.1934068338024032E-2</v>
      </c>
      <c r="E116" s="345">
        <v>0.18785636069155789</v>
      </c>
      <c r="F116" s="345">
        <v>0.27309782012614842</v>
      </c>
      <c r="G116" s="345">
        <v>0.32727686346452017</v>
      </c>
      <c r="H116" s="345">
        <v>0.335762966340243</v>
      </c>
      <c r="I116" s="345">
        <v>0.35706236395776508</v>
      </c>
      <c r="J116" s="345">
        <v>0.35898764231245933</v>
      </c>
      <c r="K116" s="345">
        <v>0.36032812024674088</v>
      </c>
      <c r="L116" s="380">
        <v>0.36269613678049917</v>
      </c>
      <c r="M116" s="296">
        <f t="shared" si="80"/>
        <v>7.172244511971955E-2</v>
      </c>
      <c r="N116" s="298">
        <f t="shared" si="81"/>
        <v>6.6223855486516658E-2</v>
      </c>
      <c r="O116" s="344">
        <v>0</v>
      </c>
      <c r="P116" s="345">
        <v>0</v>
      </c>
      <c r="Q116" s="345">
        <v>8.4833302835278304E-2</v>
      </c>
      <c r="R116" s="345">
        <v>0.20322119651816242</v>
      </c>
      <c r="S116" s="345">
        <v>0.29873583127176234</v>
      </c>
      <c r="T116" s="345">
        <v>0.36594683125788818</v>
      </c>
      <c r="U116" s="345">
        <v>0.3876133011303764</v>
      </c>
      <c r="V116" s="345">
        <v>0.4263563143797936</v>
      </c>
      <c r="W116" s="345">
        <v>0.4411678041007579</v>
      </c>
      <c r="X116" s="345">
        <v>0.45518303372898705</v>
      </c>
      <c r="Y116" s="380">
        <v>0.46166787387345842</v>
      </c>
      <c r="Z116" s="296">
        <f t="shared" si="82"/>
        <v>0.28518894804381184</v>
      </c>
      <c r="AA116" s="298">
        <f t="shared" si="83"/>
        <v>0.25692702381697907</v>
      </c>
      <c r="AB116" s="949">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50">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7">
        <f t="shared" si="93"/>
        <v>0</v>
      </c>
      <c r="AE116" s="938">
        <f t="shared" si="90"/>
        <v>7.172244511971955E-2</v>
      </c>
      <c r="AF116" s="938">
        <f t="shared" si="91"/>
        <v>0.28518894804381184</v>
      </c>
      <c r="AG116" s="938">
        <f t="shared" si="92"/>
        <v>0.35691139316353138</v>
      </c>
      <c r="AH116" s="1173">
        <f t="shared" si="88"/>
        <v>0.2009530838564669</v>
      </c>
      <c r="AI116" s="938">
        <f t="shared" si="89"/>
        <v>0.79904691614353318</v>
      </c>
      <c r="AJ116" s="1170"/>
      <c r="AK116" s="1172"/>
      <c r="AL116" s="1172"/>
      <c r="AM116" s="1172"/>
      <c r="AN116" s="1170"/>
      <c r="AO116" s="1172"/>
      <c r="AP116" s="1170"/>
      <c r="AQ116" s="1170"/>
      <c r="AR116" s="1170"/>
      <c r="AS116" s="1170"/>
    </row>
    <row r="117" spans="1:45" x14ac:dyDescent="0.2">
      <c r="A117" s="330">
        <v>2048</v>
      </c>
      <c r="B117" s="344">
        <v>0</v>
      </c>
      <c r="C117" s="345">
        <v>0</v>
      </c>
      <c r="D117" s="345">
        <v>5.3033082191140224E-2</v>
      </c>
      <c r="E117" s="345">
        <v>0.18399831964426422</v>
      </c>
      <c r="F117" s="345">
        <v>0.25931095306660756</v>
      </c>
      <c r="G117" s="345">
        <v>0.30343050665174809</v>
      </c>
      <c r="H117" s="345">
        <v>0.30868438378077756</v>
      </c>
      <c r="I117" s="345">
        <v>0.3417239923827205</v>
      </c>
      <c r="J117" s="345">
        <v>0.34735405926169577</v>
      </c>
      <c r="K117" s="345">
        <v>0.34869118404370264</v>
      </c>
      <c r="L117" s="380">
        <v>0.3521473146283256</v>
      </c>
      <c r="M117" s="296">
        <f t="shared" si="80"/>
        <v>6.7579636700372328E-2</v>
      </c>
      <c r="N117" s="298">
        <f t="shared" si="81"/>
        <v>6.2383897751280649E-2</v>
      </c>
      <c r="O117" s="344">
        <v>0</v>
      </c>
      <c r="P117" s="345">
        <v>0</v>
      </c>
      <c r="Q117" s="345">
        <v>8.4649255351508398E-2</v>
      </c>
      <c r="R117" s="345">
        <v>0.21128422157019125</v>
      </c>
      <c r="S117" s="345">
        <v>0.30099189110261743</v>
      </c>
      <c r="T117" s="345">
        <v>0.3513557759442939</v>
      </c>
      <c r="U117" s="345">
        <v>0.36712016632488692</v>
      </c>
      <c r="V117" s="345">
        <v>0.42785334340309877</v>
      </c>
      <c r="W117" s="345">
        <v>0.43750108953085221</v>
      </c>
      <c r="X117" s="345">
        <v>0.45168894961050893</v>
      </c>
      <c r="Y117" s="380">
        <v>0.4580123978325637</v>
      </c>
      <c r="Z117" s="296">
        <f t="shared" si="82"/>
        <v>0.27786391127624688</v>
      </c>
      <c r="AA117" s="298">
        <f t="shared" si="83"/>
        <v>0.25041647174232945</v>
      </c>
      <c r="AB117" s="949">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50">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7">
        <f t="shared" si="93"/>
        <v>0</v>
      </c>
      <c r="AE117" s="938">
        <f t="shared" si="90"/>
        <v>6.7579636700372328E-2</v>
      </c>
      <c r="AF117" s="938">
        <f t="shared" si="91"/>
        <v>0.27786391127624688</v>
      </c>
      <c r="AG117" s="938">
        <f t="shared" si="92"/>
        <v>0.34544354797661919</v>
      </c>
      <c r="AH117" s="1173">
        <f t="shared" si="88"/>
        <v>0.1956314920229639</v>
      </c>
      <c r="AI117" s="938">
        <f t="shared" si="89"/>
        <v>0.80436850797703618</v>
      </c>
      <c r="AJ117" s="1170"/>
      <c r="AK117" s="1172"/>
      <c r="AL117" s="1172"/>
      <c r="AM117" s="1172"/>
      <c r="AN117" s="1170"/>
      <c r="AO117" s="1172"/>
      <c r="AP117" s="1170"/>
      <c r="AQ117" s="1170"/>
      <c r="AR117" s="1170"/>
      <c r="AS117" s="1170"/>
    </row>
    <row r="118" spans="1:45" x14ac:dyDescent="0.2">
      <c r="A118" s="330">
        <v>2049</v>
      </c>
      <c r="B118" s="344">
        <v>0</v>
      </c>
      <c r="C118" s="345">
        <v>0</v>
      </c>
      <c r="D118" s="345">
        <v>5.2736642386349127E-2</v>
      </c>
      <c r="E118" s="345">
        <v>0.17464979895476726</v>
      </c>
      <c r="F118" s="345">
        <v>0.24322593676895043</v>
      </c>
      <c r="G118" s="345">
        <v>0.27300701133470195</v>
      </c>
      <c r="H118" s="345">
        <v>0.27996489761028964</v>
      </c>
      <c r="I118" s="345">
        <v>0.32628050187515434</v>
      </c>
      <c r="J118" s="345">
        <v>0.3360267399546078</v>
      </c>
      <c r="K118" s="345">
        <v>0.33766879869790739</v>
      </c>
      <c r="L118" s="380">
        <v>0.34231060534351421</v>
      </c>
      <c r="M118" s="296">
        <f t="shared" si="80"/>
        <v>6.2954347766320168E-2</v>
      </c>
      <c r="N118" s="298">
        <f t="shared" si="81"/>
        <v>5.7971301797009794E-2</v>
      </c>
      <c r="O118" s="344">
        <v>0</v>
      </c>
      <c r="P118" s="345">
        <v>0</v>
      </c>
      <c r="Q118" s="345">
        <v>8.6289154293880913E-2</v>
      </c>
      <c r="R118" s="345">
        <v>0.20496225112727529</v>
      </c>
      <c r="S118" s="345">
        <v>0.29032654772809818</v>
      </c>
      <c r="T118" s="345">
        <v>0.32423231563979688</v>
      </c>
      <c r="U118" s="345">
        <v>0.3392381277266287</v>
      </c>
      <c r="V118" s="345">
        <v>0.42242159000959628</v>
      </c>
      <c r="W118" s="345">
        <v>0.43152884483065179</v>
      </c>
      <c r="X118" s="345">
        <v>0.44540170345049734</v>
      </c>
      <c r="Y118" s="380">
        <v>0.45184136259953428</v>
      </c>
      <c r="Z118" s="296">
        <f t="shared" si="82"/>
        <v>0.26396919015108211</v>
      </c>
      <c r="AA118" s="298">
        <f t="shared" si="83"/>
        <v>0.23720848635814784</v>
      </c>
      <c r="AB118" s="949">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50">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7">
        <f t="shared" si="93"/>
        <v>0</v>
      </c>
      <c r="AE118" s="938">
        <f t="shared" si="90"/>
        <v>6.2954347766320168E-2</v>
      </c>
      <c r="AF118" s="938">
        <f t="shared" si="91"/>
        <v>0.26396919015108211</v>
      </c>
      <c r="AG118" s="938">
        <f t="shared" si="92"/>
        <v>0.32692353791740225</v>
      </c>
      <c r="AH118" s="1173">
        <f t="shared" si="88"/>
        <v>0.19256596868906295</v>
      </c>
      <c r="AI118" s="938">
        <f t="shared" si="89"/>
        <v>0.80743403131093716</v>
      </c>
      <c r="AJ118" s="1170"/>
      <c r="AK118" s="1172"/>
      <c r="AL118" s="1172"/>
      <c r="AM118" s="1172"/>
      <c r="AN118" s="1170"/>
      <c r="AO118" s="1172"/>
      <c r="AP118" s="1170"/>
      <c r="AQ118" s="1170"/>
      <c r="AR118" s="1170"/>
      <c r="AS118" s="1170"/>
    </row>
    <row r="119" spans="1:45" ht="15" thickBot="1" x14ac:dyDescent="0.25">
      <c r="A119" s="328">
        <v>2050</v>
      </c>
      <c r="B119" s="346">
        <v>0</v>
      </c>
      <c r="C119" s="347">
        <v>0</v>
      </c>
      <c r="D119" s="347">
        <v>5.0984108664855171E-2</v>
      </c>
      <c r="E119" s="347">
        <v>0.15421049002331833</v>
      </c>
      <c r="F119" s="347">
        <v>0.21188251148666784</v>
      </c>
      <c r="G119" s="347">
        <v>0.23891383398506694</v>
      </c>
      <c r="H119" s="347">
        <v>0.24712316218974814</v>
      </c>
      <c r="I119" s="347">
        <v>0.31110813344643512</v>
      </c>
      <c r="J119" s="347">
        <v>0.3250157525027102</v>
      </c>
      <c r="K119" s="347">
        <v>0.32718097055490741</v>
      </c>
      <c r="L119" s="381">
        <v>0.33571033350266821</v>
      </c>
      <c r="M119" s="310">
        <f t="shared" si="80"/>
        <v>5.7231027300802755E-2</v>
      </c>
      <c r="N119" s="312">
        <f t="shared" si="81"/>
        <v>5.2190830271963348E-2</v>
      </c>
      <c r="O119" s="346">
        <v>0</v>
      </c>
      <c r="P119" s="347">
        <v>0</v>
      </c>
      <c r="Q119" s="347">
        <v>8.2892481135190224E-2</v>
      </c>
      <c r="R119" s="347">
        <v>0.18714485773683295</v>
      </c>
      <c r="S119" s="347">
        <v>0.25935074755757054</v>
      </c>
      <c r="T119" s="347">
        <v>0.29065508165762155</v>
      </c>
      <c r="U119" s="347">
        <v>0.30628600674452605</v>
      </c>
      <c r="V119" s="347">
        <v>0.41667246596222962</v>
      </c>
      <c r="W119" s="347">
        <v>0.42621792204864289</v>
      </c>
      <c r="X119" s="347">
        <v>0.44054077065763708</v>
      </c>
      <c r="Y119" s="381">
        <v>0.45165804658791819</v>
      </c>
      <c r="Z119" s="310">
        <f t="shared" si="82"/>
        <v>0.24586763808525464</v>
      </c>
      <c r="AA119" s="312">
        <f t="shared" si="83"/>
        <v>0.21900728003469994</v>
      </c>
      <c r="AB119" s="951">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2">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8">
        <f t="shared" si="93"/>
        <v>0</v>
      </c>
      <c r="AE119" s="938">
        <f t="shared" si="90"/>
        <v>5.7231027300802755E-2</v>
      </c>
      <c r="AF119" s="938">
        <f t="shared" si="91"/>
        <v>0.24586763808525464</v>
      </c>
      <c r="AG119" s="938">
        <f t="shared" si="92"/>
        <v>0.3030986653860574</v>
      </c>
      <c r="AH119" s="1173">
        <f t="shared" si="88"/>
        <v>0.18881979314526995</v>
      </c>
      <c r="AI119" s="938">
        <f t="shared" si="89"/>
        <v>0.81118020685473002</v>
      </c>
      <c r="AJ119" s="1170"/>
      <c r="AK119" s="1172"/>
      <c r="AL119" s="1172"/>
      <c r="AM119" s="1172"/>
      <c r="AN119" s="1170"/>
      <c r="AO119" s="1172"/>
      <c r="AP119" s="1170"/>
      <c r="AQ119" s="1170"/>
      <c r="AR119" s="1170"/>
      <c r="AS119" s="1170"/>
    </row>
    <row r="120" spans="1:45" x14ac:dyDescent="0.2">
      <c r="B120" s="227" t="str">
        <f>"Output generated: "&amp; TEXT($P$4,"m/dd/yyyy hh:mm")</f>
        <v>Output generated: 7/21/2020 15:48</v>
      </c>
      <c r="U120" s="227" t="str">
        <f>"Output generated: "&amp; TEXT($P$5,"m/dd/yyyy hh:mm")</f>
        <v>Output generated: 7/21/2020 15:48</v>
      </c>
      <c r="AE120" s="938"/>
      <c r="AF120" s="938"/>
      <c r="AG120" s="938"/>
      <c r="AH120" s="938"/>
      <c r="AI120" s="938"/>
    </row>
    <row r="121" spans="1:45" ht="15" thickBot="1" x14ac:dyDescent="0.25">
      <c r="AE121" s="938"/>
      <c r="AF121" s="938"/>
      <c r="AG121" s="938"/>
      <c r="AH121" s="938"/>
      <c r="AI121" s="938"/>
    </row>
    <row r="122" spans="1:45" ht="15" x14ac:dyDescent="0.2">
      <c r="A122" s="333"/>
      <c r="B122" s="1553" t="s">
        <v>189</v>
      </c>
      <c r="C122" s="1554"/>
      <c r="D122" s="1554"/>
      <c r="E122" s="1554"/>
      <c r="F122" s="1554"/>
      <c r="G122" s="1554"/>
      <c r="H122" s="1554"/>
      <c r="I122" s="1554"/>
      <c r="J122" s="1554"/>
      <c r="K122" s="1554"/>
      <c r="L122" s="1554"/>
      <c r="M122" s="1554"/>
      <c r="N122" s="1555"/>
      <c r="O122" s="1553" t="s">
        <v>190</v>
      </c>
      <c r="P122" s="1554"/>
      <c r="Q122" s="1554"/>
      <c r="R122" s="1554"/>
      <c r="S122" s="1554"/>
      <c r="T122" s="1554"/>
      <c r="U122" s="1554"/>
      <c r="V122" s="1554"/>
      <c r="W122" s="1554"/>
      <c r="X122" s="1554"/>
      <c r="Y122" s="1554"/>
      <c r="Z122" s="1554"/>
      <c r="AA122" s="1555"/>
      <c r="AE122" s="938"/>
      <c r="AF122" s="938"/>
      <c r="AG122" s="938"/>
      <c r="AH122" s="938"/>
      <c r="AI122" s="938"/>
      <c r="AJ122" s="227"/>
      <c r="AK122" s="227"/>
      <c r="AL122" s="227"/>
      <c r="AM122" s="227"/>
    </row>
    <row r="123" spans="1:45" x14ac:dyDescent="0.2">
      <c r="A123" s="324"/>
      <c r="B123" s="1556" t="s">
        <v>121</v>
      </c>
      <c r="C123" s="1557"/>
      <c r="D123" s="1557"/>
      <c r="E123" s="1557"/>
      <c r="F123" s="1557"/>
      <c r="G123" s="1557"/>
      <c r="H123" s="1557"/>
      <c r="I123" s="1557"/>
      <c r="J123" s="1557"/>
      <c r="K123" s="1557"/>
      <c r="L123" s="1558"/>
      <c r="M123" s="382"/>
      <c r="N123" s="325"/>
      <c r="O123" s="1556" t="s">
        <v>121</v>
      </c>
      <c r="P123" s="1557"/>
      <c r="Q123" s="1557"/>
      <c r="R123" s="1557"/>
      <c r="S123" s="1557"/>
      <c r="T123" s="1557"/>
      <c r="U123" s="1557"/>
      <c r="V123" s="1557"/>
      <c r="W123" s="1557"/>
      <c r="X123" s="1557"/>
      <c r="Y123" s="1558"/>
      <c r="Z123" s="382"/>
      <c r="AA123" s="325"/>
      <c r="AE123" s="938"/>
      <c r="AF123" s="938"/>
      <c r="AG123" s="938"/>
      <c r="AH123" s="938"/>
      <c r="AI123" s="938"/>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4" t="s">
        <v>267</v>
      </c>
      <c r="AD124" s="234" t="b">
        <f>INDEX(TECH_OPT_FUEL2_Cls1,MATCH(RIGHT(O122),TECH_OPT_ROWS_Cls1,0))&lt;&gt;"N/A"</f>
        <v>0</v>
      </c>
      <c r="AE124" s="938"/>
      <c r="AF124" s="938"/>
      <c r="AG124" s="938"/>
      <c r="AH124" s="938"/>
      <c r="AI124" s="938"/>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7"/>
      <c r="AC125" s="904" t="s">
        <v>268</v>
      </c>
      <c r="AD125" s="234">
        <f>MATCH(RIGHT(O122),TECH_OPT_ROWS_Cls1,0)</f>
        <v>3</v>
      </c>
      <c r="AE125" s="938"/>
      <c r="AF125" s="938"/>
      <c r="AG125" s="938"/>
      <c r="AH125" s="938"/>
      <c r="AI125" s="938"/>
      <c r="AJ125" s="227"/>
      <c r="AK125" s="227"/>
      <c r="AL125" s="227"/>
      <c r="AM125" s="227"/>
    </row>
    <row r="126" spans="1:45" x14ac:dyDescent="0.2">
      <c r="A126" s="331" t="s">
        <v>125</v>
      </c>
      <c r="B126" s="939">
        <f t="array" ref="B126:L126">TRANSPOSE(Cls1CentVMTShr)</f>
        <v>8.9762242961142352E-4</v>
      </c>
      <c r="C126" s="940">
        <v>1.2044238150123706E-3</v>
      </c>
      <c r="D126" s="940">
        <v>4.1499109643594731E-3</v>
      </c>
      <c r="E126" s="940">
        <v>1.9575808105519295E-2</v>
      </c>
      <c r="F126" s="940">
        <v>3.4523467949689302E-2</v>
      </c>
      <c r="G126" s="940">
        <v>2.7311948935134379E-2</v>
      </c>
      <c r="H126" s="940">
        <v>7.6478458482655817E-2</v>
      </c>
      <c r="I126" s="940">
        <v>3.2480526319280681E-2</v>
      </c>
      <c r="J126" s="940">
        <v>1.1772940427842455E-2</v>
      </c>
      <c r="K126" s="940">
        <v>6.0339283082965706E-3</v>
      </c>
      <c r="L126" s="941">
        <v>1.5952440951210019E-2</v>
      </c>
      <c r="M126" s="386"/>
      <c r="N126" s="334"/>
      <c r="O126" s="939">
        <f t="array" ref="O126:Y126">TRANSPOSE(Cls1NCentVMTShr)</f>
        <v>1.3589913425833078E-3</v>
      </c>
      <c r="P126" s="940">
        <v>5.8692629772239642E-3</v>
      </c>
      <c r="Q126" s="940">
        <v>1.2100393581509007E-2</v>
      </c>
      <c r="R126" s="940">
        <v>3.6555003327388577E-2</v>
      </c>
      <c r="S126" s="940">
        <v>8.3148735051829181E-2</v>
      </c>
      <c r="T126" s="940">
        <v>0.18151138394047112</v>
      </c>
      <c r="U126" s="940">
        <v>0.2383386372324876</v>
      </c>
      <c r="V126" s="940">
        <v>9.5602564448196578E-2</v>
      </c>
      <c r="W126" s="940">
        <v>2.9193025028929166E-2</v>
      </c>
      <c r="X126" s="940">
        <v>3.5209492159336005E-2</v>
      </c>
      <c r="Y126" s="941">
        <v>5.0731034221433824E-2</v>
      </c>
      <c r="Z126" s="386">
        <f>SUM(O126:Y126)</f>
        <v>0.76961852331138836</v>
      </c>
      <c r="AA126" s="334"/>
      <c r="AB126" s="1550" t="str">
        <f>"% of miles on f2 for Tech "&amp; RIGHT(O122)&amp;" adopters"</f>
        <v>% of miles on f2 for Tech B adopters</v>
      </c>
      <c r="AC126" s="1551"/>
      <c r="AD126" s="1552"/>
      <c r="AE126" s="938" t="s">
        <v>305</v>
      </c>
      <c r="AF126" s="938"/>
      <c r="AG126" s="938"/>
      <c r="AH126" s="1173" t="s">
        <v>308</v>
      </c>
      <c r="AI126" s="938"/>
      <c r="AJ126" s="227"/>
      <c r="AK126" s="227"/>
      <c r="AL126" s="227"/>
      <c r="AM126" s="227"/>
    </row>
    <row r="127" spans="1:45" ht="15" thickBot="1" x14ac:dyDescent="0.25">
      <c r="A127" s="943" t="s">
        <v>266</v>
      </c>
      <c r="B127" s="934">
        <f t="array" ref="B127:L127">TRANSPOSE(Cls1CentVMT/OPDAYS_Cls1)</f>
        <v>51.642967609234425</v>
      </c>
      <c r="C127" s="935">
        <v>110.97733417848234</v>
      </c>
      <c r="D127" s="935">
        <v>204.40224583551472</v>
      </c>
      <c r="E127" s="935">
        <v>290.24610572847212</v>
      </c>
      <c r="F127" s="935">
        <v>364.75750419264841</v>
      </c>
      <c r="G127" s="935">
        <v>443.63126889109378</v>
      </c>
      <c r="H127" s="935">
        <v>506.78134229373978</v>
      </c>
      <c r="I127" s="935">
        <v>595.71283413609137</v>
      </c>
      <c r="J127" s="935">
        <v>682.23089916089702</v>
      </c>
      <c r="K127" s="935">
        <v>765.26438827532684</v>
      </c>
      <c r="L127" s="936">
        <v>970.27871027310334</v>
      </c>
      <c r="M127" s="932"/>
      <c r="N127" s="933"/>
      <c r="O127" s="934">
        <f t="array" ref="O127:Y127">TRANSPOSE(Cls1NCentVMT/OPDAYS_Cls1)</f>
        <v>47.924548633512046</v>
      </c>
      <c r="P127" s="935">
        <v>112.56389213862748</v>
      </c>
      <c r="Q127" s="935">
        <v>214.67280220238027</v>
      </c>
      <c r="R127" s="935">
        <v>288.30186744262801</v>
      </c>
      <c r="S127" s="935">
        <v>368.60089210549245</v>
      </c>
      <c r="T127" s="935">
        <v>447.31558789932524</v>
      </c>
      <c r="U127" s="935">
        <v>511.28831950097862</v>
      </c>
      <c r="V127" s="935">
        <v>595.73726658362273</v>
      </c>
      <c r="W127" s="935">
        <v>672.11099195240695</v>
      </c>
      <c r="X127" s="935">
        <v>757.0793017898726</v>
      </c>
      <c r="Y127" s="936">
        <v>896.16800791754974</v>
      </c>
      <c r="Z127" s="944"/>
      <c r="AA127" s="933"/>
      <c r="AB127" s="946" t="s">
        <v>186</v>
      </c>
      <c r="AC127" s="947" t="s">
        <v>15</v>
      </c>
      <c r="AD127" s="948" t="s">
        <v>18</v>
      </c>
      <c r="AE127" s="938" t="s">
        <v>186</v>
      </c>
      <c r="AF127" s="938" t="s">
        <v>15</v>
      </c>
      <c r="AG127" s="938" t="s">
        <v>18</v>
      </c>
      <c r="AH127" s="1173" t="s">
        <v>186</v>
      </c>
      <c r="AI127" s="938" t="s">
        <v>15</v>
      </c>
      <c r="AJ127" s="227"/>
      <c r="AK127" s="227"/>
      <c r="AL127" s="227"/>
      <c r="AM127" s="227"/>
    </row>
    <row r="128" spans="1:45" ht="15" thickTop="1" x14ac:dyDescent="0.2">
      <c r="A128" s="942">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9">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50">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7">
        <f t="shared" ref="AD128:AD153" si="98">AB128*AH128+AC128*AI128</f>
        <v>0</v>
      </c>
      <c r="AE128" s="938">
        <f t="shared" ref="AE128:AE142" si="99">SUMPRODUCT($B$74:$L$74,B128:L128)</f>
        <v>0</v>
      </c>
      <c r="AF128" s="938">
        <f t="shared" ref="AF128:AF142" si="100">SUMPRODUCT($O$74:$Y$74,O128:Y128)</f>
        <v>0</v>
      </c>
      <c r="AG128" s="938">
        <f t="shared" ref="AG128:AG142" si="101">SUM(AE128:AF128)</f>
        <v>0</v>
      </c>
      <c r="AH128" s="1173">
        <f>IF(AG128&gt;0,AE128/AG128,0)</f>
        <v>0</v>
      </c>
      <c r="AI128" s="938">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9">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50">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7">
        <f t="shared" si="98"/>
        <v>0</v>
      </c>
      <c r="AE129" s="938">
        <f t="shared" si="99"/>
        <v>0</v>
      </c>
      <c r="AF129" s="938">
        <f t="shared" si="100"/>
        <v>0</v>
      </c>
      <c r="AG129" s="938">
        <f t="shared" si="101"/>
        <v>0</v>
      </c>
      <c r="AH129" s="1173">
        <f t="shared" ref="AH129:AH171" si="102">IF(AG129&gt;0,AE129/AG129,0)</f>
        <v>0</v>
      </c>
      <c r="AI129" s="938">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9">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50">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7">
        <f t="shared" si="98"/>
        <v>0</v>
      </c>
      <c r="AE130" s="938">
        <f t="shared" si="99"/>
        <v>0</v>
      </c>
      <c r="AF130" s="938">
        <f t="shared" si="100"/>
        <v>0</v>
      </c>
      <c r="AG130" s="938">
        <f t="shared" si="101"/>
        <v>0</v>
      </c>
      <c r="AH130" s="1173">
        <f t="shared" si="102"/>
        <v>0</v>
      </c>
      <c r="AI130" s="938">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9">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50">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7">
        <f t="shared" si="98"/>
        <v>0</v>
      </c>
      <c r="AE131" s="938">
        <f t="shared" si="99"/>
        <v>0</v>
      </c>
      <c r="AF131" s="938">
        <f t="shared" si="100"/>
        <v>0</v>
      </c>
      <c r="AG131" s="938">
        <f t="shared" si="101"/>
        <v>0</v>
      </c>
      <c r="AH131" s="1173">
        <f t="shared" si="102"/>
        <v>0</v>
      </c>
      <c r="AI131" s="938">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9">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50">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7">
        <f t="shared" si="98"/>
        <v>0</v>
      </c>
      <c r="AE132" s="938">
        <f t="shared" si="99"/>
        <v>0</v>
      </c>
      <c r="AF132" s="938">
        <f t="shared" si="100"/>
        <v>0</v>
      </c>
      <c r="AG132" s="938">
        <f t="shared" si="101"/>
        <v>0</v>
      </c>
      <c r="AH132" s="1173">
        <f t="shared" si="102"/>
        <v>0</v>
      </c>
      <c r="AI132" s="938">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9">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50">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7">
        <f t="shared" si="98"/>
        <v>0</v>
      </c>
      <c r="AE133" s="938">
        <f t="shared" si="99"/>
        <v>0</v>
      </c>
      <c r="AF133" s="938">
        <f t="shared" si="100"/>
        <v>0</v>
      </c>
      <c r="AG133" s="938">
        <f t="shared" si="101"/>
        <v>0</v>
      </c>
      <c r="AH133" s="1173">
        <f t="shared" si="102"/>
        <v>0</v>
      </c>
      <c r="AI133" s="938">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9">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50">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7">
        <f t="shared" si="98"/>
        <v>0</v>
      </c>
      <c r="AE134" s="938">
        <f t="shared" si="99"/>
        <v>0</v>
      </c>
      <c r="AF134" s="938">
        <f t="shared" si="100"/>
        <v>0</v>
      </c>
      <c r="AG134" s="938">
        <f t="shared" si="101"/>
        <v>0</v>
      </c>
      <c r="AH134" s="1173">
        <f t="shared" si="102"/>
        <v>0</v>
      </c>
      <c r="AI134" s="938">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9">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50">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7">
        <f t="shared" si="98"/>
        <v>0</v>
      </c>
      <c r="AE135" s="938">
        <f t="shared" si="99"/>
        <v>0</v>
      </c>
      <c r="AF135" s="938">
        <f t="shared" si="100"/>
        <v>0</v>
      </c>
      <c r="AG135" s="938">
        <f t="shared" si="101"/>
        <v>0</v>
      </c>
      <c r="AH135" s="1173">
        <f t="shared" si="102"/>
        <v>0</v>
      </c>
      <c r="AI135" s="938">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9">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50">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7">
        <f t="shared" si="98"/>
        <v>0</v>
      </c>
      <c r="AE136" s="938">
        <f t="shared" si="99"/>
        <v>0</v>
      </c>
      <c r="AF136" s="938">
        <f t="shared" si="100"/>
        <v>0</v>
      </c>
      <c r="AG136" s="938">
        <f t="shared" si="101"/>
        <v>0</v>
      </c>
      <c r="AH136" s="1173">
        <f t="shared" si="102"/>
        <v>0</v>
      </c>
      <c r="AI136" s="938">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9">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50">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7">
        <f t="shared" si="98"/>
        <v>0</v>
      </c>
      <c r="AE137" s="938">
        <f t="shared" si="99"/>
        <v>0</v>
      </c>
      <c r="AF137" s="938">
        <f t="shared" si="100"/>
        <v>0</v>
      </c>
      <c r="AG137" s="938">
        <f t="shared" si="101"/>
        <v>0</v>
      </c>
      <c r="AH137" s="1173">
        <f t="shared" si="102"/>
        <v>0</v>
      </c>
      <c r="AI137" s="938">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9">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50">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7">
        <f t="shared" si="98"/>
        <v>0</v>
      </c>
      <c r="AE138" s="938">
        <f t="shared" si="99"/>
        <v>0</v>
      </c>
      <c r="AF138" s="938">
        <f t="shared" si="100"/>
        <v>0</v>
      </c>
      <c r="AG138" s="938">
        <f t="shared" si="101"/>
        <v>0</v>
      </c>
      <c r="AH138" s="1173">
        <f t="shared" si="102"/>
        <v>0</v>
      </c>
      <c r="AI138" s="938">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9">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50">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7">
        <f t="shared" si="98"/>
        <v>0</v>
      </c>
      <c r="AE139" s="938">
        <f t="shared" si="99"/>
        <v>0</v>
      </c>
      <c r="AF139" s="938">
        <f t="shared" si="100"/>
        <v>0</v>
      </c>
      <c r="AG139" s="938">
        <f t="shared" si="101"/>
        <v>0</v>
      </c>
      <c r="AH139" s="1173">
        <f t="shared" si="102"/>
        <v>0</v>
      </c>
      <c r="AI139" s="938">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9">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50">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7">
        <f t="shared" si="98"/>
        <v>0</v>
      </c>
      <c r="AE140" s="938">
        <f t="shared" si="99"/>
        <v>0</v>
      </c>
      <c r="AF140" s="938">
        <f t="shared" si="100"/>
        <v>0</v>
      </c>
      <c r="AG140" s="938">
        <f t="shared" si="101"/>
        <v>0</v>
      </c>
      <c r="AH140" s="1173">
        <f t="shared" si="102"/>
        <v>0</v>
      </c>
      <c r="AI140" s="938">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9">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50">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7">
        <f t="shared" si="98"/>
        <v>0</v>
      </c>
      <c r="AE141" s="938">
        <f t="shared" si="99"/>
        <v>0</v>
      </c>
      <c r="AF141" s="938">
        <f t="shared" si="100"/>
        <v>0</v>
      </c>
      <c r="AG141" s="938">
        <f t="shared" si="101"/>
        <v>0</v>
      </c>
      <c r="AH141" s="1173">
        <f t="shared" si="102"/>
        <v>0</v>
      </c>
      <c r="AI141" s="938">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9">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50">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7">
        <f t="shared" si="98"/>
        <v>0</v>
      </c>
      <c r="AE142" s="938">
        <f t="shared" si="99"/>
        <v>0</v>
      </c>
      <c r="AF142" s="938">
        <f t="shared" si="100"/>
        <v>0</v>
      </c>
      <c r="AG142" s="938">
        <f t="shared" si="101"/>
        <v>0</v>
      </c>
      <c r="AH142" s="1173">
        <f t="shared" si="102"/>
        <v>0</v>
      </c>
      <c r="AI142" s="938">
        <f t="shared" si="103"/>
        <v>0</v>
      </c>
      <c r="AJ142" s="227"/>
      <c r="AK142" s="227"/>
      <c r="AL142" s="227"/>
      <c r="AM142" s="227"/>
    </row>
    <row r="143" spans="1:39" x14ac:dyDescent="0.2">
      <c r="A143" s="330">
        <v>2022</v>
      </c>
      <c r="B143" s="344">
        <v>0</v>
      </c>
      <c r="C143" s="345">
        <v>0</v>
      </c>
      <c r="D143" s="345">
        <v>0</v>
      </c>
      <c r="E143" s="345">
        <v>4.0176117039101238E-4</v>
      </c>
      <c r="F143" s="345">
        <v>2.6937124382727467E-3</v>
      </c>
      <c r="G143" s="345">
        <v>5.9653608165918335E-3</v>
      </c>
      <c r="H143" s="345">
        <v>8.6619888785056352E-3</v>
      </c>
      <c r="I143" s="345">
        <v>1.0842908767646606E-2</v>
      </c>
      <c r="J143" s="345">
        <v>1.3515062693545393E-2</v>
      </c>
      <c r="K143" s="345">
        <v>1.7231147343094631E-2</v>
      </c>
      <c r="L143" s="380">
        <v>2.2339559230816021E-2</v>
      </c>
      <c r="M143" s="296">
        <f t="shared" si="94"/>
        <v>1.897879700246989E-3</v>
      </c>
      <c r="N143" s="298">
        <f t="shared" si="95"/>
        <v>1.5013448881528418E-3</v>
      </c>
      <c r="O143" s="344">
        <v>0</v>
      </c>
      <c r="P143" s="345">
        <v>0</v>
      </c>
      <c r="Q143" s="345">
        <v>0</v>
      </c>
      <c r="R143" s="345">
        <v>6.1802142976870983E-4</v>
      </c>
      <c r="S143" s="345">
        <v>3.6240559155531057E-3</v>
      </c>
      <c r="T143" s="345">
        <v>7.297825728543381E-3</v>
      </c>
      <c r="U143" s="345">
        <v>9.5585262864423398E-3</v>
      </c>
      <c r="V143" s="345">
        <v>1.1248088492467263E-2</v>
      </c>
      <c r="W143" s="345">
        <v>1.4724013754627119E-2</v>
      </c>
      <c r="X143" s="345">
        <v>1.7231147343094631E-2</v>
      </c>
      <c r="Y143" s="380">
        <v>2.2339559230816021E-2</v>
      </c>
      <c r="Z143" s="296">
        <f t="shared" si="96"/>
        <v>7.1719255155513716E-3</v>
      </c>
      <c r="AA143" s="298">
        <f t="shared" si="97"/>
        <v>5.8624136029408885E-3</v>
      </c>
      <c r="AB143" s="949">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50">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7">
        <f t="shared" si="98"/>
        <v>0</v>
      </c>
      <c r="AE143" s="938">
        <f>SUMPRODUCT($B$74:$L$74,B143:L143)</f>
        <v>1.897879700246989E-3</v>
      </c>
      <c r="AF143" s="938">
        <f>SUMPRODUCT($O$74:$Y$74,O143:Y143)</f>
        <v>7.1719255155513716E-3</v>
      </c>
      <c r="AG143" s="938">
        <f>SUM(AE143:AF143)</f>
        <v>9.0698052157983603E-3</v>
      </c>
      <c r="AH143" s="1173">
        <f t="shared" si="102"/>
        <v>0.20925253134886979</v>
      </c>
      <c r="AI143" s="938">
        <f t="shared" si="103"/>
        <v>0.79074746865113021</v>
      </c>
      <c r="AJ143" s="227"/>
      <c r="AK143" s="227"/>
      <c r="AL143" s="227"/>
      <c r="AM143" s="227"/>
    </row>
    <row r="144" spans="1:39" x14ac:dyDescent="0.2">
      <c r="A144" s="330">
        <v>2023</v>
      </c>
      <c r="B144" s="344">
        <v>0</v>
      </c>
      <c r="C144" s="345">
        <v>0</v>
      </c>
      <c r="D144" s="345">
        <v>0</v>
      </c>
      <c r="E144" s="345">
        <v>2.3351038527984974E-3</v>
      </c>
      <c r="F144" s="345">
        <v>9.9887987919391793E-3</v>
      </c>
      <c r="G144" s="345">
        <v>1.9488919264872485E-2</v>
      </c>
      <c r="H144" s="345">
        <v>2.5130590270538787E-2</v>
      </c>
      <c r="I144" s="345">
        <v>2.9260072839310529E-2</v>
      </c>
      <c r="J144" s="345">
        <v>4.0148405319575829E-2</v>
      </c>
      <c r="K144" s="345">
        <v>4.6551316438953994E-2</v>
      </c>
      <c r="L144" s="380">
        <v>5.4245275469621476E-2</v>
      </c>
      <c r="M144" s="296">
        <f t="shared" si="94"/>
        <v>5.4140679022137072E-3</v>
      </c>
      <c r="N144" s="298">
        <f t="shared" si="95"/>
        <v>4.4080832233477666E-3</v>
      </c>
      <c r="O144" s="344">
        <v>0</v>
      </c>
      <c r="P144" s="345">
        <v>0</v>
      </c>
      <c r="Q144" s="345">
        <v>8.591597341751835E-5</v>
      </c>
      <c r="R144" s="345">
        <v>3.0217158762364995E-3</v>
      </c>
      <c r="S144" s="345">
        <v>1.2883921491068442E-2</v>
      </c>
      <c r="T144" s="345">
        <v>2.1776033657982172E-2</v>
      </c>
      <c r="U144" s="345">
        <v>2.6208102169670924E-2</v>
      </c>
      <c r="V144" s="345">
        <v>3.3986691676508224E-2</v>
      </c>
      <c r="W144" s="345">
        <v>4.0148405319575829E-2</v>
      </c>
      <c r="X144" s="345">
        <v>4.9784091349000227E-2</v>
      </c>
      <c r="Y144" s="380">
        <v>5.9275800250172671E-2</v>
      </c>
      <c r="Z144" s="296">
        <f t="shared" si="96"/>
        <v>2.056304509481376E-2</v>
      </c>
      <c r="AA144" s="298">
        <f t="shared" si="97"/>
        <v>1.7013891973554976E-2</v>
      </c>
      <c r="AB144" s="949">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50">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7">
        <f t="shared" si="98"/>
        <v>0</v>
      </c>
      <c r="AE144" s="938">
        <f t="shared" ref="AE144:AE171" si="104">SUMPRODUCT($B$74:$L$74,B144:L144)</f>
        <v>5.4140679022137072E-3</v>
      </c>
      <c r="AF144" s="938">
        <f t="shared" ref="AF144:AF171" si="105">SUMPRODUCT($O$74:$Y$74,O144:Y144)</f>
        <v>2.056304509481376E-2</v>
      </c>
      <c r="AG144" s="938">
        <f t="shared" ref="AG144:AG171" si="106">SUM(AE144:AF144)</f>
        <v>2.5977112997027468E-2</v>
      </c>
      <c r="AH144" s="1173">
        <f t="shared" si="102"/>
        <v>0.20841684381298387</v>
      </c>
      <c r="AI144" s="938">
        <f t="shared" si="103"/>
        <v>0.79158315618701613</v>
      </c>
      <c r="AJ144" s="227"/>
      <c r="AK144" s="227"/>
      <c r="AL144" s="227"/>
      <c r="AM144" s="227"/>
    </row>
    <row r="145" spans="1:39" x14ac:dyDescent="0.2">
      <c r="A145" s="330">
        <v>2024</v>
      </c>
      <c r="B145" s="344">
        <v>0</v>
      </c>
      <c r="C145" s="345">
        <v>0</v>
      </c>
      <c r="D145" s="345">
        <v>1.9397642751708567E-4</v>
      </c>
      <c r="E145" s="345">
        <v>1.1025860178465343E-2</v>
      </c>
      <c r="F145" s="345">
        <v>3.3853917827414232E-2</v>
      </c>
      <c r="G145" s="345">
        <v>5.1709481729131722E-2</v>
      </c>
      <c r="H145" s="345">
        <v>6.3818140728185507E-2</v>
      </c>
      <c r="I145" s="345">
        <v>8.3625963627164623E-2</v>
      </c>
      <c r="J145" s="345">
        <v>0.10823909418555204</v>
      </c>
      <c r="K145" s="345">
        <v>0.11457775158154933</v>
      </c>
      <c r="L145" s="380">
        <v>0.12461389590532244</v>
      </c>
      <c r="M145" s="296">
        <f t="shared" si="94"/>
        <v>1.434815698088682E-2</v>
      </c>
      <c r="N145" s="298">
        <f t="shared" si="95"/>
        <v>1.1952808974001569E-2</v>
      </c>
      <c r="O145" s="344">
        <v>0</v>
      </c>
      <c r="P145" s="345">
        <v>0</v>
      </c>
      <c r="Q145" s="345">
        <v>9.0325908646835798E-4</v>
      </c>
      <c r="R145" s="345">
        <v>1.3756007428692868E-2</v>
      </c>
      <c r="S145" s="345">
        <v>3.8856036237997243E-2</v>
      </c>
      <c r="T145" s="345">
        <v>5.6720612037164629E-2</v>
      </c>
      <c r="U145" s="345">
        <v>6.6037567256984467E-2</v>
      </c>
      <c r="V145" s="345">
        <v>9.0675537212292545E-2</v>
      </c>
      <c r="W145" s="345">
        <v>0.11128933126202331</v>
      </c>
      <c r="X145" s="345">
        <v>0.11731671461298701</v>
      </c>
      <c r="Y145" s="380">
        <v>0.12461389590532244</v>
      </c>
      <c r="Z145" s="296">
        <f t="shared" si="96"/>
        <v>5.214949140925422E-2</v>
      </c>
      <c r="AA145" s="298">
        <f t="shared" si="97"/>
        <v>4.4004275404338218E-2</v>
      </c>
      <c r="AB145" s="949">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50">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7">
        <f t="shared" si="98"/>
        <v>0</v>
      </c>
      <c r="AE145" s="938">
        <f t="shared" si="104"/>
        <v>1.434815698088682E-2</v>
      </c>
      <c r="AF145" s="938">
        <f t="shared" si="105"/>
        <v>5.214949140925422E-2</v>
      </c>
      <c r="AG145" s="938">
        <f t="shared" si="106"/>
        <v>6.6497648390141037E-2</v>
      </c>
      <c r="AH145" s="1173">
        <f t="shared" si="102"/>
        <v>0.21576938926781783</v>
      </c>
      <c r="AI145" s="938">
        <f t="shared" si="103"/>
        <v>0.78423061073218225</v>
      </c>
      <c r="AJ145" s="227"/>
      <c r="AK145" s="227"/>
      <c r="AL145" s="227"/>
      <c r="AM145" s="227"/>
    </row>
    <row r="146" spans="1:39" ht="15" thickBot="1" x14ac:dyDescent="0.25">
      <c r="A146" s="328">
        <v>2025</v>
      </c>
      <c r="B146" s="346">
        <v>0</v>
      </c>
      <c r="C146" s="347">
        <v>0</v>
      </c>
      <c r="D146" s="347">
        <v>7.2989360634314465E-4</v>
      </c>
      <c r="E146" s="347">
        <v>2.5577906368576118E-2</v>
      </c>
      <c r="F146" s="347">
        <v>7.2243890797774934E-2</v>
      </c>
      <c r="G146" s="347">
        <v>0.10545379619307793</v>
      </c>
      <c r="H146" s="347">
        <v>0.12277254433987586</v>
      </c>
      <c r="I146" s="347">
        <v>0.1855988318681342</v>
      </c>
      <c r="J146" s="347">
        <v>0.20445849881985739</v>
      </c>
      <c r="K146" s="347">
        <v>0.21617336975421053</v>
      </c>
      <c r="L146" s="381">
        <v>0.23500688379710788</v>
      </c>
      <c r="M146" s="310">
        <f t="shared" si="94"/>
        <v>2.875618398261242E-2</v>
      </c>
      <c r="N146" s="312">
        <f t="shared" si="95"/>
        <v>2.4144319253428879E-2</v>
      </c>
      <c r="O146" s="346">
        <v>0</v>
      </c>
      <c r="P146" s="347">
        <v>0</v>
      </c>
      <c r="Q146" s="347">
        <v>2.6968460820315449E-3</v>
      </c>
      <c r="R146" s="347">
        <v>3.4764726779132331E-2</v>
      </c>
      <c r="S146" s="347">
        <v>8.178869841817106E-2</v>
      </c>
      <c r="T146" s="347">
        <v>0.10997306134270603</v>
      </c>
      <c r="U146" s="347">
        <v>0.1304134936260965</v>
      </c>
      <c r="V146" s="347">
        <v>0.19157687427096681</v>
      </c>
      <c r="W146" s="347">
        <v>0.20445849881985739</v>
      </c>
      <c r="X146" s="347">
        <v>0.22084606453068556</v>
      </c>
      <c r="Y146" s="381">
        <v>0.23133808986525559</v>
      </c>
      <c r="Z146" s="310">
        <f t="shared" si="96"/>
        <v>0.10294392219905951</v>
      </c>
      <c r="AA146" s="312">
        <f t="shared" si="97"/>
        <v>8.7509121962794992E-2</v>
      </c>
      <c r="AB146" s="949">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50">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7">
        <f t="shared" si="98"/>
        <v>0</v>
      </c>
      <c r="AE146" s="938">
        <f t="shared" si="104"/>
        <v>2.875618398261242E-2</v>
      </c>
      <c r="AF146" s="938">
        <f t="shared" si="105"/>
        <v>0.10294392219905951</v>
      </c>
      <c r="AG146" s="938">
        <f t="shared" si="106"/>
        <v>0.13170010618167194</v>
      </c>
      <c r="AH146" s="1173">
        <f t="shared" si="102"/>
        <v>0.21834594379859565</v>
      </c>
      <c r="AI146" s="938">
        <f t="shared" si="103"/>
        <v>0.78165405620140427</v>
      </c>
      <c r="AJ146" s="227"/>
      <c r="AK146" s="227"/>
      <c r="AL146" s="227"/>
      <c r="AM146" s="227"/>
    </row>
    <row r="147" spans="1:39" x14ac:dyDescent="0.2">
      <c r="A147" s="329">
        <v>2026</v>
      </c>
      <c r="B147" s="342">
        <v>0</v>
      </c>
      <c r="C147" s="343">
        <v>0</v>
      </c>
      <c r="D147" s="343">
        <v>3.0429724749668252E-4</v>
      </c>
      <c r="E147" s="343">
        <v>2.373005792662768E-2</v>
      </c>
      <c r="F147" s="343">
        <v>7.9083319311443037E-2</v>
      </c>
      <c r="G147" s="343">
        <v>0.13363109876486504</v>
      </c>
      <c r="H147" s="343">
        <v>0.16724570513798612</v>
      </c>
      <c r="I147" s="343">
        <v>0.20885658783784747</v>
      </c>
      <c r="J147" s="343">
        <v>0.2662612854573016</v>
      </c>
      <c r="K147" s="343">
        <v>0.32566953443291496</v>
      </c>
      <c r="L147" s="379">
        <v>0.40011800040275064</v>
      </c>
      <c r="M147" s="282">
        <f t="shared" si="94"/>
        <v>3.7902823316859402E-2</v>
      </c>
      <c r="N147" s="284">
        <f t="shared" si="95"/>
        <v>3.0943592863918439E-2</v>
      </c>
      <c r="O147" s="342">
        <v>0</v>
      </c>
      <c r="P147" s="343">
        <v>0</v>
      </c>
      <c r="Q147" s="343">
        <v>1.4995996926434132E-3</v>
      </c>
      <c r="R147" s="343">
        <v>2.9984562455225922E-2</v>
      </c>
      <c r="S147" s="343">
        <v>9.8786913255055467E-2</v>
      </c>
      <c r="T147" s="343">
        <v>0.14745097913961439</v>
      </c>
      <c r="U147" s="343">
        <v>0.17348937993850561</v>
      </c>
      <c r="V147" s="343">
        <v>0.22753258004422527</v>
      </c>
      <c r="W147" s="343">
        <v>0.28604372953007823</v>
      </c>
      <c r="X147" s="343">
        <v>0.32566953443291496</v>
      </c>
      <c r="Y147" s="379">
        <v>0.38259164456132499</v>
      </c>
      <c r="Z147" s="282">
        <f t="shared" si="96"/>
        <v>0.13842060071501891</v>
      </c>
      <c r="AA147" s="284">
        <f t="shared" si="97"/>
        <v>0.11548723991463697</v>
      </c>
      <c r="AB147" s="949">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50">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7">
        <f t="shared" si="98"/>
        <v>0</v>
      </c>
      <c r="AE147" s="938">
        <f t="shared" si="104"/>
        <v>3.7902823316859402E-2</v>
      </c>
      <c r="AF147" s="938">
        <f t="shared" si="105"/>
        <v>0.13842060071501891</v>
      </c>
      <c r="AG147" s="938">
        <f t="shared" si="106"/>
        <v>0.17632342403187831</v>
      </c>
      <c r="AH147" s="1173">
        <f t="shared" si="102"/>
        <v>0.21496192876793715</v>
      </c>
      <c r="AI147" s="938">
        <f t="shared" si="103"/>
        <v>0.78503807123206282</v>
      </c>
      <c r="AJ147" s="227"/>
      <c r="AK147" s="227"/>
      <c r="AL147" s="227"/>
      <c r="AM147" s="227"/>
    </row>
    <row r="148" spans="1:39" x14ac:dyDescent="0.2">
      <c r="A148" s="330">
        <v>2027</v>
      </c>
      <c r="B148" s="344">
        <v>0</v>
      </c>
      <c r="C148" s="345">
        <v>0</v>
      </c>
      <c r="D148" s="345">
        <v>0</v>
      </c>
      <c r="E148" s="345">
        <v>1.7282894904314994E-2</v>
      </c>
      <c r="F148" s="345">
        <v>7.3901487148461897E-2</v>
      </c>
      <c r="G148" s="345">
        <v>0.14411735539125448</v>
      </c>
      <c r="H148" s="345">
        <v>0.18578289838156184</v>
      </c>
      <c r="I148" s="345">
        <v>0.21626519029497457</v>
      </c>
      <c r="J148" s="345">
        <v>0.29759514788454167</v>
      </c>
      <c r="K148" s="345">
        <v>0.34502928468199323</v>
      </c>
      <c r="L148" s="380">
        <v>0.4614547022481898</v>
      </c>
      <c r="M148" s="296">
        <f t="shared" si="94"/>
        <v>4.1005365799219609E-2</v>
      </c>
      <c r="N148" s="298">
        <f t="shared" si="95"/>
        <v>3.3054454858872595E-2</v>
      </c>
      <c r="O148" s="344">
        <v>0</v>
      </c>
      <c r="P148" s="345">
        <v>0</v>
      </c>
      <c r="Q148" s="345">
        <v>6.3596656603093042E-4</v>
      </c>
      <c r="R148" s="345">
        <v>2.5329987105153027E-2</v>
      </c>
      <c r="S148" s="345">
        <v>9.5306726466772934E-2</v>
      </c>
      <c r="T148" s="345">
        <v>0.16101132795624068</v>
      </c>
      <c r="U148" s="345">
        <v>0.19373793016246976</v>
      </c>
      <c r="V148" s="345">
        <v>0.25194394806443882</v>
      </c>
      <c r="W148" s="345">
        <v>0.32117292888576371</v>
      </c>
      <c r="X148" s="345">
        <v>0.36897701902935881</v>
      </c>
      <c r="Y148" s="380">
        <v>0.43928518498385638</v>
      </c>
      <c r="Z148" s="296">
        <f t="shared" si="96"/>
        <v>0.15299827227351881</v>
      </c>
      <c r="AA148" s="298">
        <f t="shared" si="97"/>
        <v>0.12654336791019516</v>
      </c>
      <c r="AB148" s="949">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50">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7">
        <f t="shared" si="98"/>
        <v>0</v>
      </c>
      <c r="AE148" s="938">
        <f t="shared" si="104"/>
        <v>4.1005365799219609E-2</v>
      </c>
      <c r="AF148" s="938">
        <f t="shared" si="105"/>
        <v>0.15299827227351881</v>
      </c>
      <c r="AG148" s="938">
        <f t="shared" si="106"/>
        <v>0.1940036380727384</v>
      </c>
      <c r="AH148" s="1173">
        <f t="shared" si="102"/>
        <v>0.21136390124728144</v>
      </c>
      <c r="AI148" s="938">
        <f t="shared" si="103"/>
        <v>0.78863609875271867</v>
      </c>
      <c r="AJ148" s="227"/>
      <c r="AK148" s="227"/>
      <c r="AL148" s="227"/>
      <c r="AM148" s="227"/>
    </row>
    <row r="149" spans="1:39" x14ac:dyDescent="0.2">
      <c r="A149" s="330">
        <v>2028</v>
      </c>
      <c r="B149" s="344">
        <v>0</v>
      </c>
      <c r="C149" s="345">
        <v>0</v>
      </c>
      <c r="D149" s="345">
        <v>3.287903300546277E-4</v>
      </c>
      <c r="E149" s="345">
        <v>2.7378609621961501E-2</v>
      </c>
      <c r="F149" s="345">
        <v>0.10295455916855119</v>
      </c>
      <c r="G149" s="345">
        <v>0.17383600726014764</v>
      </c>
      <c r="H149" s="345">
        <v>0.20911207218515293</v>
      </c>
      <c r="I149" s="345">
        <v>0.27285606689110725</v>
      </c>
      <c r="J149" s="345">
        <v>0.34777842247227819</v>
      </c>
      <c r="K149" s="345">
        <v>0.39950759528898711</v>
      </c>
      <c r="L149" s="380">
        <v>0.49956695568862269</v>
      </c>
      <c r="M149" s="296">
        <f t="shared" si="94"/>
        <v>4.8168836228971522E-2</v>
      </c>
      <c r="N149" s="298">
        <f t="shared" si="95"/>
        <v>3.9361141461969812E-2</v>
      </c>
      <c r="O149" s="344">
        <v>0</v>
      </c>
      <c r="P149" s="345">
        <v>0</v>
      </c>
      <c r="Q149" s="345">
        <v>1.6507211742329403E-3</v>
      </c>
      <c r="R149" s="345">
        <v>3.9061984434682465E-2</v>
      </c>
      <c r="S149" s="345">
        <v>0.1198144165784171</v>
      </c>
      <c r="T149" s="345">
        <v>0.19177706766597338</v>
      </c>
      <c r="U149" s="345">
        <v>0.22556162685003028</v>
      </c>
      <c r="V149" s="345">
        <v>0.29723308044568619</v>
      </c>
      <c r="W149" s="345">
        <v>0.37359414042000177</v>
      </c>
      <c r="X149" s="345">
        <v>0.42530047478373062</v>
      </c>
      <c r="Y149" s="380">
        <v>0.49956695568862269</v>
      </c>
      <c r="Z149" s="296">
        <f t="shared" si="96"/>
        <v>0.17962082412041314</v>
      </c>
      <c r="AA149" s="298">
        <f t="shared" si="97"/>
        <v>0.14950307219314521</v>
      </c>
      <c r="AB149" s="949">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50">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7">
        <f t="shared" si="98"/>
        <v>0</v>
      </c>
      <c r="AE149" s="938">
        <f t="shared" si="104"/>
        <v>4.8168836228971522E-2</v>
      </c>
      <c r="AF149" s="938">
        <f t="shared" si="105"/>
        <v>0.17962082412041314</v>
      </c>
      <c r="AG149" s="938">
        <f t="shared" si="106"/>
        <v>0.22778966034938467</v>
      </c>
      <c r="AH149" s="1173">
        <f t="shared" si="102"/>
        <v>0.2114619081265145</v>
      </c>
      <c r="AI149" s="938">
        <f t="shared" si="103"/>
        <v>0.78853809187348545</v>
      </c>
      <c r="AJ149" s="227"/>
      <c r="AK149" s="227"/>
      <c r="AL149" s="227"/>
      <c r="AM149" s="227"/>
    </row>
    <row r="150" spans="1:39" x14ac:dyDescent="0.2">
      <c r="A150" s="330">
        <v>2029</v>
      </c>
      <c r="B150" s="344">
        <v>0</v>
      </c>
      <c r="C150" s="345">
        <v>0</v>
      </c>
      <c r="D150" s="345">
        <v>0</v>
      </c>
      <c r="E150" s="345">
        <v>2.1927123227326265E-2</v>
      </c>
      <c r="F150" s="345">
        <v>8.9777732854900733E-2</v>
      </c>
      <c r="G150" s="345">
        <v>0.16003075159864377</v>
      </c>
      <c r="H150" s="345">
        <v>0.2060915025534247</v>
      </c>
      <c r="I150" s="345">
        <v>0.25778736207130032</v>
      </c>
      <c r="J150" s="345">
        <v>0.33316197861417124</v>
      </c>
      <c r="K150" s="345">
        <v>0.41291530869373189</v>
      </c>
      <c r="L150" s="380">
        <v>0.51619797221912223</v>
      </c>
      <c r="M150" s="296">
        <f t="shared" si="94"/>
        <v>4.6682476343387319E-2</v>
      </c>
      <c r="N150" s="298">
        <f t="shared" si="95"/>
        <v>3.7705328497406494E-2</v>
      </c>
      <c r="O150" s="344">
        <v>0</v>
      </c>
      <c r="P150" s="345">
        <v>0</v>
      </c>
      <c r="Q150" s="345">
        <v>8.4780321766813422E-4</v>
      </c>
      <c r="R150" s="345">
        <v>2.820709950817149E-2</v>
      </c>
      <c r="S150" s="345">
        <v>0.10595422846752282</v>
      </c>
      <c r="T150" s="345">
        <v>0.1787178994008829</v>
      </c>
      <c r="U150" s="345">
        <v>0.22342917485854144</v>
      </c>
      <c r="V150" s="345">
        <v>0.28213862931699352</v>
      </c>
      <c r="W150" s="345">
        <v>0.35950841878725831</v>
      </c>
      <c r="X150" s="345">
        <v>0.41291530869373189</v>
      </c>
      <c r="Y150" s="380">
        <v>0.49144175298724974</v>
      </c>
      <c r="Z150" s="296">
        <f t="shared" si="96"/>
        <v>0.17248066922134003</v>
      </c>
      <c r="AA150" s="298">
        <f t="shared" si="97"/>
        <v>0.14268613308802508</v>
      </c>
      <c r="AB150" s="949">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50">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7">
        <f t="shared" si="98"/>
        <v>0</v>
      </c>
      <c r="AE150" s="938">
        <f t="shared" si="104"/>
        <v>4.6682476343387319E-2</v>
      </c>
      <c r="AF150" s="938">
        <f t="shared" si="105"/>
        <v>0.17248066922134003</v>
      </c>
      <c r="AG150" s="938">
        <f t="shared" si="106"/>
        <v>0.21916314556472735</v>
      </c>
      <c r="AH150" s="1173">
        <f t="shared" si="102"/>
        <v>0.21300331414343648</v>
      </c>
      <c r="AI150" s="938">
        <f t="shared" si="103"/>
        <v>0.78699668585656346</v>
      </c>
      <c r="AJ150" s="227"/>
      <c r="AK150" s="227"/>
      <c r="AL150" s="227"/>
      <c r="AM150" s="227"/>
    </row>
    <row r="151" spans="1:39" ht="15" thickBot="1" x14ac:dyDescent="0.25">
      <c r="A151" s="328">
        <v>2030</v>
      </c>
      <c r="B151" s="346">
        <v>0</v>
      </c>
      <c r="C151" s="347">
        <v>0</v>
      </c>
      <c r="D151" s="347">
        <v>2.8352714383789212E-4</v>
      </c>
      <c r="E151" s="347">
        <v>2.8500553675767256E-2</v>
      </c>
      <c r="F151" s="347">
        <v>9.8524272123401577E-2</v>
      </c>
      <c r="G151" s="347">
        <v>0.17045571728858722</v>
      </c>
      <c r="H151" s="347">
        <v>0.2159468713381448</v>
      </c>
      <c r="I151" s="347">
        <v>0.28718949898692042</v>
      </c>
      <c r="J151" s="347">
        <v>0.36573429716384859</v>
      </c>
      <c r="K151" s="347">
        <v>0.4199274030268797</v>
      </c>
      <c r="L151" s="381">
        <v>0.52468552071936581</v>
      </c>
      <c r="M151" s="310">
        <f t="shared" si="94"/>
        <v>4.9668920018539259E-2</v>
      </c>
      <c r="N151" s="312">
        <f t="shared" si="95"/>
        <v>4.0341351000259762E-2</v>
      </c>
      <c r="O151" s="346">
        <v>0</v>
      </c>
      <c r="P151" s="347">
        <v>0</v>
      </c>
      <c r="Q151" s="347">
        <v>1.4499722750732167E-3</v>
      </c>
      <c r="R151" s="347">
        <v>3.6220141819237599E-2</v>
      </c>
      <c r="S151" s="347">
        <v>0.12421683767151333</v>
      </c>
      <c r="T151" s="347">
        <v>0.18905712909565667</v>
      </c>
      <c r="U151" s="347">
        <v>0.23276621212650558</v>
      </c>
      <c r="V151" s="347">
        <v>0.3127530021684784</v>
      </c>
      <c r="W151" s="347">
        <v>0.36573429716384859</v>
      </c>
      <c r="X151" s="347">
        <v>0.44693931981357771</v>
      </c>
      <c r="Y151" s="381">
        <v>0.52468552071936581</v>
      </c>
      <c r="Z151" s="310">
        <f t="shared" si="96"/>
        <v>0.1843944736234216</v>
      </c>
      <c r="AA151" s="312">
        <f t="shared" si="97"/>
        <v>0.15291061611728626</v>
      </c>
      <c r="AB151" s="949">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50">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7">
        <f t="shared" si="98"/>
        <v>0</v>
      </c>
      <c r="AE151" s="938">
        <f t="shared" si="104"/>
        <v>4.9668920018539259E-2</v>
      </c>
      <c r="AF151" s="938">
        <f t="shared" si="105"/>
        <v>0.1843944736234216</v>
      </c>
      <c r="AG151" s="938">
        <f t="shared" si="106"/>
        <v>0.23406339364196085</v>
      </c>
      <c r="AH151" s="1173">
        <f t="shared" si="102"/>
        <v>0.21220285344796883</v>
      </c>
      <c r="AI151" s="938">
        <f t="shared" si="103"/>
        <v>0.78779714655203115</v>
      </c>
      <c r="AJ151" s="227"/>
      <c r="AK151" s="227"/>
      <c r="AL151" s="227"/>
      <c r="AM151" s="227"/>
    </row>
    <row r="152" spans="1:39" x14ac:dyDescent="0.2">
      <c r="A152" s="329">
        <v>2031</v>
      </c>
      <c r="B152" s="342">
        <v>0</v>
      </c>
      <c r="C152" s="343">
        <v>0</v>
      </c>
      <c r="D152" s="343">
        <v>3.4406006807294592E-4</v>
      </c>
      <c r="E152" s="343">
        <v>3.2284985396473322E-2</v>
      </c>
      <c r="F152" s="343">
        <v>0.10698496323090295</v>
      </c>
      <c r="G152" s="343">
        <v>0.17977566407016804</v>
      </c>
      <c r="H152" s="343">
        <v>0.21574256576662806</v>
      </c>
      <c r="I152" s="343">
        <v>0.28986753057972281</v>
      </c>
      <c r="J152" s="343">
        <v>0.36897520686002083</v>
      </c>
      <c r="K152" s="343">
        <v>0.42353673423788446</v>
      </c>
      <c r="L152" s="379">
        <v>0.52897100722886115</v>
      </c>
      <c r="M152" s="282">
        <f t="shared" si="94"/>
        <v>5.0489549196304925E-2</v>
      </c>
      <c r="N152" s="284">
        <f t="shared" si="95"/>
        <v>4.1210444242202909E-2</v>
      </c>
      <c r="O152" s="342">
        <v>0</v>
      </c>
      <c r="P152" s="343">
        <v>0</v>
      </c>
      <c r="Q152" s="343">
        <v>2.0448932081384924E-3</v>
      </c>
      <c r="R152" s="343">
        <v>4.0768093564130053E-2</v>
      </c>
      <c r="S152" s="343">
        <v>0.13337166200038045</v>
      </c>
      <c r="T152" s="343">
        <v>0.19808948755845474</v>
      </c>
      <c r="U152" s="343">
        <v>0.23245582259641329</v>
      </c>
      <c r="V152" s="343">
        <v>0.31561846724051129</v>
      </c>
      <c r="W152" s="343">
        <v>0.39620961615928757</v>
      </c>
      <c r="X152" s="343">
        <v>0.45072718356046837</v>
      </c>
      <c r="Y152" s="379">
        <v>0.52897100722886115</v>
      </c>
      <c r="Z152" s="282">
        <f t="shared" si="96"/>
        <v>0.18840902140289845</v>
      </c>
      <c r="AA152" s="284">
        <f t="shared" si="97"/>
        <v>0.15674989249378143</v>
      </c>
      <c r="AB152" s="949">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50">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7">
        <f t="shared" si="98"/>
        <v>0</v>
      </c>
      <c r="AE152" s="938">
        <f t="shared" si="104"/>
        <v>5.0489549196304925E-2</v>
      </c>
      <c r="AF152" s="938">
        <f t="shared" si="105"/>
        <v>0.18840902140289845</v>
      </c>
      <c r="AG152" s="938">
        <f t="shared" si="106"/>
        <v>0.23889857059920339</v>
      </c>
      <c r="AH152" s="1173">
        <f t="shared" si="102"/>
        <v>0.2113430359573415</v>
      </c>
      <c r="AI152" s="938">
        <f t="shared" si="103"/>
        <v>0.7886569640426585</v>
      </c>
      <c r="AJ152" s="227"/>
      <c r="AK152" s="227"/>
      <c r="AL152" s="227"/>
      <c r="AM152" s="227"/>
    </row>
    <row r="153" spans="1:39" x14ac:dyDescent="0.2">
      <c r="A153" s="330">
        <v>2032</v>
      </c>
      <c r="B153" s="344">
        <v>0</v>
      </c>
      <c r="C153" s="345">
        <v>0</v>
      </c>
      <c r="D153" s="345">
        <v>4.1562094925809559E-4</v>
      </c>
      <c r="E153" s="345">
        <v>3.2300594669379665E-2</v>
      </c>
      <c r="F153" s="345">
        <v>0.11530296878413795</v>
      </c>
      <c r="G153" s="345">
        <v>0.17902227710236746</v>
      </c>
      <c r="H153" s="345">
        <v>0.22297805271836113</v>
      </c>
      <c r="I153" s="345">
        <v>0.2923688110300674</v>
      </c>
      <c r="J153" s="345">
        <v>0.37192664841901119</v>
      </c>
      <c r="K153" s="345">
        <v>0.45409623004538874</v>
      </c>
      <c r="L153" s="380">
        <v>0.55688755647186172</v>
      </c>
      <c r="M153" s="296">
        <f t="shared" si="94"/>
        <v>5.2055821513241105E-2</v>
      </c>
      <c r="N153" s="298">
        <f t="shared" si="95"/>
        <v>4.2455092432403335E-2</v>
      </c>
      <c r="O153" s="344">
        <v>0</v>
      </c>
      <c r="P153" s="345">
        <v>0</v>
      </c>
      <c r="Q153" s="345">
        <v>2.047852703415118E-3</v>
      </c>
      <c r="R153" s="345">
        <v>4.5596218157827488E-2</v>
      </c>
      <c r="S153" s="345">
        <v>0.13300824917365678</v>
      </c>
      <c r="T153" s="345">
        <v>0.19714498681860063</v>
      </c>
      <c r="U153" s="345">
        <v>0.23109603800949227</v>
      </c>
      <c r="V153" s="345">
        <v>0.31827205543685894</v>
      </c>
      <c r="W153" s="345">
        <v>0.39930494067894906</v>
      </c>
      <c r="X153" s="345">
        <v>0.45409623004538874</v>
      </c>
      <c r="Y153" s="380">
        <v>0.53270438059729897</v>
      </c>
      <c r="Z153" s="296">
        <f t="shared" si="96"/>
        <v>0.18871187719654609</v>
      </c>
      <c r="AA153" s="298">
        <f t="shared" si="97"/>
        <v>0.15695175350030854</v>
      </c>
      <c r="AB153" s="949">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50">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7">
        <f t="shared" si="98"/>
        <v>0</v>
      </c>
      <c r="AE153" s="938">
        <f t="shared" si="104"/>
        <v>5.2055821513241105E-2</v>
      </c>
      <c r="AF153" s="938">
        <f t="shared" si="105"/>
        <v>0.18871187719654609</v>
      </c>
      <c r="AG153" s="938">
        <f t="shared" si="106"/>
        <v>0.2407676987097872</v>
      </c>
      <c r="AH153" s="1173">
        <f t="shared" si="102"/>
        <v>0.21620766320480281</v>
      </c>
      <c r="AI153" s="938">
        <f t="shared" si="103"/>
        <v>0.78379233679519711</v>
      </c>
      <c r="AJ153" s="227"/>
      <c r="AK153" s="227"/>
      <c r="AL153" s="227"/>
      <c r="AM153" s="227"/>
    </row>
    <row r="154" spans="1:39" x14ac:dyDescent="0.2">
      <c r="A154" s="330">
        <v>2033</v>
      </c>
      <c r="B154" s="344">
        <v>0</v>
      </c>
      <c r="C154" s="345">
        <v>0</v>
      </c>
      <c r="D154" s="345">
        <v>1.0298181343320579E-3</v>
      </c>
      <c r="E154" s="345">
        <v>4.5535475545073686E-2</v>
      </c>
      <c r="F154" s="345">
        <v>0.12347562666075673</v>
      </c>
      <c r="G154" s="345">
        <v>0.19560304445714474</v>
      </c>
      <c r="H154" s="345">
        <v>0.22895526392255705</v>
      </c>
      <c r="I154" s="345">
        <v>0.32137775020852744</v>
      </c>
      <c r="J154" s="345">
        <v>0.40288431860524077</v>
      </c>
      <c r="K154" s="345">
        <v>0.45796249612454559</v>
      </c>
      <c r="L154" s="380">
        <v>0.59192648302662776</v>
      </c>
      <c r="M154" s="296">
        <f t="shared" si="94"/>
        <v>5.5398556926252909E-2</v>
      </c>
      <c r="N154" s="298">
        <f t="shared" si="95"/>
        <v>4.5346135818140169E-2</v>
      </c>
      <c r="O154" s="344">
        <v>0</v>
      </c>
      <c r="P154" s="345">
        <v>0</v>
      </c>
      <c r="Q154" s="345">
        <v>3.9382217204661767E-3</v>
      </c>
      <c r="R154" s="345">
        <v>5.6345806399780748E-2</v>
      </c>
      <c r="S154" s="345">
        <v>0.15041533611356145</v>
      </c>
      <c r="T154" s="345">
        <v>0.21275637704985018</v>
      </c>
      <c r="U154" s="345">
        <v>0.27006831636924722</v>
      </c>
      <c r="V154" s="345">
        <v>0.34811872328504639</v>
      </c>
      <c r="W154" s="345">
        <v>0.43049770324933623</v>
      </c>
      <c r="X154" s="345">
        <v>0.48503302484856758</v>
      </c>
      <c r="Y154" s="380">
        <v>0.60545359821920763</v>
      </c>
      <c r="Z154" s="296">
        <f t="shared" si="96"/>
        <v>0.21124126562760379</v>
      </c>
      <c r="AA154" s="298">
        <f t="shared" si="97"/>
        <v>0.17596951431657318</v>
      </c>
      <c r="AB154" s="949">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50">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7">
        <f>AB154*AH154+AC154*AI154</f>
        <v>0</v>
      </c>
      <c r="AE154" s="938">
        <f t="shared" si="104"/>
        <v>5.5398556926252909E-2</v>
      </c>
      <c r="AF154" s="938">
        <f t="shared" si="105"/>
        <v>0.21124126562760379</v>
      </c>
      <c r="AG154" s="938">
        <f t="shared" si="106"/>
        <v>0.26663982255385671</v>
      </c>
      <c r="AH154" s="1173">
        <f t="shared" si="102"/>
        <v>0.20776550327572824</v>
      </c>
      <c r="AI154" s="938">
        <f t="shared" si="103"/>
        <v>0.79223449672427171</v>
      </c>
      <c r="AJ154" s="227"/>
      <c r="AK154" s="227"/>
      <c r="AL154" s="227"/>
      <c r="AM154" s="227"/>
    </row>
    <row r="155" spans="1:39" x14ac:dyDescent="0.2">
      <c r="A155" s="330">
        <v>2034</v>
      </c>
      <c r="B155" s="344">
        <v>0</v>
      </c>
      <c r="C155" s="345">
        <v>0</v>
      </c>
      <c r="D155" s="345">
        <v>1.2273722229967311E-3</v>
      </c>
      <c r="E155" s="345">
        <v>5.075488588403014E-2</v>
      </c>
      <c r="F155" s="345">
        <v>0.13237109306577369</v>
      </c>
      <c r="G155" s="345">
        <v>0.19565723545820823</v>
      </c>
      <c r="H155" s="345">
        <v>0.22901633920853112</v>
      </c>
      <c r="I155" s="345">
        <v>0.34825769444277543</v>
      </c>
      <c r="J155" s="345">
        <v>0.43066731357765842</v>
      </c>
      <c r="K155" s="345">
        <v>0.48522270443406607</v>
      </c>
      <c r="L155" s="380">
        <v>0.60568377938141238</v>
      </c>
      <c r="M155" s="296">
        <f t="shared" si="94"/>
        <v>5.7398915169493983E-2</v>
      </c>
      <c r="N155" s="298">
        <f t="shared" si="95"/>
        <v>4.6990402308976532E-2</v>
      </c>
      <c r="O155" s="344">
        <v>0</v>
      </c>
      <c r="P155" s="345">
        <v>0</v>
      </c>
      <c r="Q155" s="345">
        <v>4.6127331171150589E-3</v>
      </c>
      <c r="R155" s="345">
        <v>6.2378202446535594E-2</v>
      </c>
      <c r="S155" s="345">
        <v>0.15045910499646631</v>
      </c>
      <c r="T155" s="345">
        <v>0.21281419441521579</v>
      </c>
      <c r="U155" s="345">
        <v>0.27017780379739048</v>
      </c>
      <c r="V155" s="345">
        <v>0.37550231830203556</v>
      </c>
      <c r="W155" s="345">
        <v>0.43066731357765842</v>
      </c>
      <c r="X155" s="345">
        <v>0.48522270443406607</v>
      </c>
      <c r="Y155" s="380">
        <v>0.61925690424034641</v>
      </c>
      <c r="Z155" s="296">
        <f t="shared" si="96"/>
        <v>0.21483999851820956</v>
      </c>
      <c r="AA155" s="298">
        <f t="shared" si="97"/>
        <v>0.17874873658894433</v>
      </c>
      <c r="AB155" s="949">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50">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7">
        <f t="shared" ref="AD155:AD171" si="107">AB155*AH155+AC155*AI155</f>
        <v>0</v>
      </c>
      <c r="AE155" s="938">
        <f t="shared" si="104"/>
        <v>5.7398915169493983E-2</v>
      </c>
      <c r="AF155" s="938">
        <f t="shared" si="105"/>
        <v>0.21483999851820956</v>
      </c>
      <c r="AG155" s="938">
        <f t="shared" si="106"/>
        <v>0.27223891368770353</v>
      </c>
      <c r="AH155" s="1173">
        <f t="shared" si="102"/>
        <v>0.2108402299729224</v>
      </c>
      <c r="AI155" s="938">
        <f t="shared" si="103"/>
        <v>0.7891597700270776</v>
      </c>
      <c r="AJ155" s="227"/>
      <c r="AK155" s="227"/>
      <c r="AL155" s="227"/>
      <c r="AM155" s="227"/>
    </row>
    <row r="156" spans="1:39" ht="15" thickBot="1" x14ac:dyDescent="0.25">
      <c r="A156" s="328">
        <v>2035</v>
      </c>
      <c r="B156" s="346">
        <v>0</v>
      </c>
      <c r="C156" s="347">
        <v>0</v>
      </c>
      <c r="D156" s="347">
        <v>1.731669324489522E-3</v>
      </c>
      <c r="E156" s="347">
        <v>5.637485020044309E-2</v>
      </c>
      <c r="F156" s="347">
        <v>0.14139263682748859</v>
      </c>
      <c r="G156" s="347">
        <v>0.20437006807645358</v>
      </c>
      <c r="H156" s="347">
        <v>0.24596681996920605</v>
      </c>
      <c r="I156" s="347">
        <v>0.34835465279104616</v>
      </c>
      <c r="J156" s="347">
        <v>0.43078485892674567</v>
      </c>
      <c r="K156" s="347">
        <v>0.48535365397485125</v>
      </c>
      <c r="L156" s="381">
        <v>0.61572235643455031</v>
      </c>
      <c r="M156" s="310">
        <f t="shared" si="94"/>
        <v>5.9522252416553956E-2</v>
      </c>
      <c r="N156" s="312">
        <f t="shared" si="95"/>
        <v>4.9052631955363871E-2</v>
      </c>
      <c r="O156" s="346">
        <v>0</v>
      </c>
      <c r="P156" s="347">
        <v>0</v>
      </c>
      <c r="Q156" s="347">
        <v>6.281477231195807E-3</v>
      </c>
      <c r="R156" s="347">
        <v>6.8807387229909089E-2</v>
      </c>
      <c r="S156" s="347">
        <v>0.15961997986374266</v>
      </c>
      <c r="T156" s="347">
        <v>0.22108019806638374</v>
      </c>
      <c r="U156" s="347">
        <v>0.2702547801425853</v>
      </c>
      <c r="V156" s="347">
        <v>0.37560613316666064</v>
      </c>
      <c r="W156" s="347">
        <v>0.45826654852947019</v>
      </c>
      <c r="X156" s="347">
        <v>0.51178716327920981</v>
      </c>
      <c r="Y156" s="381">
        <v>0.60584032638968255</v>
      </c>
      <c r="Z156" s="310">
        <f t="shared" si="96"/>
        <v>0.21844595956606291</v>
      </c>
      <c r="AA156" s="312">
        <f t="shared" si="97"/>
        <v>0.18243216447674743</v>
      </c>
      <c r="AB156" s="949">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50">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7">
        <f t="shared" si="107"/>
        <v>0</v>
      </c>
      <c r="AE156" s="938">
        <f t="shared" si="104"/>
        <v>5.9522252416553956E-2</v>
      </c>
      <c r="AF156" s="938">
        <f t="shared" si="105"/>
        <v>0.21844595956606291</v>
      </c>
      <c r="AG156" s="938">
        <f t="shared" si="106"/>
        <v>0.2779682119826169</v>
      </c>
      <c r="AH156" s="1173">
        <f t="shared" si="102"/>
        <v>0.21413330679795953</v>
      </c>
      <c r="AI156" s="938">
        <f t="shared" si="103"/>
        <v>0.78586669320204039</v>
      </c>
      <c r="AJ156" s="227"/>
      <c r="AK156" s="227"/>
      <c r="AL156" s="227"/>
      <c r="AM156" s="227"/>
    </row>
    <row r="157" spans="1:39" x14ac:dyDescent="0.2">
      <c r="A157" s="329">
        <v>2036</v>
      </c>
      <c r="B157" s="342">
        <v>0</v>
      </c>
      <c r="C157" s="343">
        <v>0</v>
      </c>
      <c r="D157" s="343">
        <v>6.2547748898093411E-3</v>
      </c>
      <c r="E157" s="343">
        <v>8.5932116745167458E-2</v>
      </c>
      <c r="F157" s="343">
        <v>0.16159741050711093</v>
      </c>
      <c r="G157" s="343">
        <v>0.24863941910579984</v>
      </c>
      <c r="H157" s="343">
        <v>0.35389111407014096</v>
      </c>
      <c r="I157" s="343">
        <v>0.48694470574979914</v>
      </c>
      <c r="J157" s="343">
        <v>0.51342242621236489</v>
      </c>
      <c r="K157" s="343">
        <v>0.52801512572098908</v>
      </c>
      <c r="L157" s="379">
        <v>0.52179430575649433</v>
      </c>
      <c r="M157" s="282">
        <f t="shared" si="94"/>
        <v>7.4513534636279508E-2</v>
      </c>
      <c r="N157" s="284">
        <f t="shared" si="95"/>
        <v>6.3126148824011907E-2</v>
      </c>
      <c r="O157" s="342">
        <v>0</v>
      </c>
      <c r="P157" s="343">
        <v>0</v>
      </c>
      <c r="Q157" s="343">
        <v>1.6944149658639582E-2</v>
      </c>
      <c r="R157" s="343">
        <v>0.10034668422735452</v>
      </c>
      <c r="S157" s="343">
        <v>0.1762127893993187</v>
      </c>
      <c r="T157" s="343">
        <v>0.27349422261800005</v>
      </c>
      <c r="U157" s="343">
        <v>0.46917046628449471</v>
      </c>
      <c r="V157" s="343">
        <v>0.49318939518421995</v>
      </c>
      <c r="W157" s="343">
        <v>0.50092958683305056</v>
      </c>
      <c r="X157" s="343">
        <v>0.51557706114257174</v>
      </c>
      <c r="Y157" s="379">
        <v>0.53295171746936532</v>
      </c>
      <c r="Z157" s="282">
        <f t="shared" si="96"/>
        <v>0.2869530584187564</v>
      </c>
      <c r="AA157" s="284">
        <f t="shared" si="97"/>
        <v>0.24602762463018146</v>
      </c>
      <c r="AB157" s="949">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50">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7">
        <f t="shared" si="107"/>
        <v>0</v>
      </c>
      <c r="AE157" s="938">
        <f t="shared" si="104"/>
        <v>7.4513534636279508E-2</v>
      </c>
      <c r="AF157" s="938">
        <f t="shared" si="105"/>
        <v>0.2869530584187564</v>
      </c>
      <c r="AG157" s="938">
        <f t="shared" si="106"/>
        <v>0.36146659305503592</v>
      </c>
      <c r="AH157" s="1173">
        <f t="shared" si="102"/>
        <v>0.20614224403563147</v>
      </c>
      <c r="AI157" s="938">
        <f t="shared" si="103"/>
        <v>0.79385775596436847</v>
      </c>
      <c r="AJ157" s="227"/>
      <c r="AK157" s="227"/>
      <c r="AL157" s="227"/>
      <c r="AM157" s="227"/>
    </row>
    <row r="158" spans="1:39" x14ac:dyDescent="0.2">
      <c r="A158" s="330">
        <v>2037</v>
      </c>
      <c r="B158" s="344">
        <v>0</v>
      </c>
      <c r="C158" s="345">
        <v>0</v>
      </c>
      <c r="D158" s="345">
        <v>1.1095010039605941E-2</v>
      </c>
      <c r="E158" s="345">
        <v>9.0593475457216507E-2</v>
      </c>
      <c r="F158" s="345">
        <v>0.18950422518607943</v>
      </c>
      <c r="G158" s="345">
        <v>0.38263306774184319</v>
      </c>
      <c r="H158" s="345">
        <v>0.44784983620287427</v>
      </c>
      <c r="I158" s="345">
        <v>0.46888352448670445</v>
      </c>
      <c r="J158" s="345">
        <v>0.50254844942138244</v>
      </c>
      <c r="K158" s="345">
        <v>0.49155566644274185</v>
      </c>
      <c r="L158" s="380">
        <v>0.51795894402355802</v>
      </c>
      <c r="M158" s="296">
        <f t="shared" si="94"/>
        <v>8.5437924486532035E-2</v>
      </c>
      <c r="N158" s="298">
        <f t="shared" si="95"/>
        <v>7.4079563171083759E-2</v>
      </c>
      <c r="O158" s="344">
        <v>0</v>
      </c>
      <c r="P158" s="345">
        <v>0</v>
      </c>
      <c r="Q158" s="345">
        <v>2.7308277626954435E-2</v>
      </c>
      <c r="R158" s="345">
        <v>0.10272947331534417</v>
      </c>
      <c r="S158" s="345">
        <v>0.2113274269493845</v>
      </c>
      <c r="T158" s="345">
        <v>0.41673854100499352</v>
      </c>
      <c r="U158" s="345">
        <v>0.45633697455944028</v>
      </c>
      <c r="V158" s="345">
        <v>0.48531662963926869</v>
      </c>
      <c r="W158" s="345">
        <v>0.49044721541847297</v>
      </c>
      <c r="X158" s="345">
        <v>0.503098947227125</v>
      </c>
      <c r="Y158" s="380">
        <v>0.51096935581606828</v>
      </c>
      <c r="Z158" s="296">
        <f t="shared" si="96"/>
        <v>0.31041386184494668</v>
      </c>
      <c r="AA158" s="298">
        <f t="shared" si="97"/>
        <v>0.27227200470315155</v>
      </c>
      <c r="AB158" s="949">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50">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7">
        <f t="shared" si="107"/>
        <v>0</v>
      </c>
      <c r="AE158" s="938">
        <f t="shared" si="104"/>
        <v>8.5437924486532035E-2</v>
      </c>
      <c r="AF158" s="938">
        <f t="shared" si="105"/>
        <v>0.31041386184494668</v>
      </c>
      <c r="AG158" s="938">
        <f t="shared" si="106"/>
        <v>0.39585178633147872</v>
      </c>
      <c r="AH158" s="1173">
        <f t="shared" si="102"/>
        <v>0.21583311592028021</v>
      </c>
      <c r="AI158" s="938">
        <f t="shared" si="103"/>
        <v>0.78416688407971979</v>
      </c>
      <c r="AJ158" s="227"/>
      <c r="AK158" s="227"/>
      <c r="AL158" s="227"/>
      <c r="AM158" s="227"/>
    </row>
    <row r="159" spans="1:39" x14ac:dyDescent="0.2">
      <c r="A159" s="330">
        <v>2038</v>
      </c>
      <c r="B159" s="344">
        <v>0</v>
      </c>
      <c r="C159" s="345">
        <v>0</v>
      </c>
      <c r="D159" s="345">
        <v>1.919683168265315E-2</v>
      </c>
      <c r="E159" s="345">
        <v>0.13230758991230182</v>
      </c>
      <c r="F159" s="345">
        <v>0.30444679903295646</v>
      </c>
      <c r="G159" s="345">
        <v>0.37668528558731607</v>
      </c>
      <c r="H159" s="345">
        <v>0.43956045267491123</v>
      </c>
      <c r="I159" s="345">
        <v>0.46423676344573633</v>
      </c>
      <c r="J159" s="345">
        <v>0.47983667513087336</v>
      </c>
      <c r="K159" s="345">
        <v>0.49144215309577716</v>
      </c>
      <c r="L159" s="380">
        <v>0.49060196273053897</v>
      </c>
      <c r="M159" s="296">
        <f t="shared" si="94"/>
        <v>8.8604536122548594E-2</v>
      </c>
      <c r="N159" s="298">
        <f t="shared" si="95"/>
        <v>7.9174121025026856E-2</v>
      </c>
      <c r="O159" s="344">
        <v>0</v>
      </c>
      <c r="P159" s="345">
        <v>0</v>
      </c>
      <c r="Q159" s="345">
        <v>3.4393412333891371E-2</v>
      </c>
      <c r="R159" s="345">
        <v>0.14940408225567681</v>
      </c>
      <c r="S159" s="345">
        <v>0.33642261862879314</v>
      </c>
      <c r="T159" s="345">
        <v>0.4147209472256112</v>
      </c>
      <c r="U159" s="345">
        <v>0.44483209301575605</v>
      </c>
      <c r="V159" s="345">
        <v>0.45284571419805536</v>
      </c>
      <c r="W159" s="345">
        <v>0.46901872670347161</v>
      </c>
      <c r="X159" s="345">
        <v>0.49144215309577716</v>
      </c>
      <c r="Y159" s="380">
        <v>0.49890479450396974</v>
      </c>
      <c r="Z159" s="296">
        <f t="shared" si="96"/>
        <v>0.31474667550212665</v>
      </c>
      <c r="AA159" s="298">
        <f t="shared" si="97"/>
        <v>0.28186686740632028</v>
      </c>
      <c r="AB159" s="949">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50">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7">
        <f t="shared" si="107"/>
        <v>0</v>
      </c>
      <c r="AE159" s="938">
        <f t="shared" si="104"/>
        <v>8.8604536122548594E-2</v>
      </c>
      <c r="AF159" s="938">
        <f t="shared" si="105"/>
        <v>0.31474667550212665</v>
      </c>
      <c r="AG159" s="938">
        <f t="shared" si="106"/>
        <v>0.40335121162467524</v>
      </c>
      <c r="AH159" s="1173">
        <f t="shared" si="102"/>
        <v>0.21967093086358827</v>
      </c>
      <c r="AI159" s="938">
        <f t="shared" si="103"/>
        <v>0.78032906913641176</v>
      </c>
      <c r="AJ159" s="227"/>
      <c r="AK159" s="227"/>
      <c r="AL159" s="227"/>
      <c r="AM159" s="227"/>
    </row>
    <row r="160" spans="1:39" x14ac:dyDescent="0.2">
      <c r="A160" s="330">
        <v>2039</v>
      </c>
      <c r="B160" s="344">
        <v>0</v>
      </c>
      <c r="C160" s="345">
        <v>0</v>
      </c>
      <c r="D160" s="345">
        <v>4.8016009357464542E-2</v>
      </c>
      <c r="E160" s="345">
        <v>0.20730403021532381</v>
      </c>
      <c r="F160" s="345">
        <v>0.32837993347651845</v>
      </c>
      <c r="G160" s="345">
        <v>0.37073455488658252</v>
      </c>
      <c r="H160" s="345">
        <v>0.41044852833422657</v>
      </c>
      <c r="I160" s="345">
        <v>0.44473926785668738</v>
      </c>
      <c r="J160" s="345">
        <v>0.46053145632519088</v>
      </c>
      <c r="K160" s="345">
        <v>0.48150022361156086</v>
      </c>
      <c r="L160" s="380">
        <v>0.48941262713024186</v>
      </c>
      <c r="M160" s="296">
        <f t="shared" si="94"/>
        <v>8.7690012912492843E-2</v>
      </c>
      <c r="N160" s="298">
        <f t="shared" si="95"/>
        <v>7.9930585030514895E-2</v>
      </c>
      <c r="O160" s="344">
        <v>0</v>
      </c>
      <c r="P160" s="345">
        <v>0</v>
      </c>
      <c r="Q160" s="345">
        <v>8.2114235460097856E-2</v>
      </c>
      <c r="R160" s="345">
        <v>0.23504972608001493</v>
      </c>
      <c r="S160" s="345">
        <v>0.33734278308624133</v>
      </c>
      <c r="T160" s="345">
        <v>0.40496280752154468</v>
      </c>
      <c r="U160" s="345">
        <v>0.42615775304325748</v>
      </c>
      <c r="V160" s="345">
        <v>0.45795254363662491</v>
      </c>
      <c r="W160" s="345">
        <v>0.48087052365543426</v>
      </c>
      <c r="X160" s="345">
        <v>0.48150022361156086</v>
      </c>
      <c r="Y160" s="380">
        <v>0.48941262713024186</v>
      </c>
      <c r="Z160" s="296">
        <f t="shared" si="96"/>
        <v>0.31231199140649563</v>
      </c>
      <c r="AA160" s="298">
        <f t="shared" si="97"/>
        <v>0.28251907971188051</v>
      </c>
      <c r="AB160" s="949">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50">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7">
        <f t="shared" si="107"/>
        <v>0</v>
      </c>
      <c r="AE160" s="938">
        <f t="shared" si="104"/>
        <v>8.7690012912492843E-2</v>
      </c>
      <c r="AF160" s="938">
        <f t="shared" si="105"/>
        <v>0.31231199140649563</v>
      </c>
      <c r="AG160" s="938">
        <f t="shared" si="106"/>
        <v>0.40000200431898847</v>
      </c>
      <c r="AH160" s="1173">
        <f t="shared" si="102"/>
        <v>0.21922393379449903</v>
      </c>
      <c r="AI160" s="938">
        <f t="shared" si="103"/>
        <v>0.780776066205501</v>
      </c>
      <c r="AJ160" s="227"/>
      <c r="AK160" s="227"/>
      <c r="AL160" s="227"/>
      <c r="AM160" s="227"/>
    </row>
    <row r="161" spans="1:48" ht="15" thickBot="1" x14ac:dyDescent="0.25">
      <c r="A161" s="328">
        <v>2040</v>
      </c>
      <c r="B161" s="346">
        <v>0</v>
      </c>
      <c r="C161" s="347">
        <v>0</v>
      </c>
      <c r="D161" s="347">
        <v>6.8808242898136196E-2</v>
      </c>
      <c r="E161" s="347">
        <v>0.23100898560510311</v>
      </c>
      <c r="F161" s="347">
        <v>0.33466889702376784</v>
      </c>
      <c r="G161" s="347">
        <v>0.38263334801764087</v>
      </c>
      <c r="H161" s="347">
        <v>0.42942775456791293</v>
      </c>
      <c r="I161" s="347">
        <v>0.44698711505844269</v>
      </c>
      <c r="J161" s="347">
        <v>0.46190840907216885</v>
      </c>
      <c r="K161" s="347">
        <v>0.48091870962115829</v>
      </c>
      <c r="L161" s="381">
        <v>0.4879811819821393</v>
      </c>
      <c r="M161" s="310">
        <f t="shared" si="94"/>
        <v>9.0296818700620451E-2</v>
      </c>
      <c r="N161" s="312">
        <f t="shared" si="95"/>
        <v>8.2824908032798114E-2</v>
      </c>
      <c r="O161" s="346">
        <v>0</v>
      </c>
      <c r="P161" s="347">
        <v>0</v>
      </c>
      <c r="Q161" s="347">
        <v>0.11224307283065335</v>
      </c>
      <c r="R161" s="347">
        <v>0.24761227767894334</v>
      </c>
      <c r="S161" s="347">
        <v>0.34210674417786496</v>
      </c>
      <c r="T161" s="347">
        <v>0.39881765294622235</v>
      </c>
      <c r="U161" s="347">
        <v>0.4435723043046057</v>
      </c>
      <c r="V161" s="347">
        <v>0.45931537889776747</v>
      </c>
      <c r="W161" s="347">
        <v>0.48022610322767989</v>
      </c>
      <c r="X161" s="347">
        <v>0.48091870962115829</v>
      </c>
      <c r="Y161" s="381">
        <v>0.49353619423887529</v>
      </c>
      <c r="Z161" s="310">
        <f t="shared" si="96"/>
        <v>0.3168672445311127</v>
      </c>
      <c r="AA161" s="312">
        <f t="shared" si="97"/>
        <v>0.28726768250887991</v>
      </c>
      <c r="AB161" s="949">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50">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7">
        <f t="shared" si="107"/>
        <v>0</v>
      </c>
      <c r="AE161" s="938">
        <f t="shared" si="104"/>
        <v>9.0296818700620451E-2</v>
      </c>
      <c r="AF161" s="938">
        <f t="shared" si="105"/>
        <v>0.3168672445311127</v>
      </c>
      <c r="AG161" s="938">
        <f t="shared" si="106"/>
        <v>0.40716406323173315</v>
      </c>
      <c r="AH161" s="1173">
        <f t="shared" si="102"/>
        <v>0.22177010904134967</v>
      </c>
      <c r="AI161" s="938">
        <f t="shared" si="103"/>
        <v>0.77822989095865036</v>
      </c>
      <c r="AJ161" s="227"/>
      <c r="AK161" s="227"/>
      <c r="AL161" s="227"/>
      <c r="AM161" s="227"/>
    </row>
    <row r="162" spans="1:48" x14ac:dyDescent="0.2">
      <c r="A162" s="329">
        <v>2041</v>
      </c>
      <c r="B162" s="342">
        <v>0</v>
      </c>
      <c r="C162" s="343">
        <v>0</v>
      </c>
      <c r="D162" s="343">
        <v>9.8987072711258756E-2</v>
      </c>
      <c r="E162" s="343">
        <v>0.24756979233534562</v>
      </c>
      <c r="F162" s="343">
        <v>0.33086227317437616</v>
      </c>
      <c r="G162" s="343">
        <v>0.41285571045049779</v>
      </c>
      <c r="H162" s="343">
        <v>0.43191943916974718</v>
      </c>
      <c r="I162" s="343">
        <v>0.44864131449156591</v>
      </c>
      <c r="J162" s="343">
        <v>0.47027778388823216</v>
      </c>
      <c r="K162" s="343">
        <v>0.4721849326116575</v>
      </c>
      <c r="L162" s="379">
        <v>0.49003652892092014</v>
      </c>
      <c r="M162" s="282">
        <f t="shared" si="94"/>
        <v>9.1763173528046735E-2</v>
      </c>
      <c r="N162" s="284">
        <f t="shared" si="95"/>
        <v>8.4564668004207033E-2</v>
      </c>
      <c r="O162" s="342">
        <v>0</v>
      </c>
      <c r="P162" s="343">
        <v>3.4221879009875669E-4</v>
      </c>
      <c r="Q162" s="343">
        <v>0.13998452987254853</v>
      </c>
      <c r="R162" s="343">
        <v>0.26417347289002385</v>
      </c>
      <c r="S162" s="343">
        <v>0.37495265023060348</v>
      </c>
      <c r="T162" s="343">
        <v>0.42776170733375285</v>
      </c>
      <c r="U162" s="343">
        <v>0.44524265088758003</v>
      </c>
      <c r="V162" s="343">
        <v>0.46009689101292184</v>
      </c>
      <c r="W162" s="343">
        <v>0.46288589657578055</v>
      </c>
      <c r="X162" s="343">
        <v>0.48619109623523099</v>
      </c>
      <c r="Y162" s="379">
        <v>0.48604635233992932</v>
      </c>
      <c r="Z162" s="282">
        <f t="shared" si="96"/>
        <v>0.32556738133992397</v>
      </c>
      <c r="AA162" s="284">
        <f t="shared" si="97"/>
        <v>0.29769450922226509</v>
      </c>
      <c r="AB162" s="949">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50">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7">
        <f t="shared" si="107"/>
        <v>0</v>
      </c>
      <c r="AE162" s="938">
        <f t="shared" si="104"/>
        <v>9.1763173528046735E-2</v>
      </c>
      <c r="AF162" s="938">
        <f t="shared" si="105"/>
        <v>0.32556738133992397</v>
      </c>
      <c r="AG162" s="938">
        <f t="shared" si="106"/>
        <v>0.41733055486797072</v>
      </c>
      <c r="AH162" s="1173">
        <f t="shared" si="102"/>
        <v>0.2198812726690417</v>
      </c>
      <c r="AI162" s="938">
        <f t="shared" si="103"/>
        <v>0.78011872733095822</v>
      </c>
      <c r="AJ162" s="227"/>
      <c r="AK162" s="227"/>
      <c r="AL162" s="227"/>
      <c r="AM162" s="227"/>
    </row>
    <row r="163" spans="1:48" x14ac:dyDescent="0.2">
      <c r="A163" s="330">
        <v>2042</v>
      </c>
      <c r="B163" s="344">
        <v>0</v>
      </c>
      <c r="C163" s="345">
        <v>2.8183069825000188E-4</v>
      </c>
      <c r="D163" s="345">
        <v>0.1127679082344033</v>
      </c>
      <c r="E163" s="345">
        <v>0.27971426211673872</v>
      </c>
      <c r="F163" s="345">
        <v>0.37302763241953313</v>
      </c>
      <c r="G163" s="345">
        <v>0.4255474668008124</v>
      </c>
      <c r="H163" s="345">
        <v>0.44292594978912458</v>
      </c>
      <c r="I163" s="345">
        <v>0.45760602691976648</v>
      </c>
      <c r="J163" s="345">
        <v>0.47573420099229208</v>
      </c>
      <c r="K163" s="345">
        <v>0.47493249290069517</v>
      </c>
      <c r="L163" s="380">
        <v>0.47194929214265391</v>
      </c>
      <c r="M163" s="296">
        <f t="shared" si="94"/>
        <v>9.5177507836063907E-2</v>
      </c>
      <c r="N163" s="298">
        <f t="shared" si="95"/>
        <v>8.8766576421149601E-2</v>
      </c>
      <c r="O163" s="344">
        <v>0</v>
      </c>
      <c r="P163" s="345">
        <v>8.5318393978779195E-4</v>
      </c>
      <c r="Q163" s="345">
        <v>0.15568217000417606</v>
      </c>
      <c r="R163" s="345">
        <v>0.29687755436517493</v>
      </c>
      <c r="S163" s="345">
        <v>0.37918616861123827</v>
      </c>
      <c r="T163" s="345">
        <v>0.40598626894124118</v>
      </c>
      <c r="U163" s="345">
        <v>0.45513687192093299</v>
      </c>
      <c r="V163" s="345">
        <v>0.46780736933975597</v>
      </c>
      <c r="W163" s="345">
        <v>0.46967131870349155</v>
      </c>
      <c r="X163" s="345">
        <v>0.47737017822997041</v>
      </c>
      <c r="Y163" s="380">
        <v>0.48749200915266133</v>
      </c>
      <c r="Z163" s="296">
        <f t="shared" si="96"/>
        <v>0.32641151077806463</v>
      </c>
      <c r="AA163" s="298">
        <f t="shared" si="97"/>
        <v>0.29906280990344475</v>
      </c>
      <c r="AB163" s="949">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50">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7">
        <f t="shared" si="107"/>
        <v>0</v>
      </c>
      <c r="AE163" s="938">
        <f t="shared" si="104"/>
        <v>9.5177507836063907E-2</v>
      </c>
      <c r="AF163" s="938">
        <f t="shared" si="105"/>
        <v>0.32641151077806463</v>
      </c>
      <c r="AG163" s="938">
        <f t="shared" si="106"/>
        <v>0.42158901861412856</v>
      </c>
      <c r="AH163" s="1173">
        <f t="shared" si="102"/>
        <v>0.22575898240646028</v>
      </c>
      <c r="AI163" s="938">
        <f t="shared" si="103"/>
        <v>0.77424101759353969</v>
      </c>
      <c r="AJ163" s="227"/>
      <c r="AK163" s="227"/>
      <c r="AL163" s="227"/>
      <c r="AM163" s="227"/>
    </row>
    <row r="164" spans="1:48" x14ac:dyDescent="0.2">
      <c r="A164" s="330">
        <v>2043</v>
      </c>
      <c r="B164" s="344">
        <v>0</v>
      </c>
      <c r="C164" s="345">
        <v>4.9208926605150778E-4</v>
      </c>
      <c r="D164" s="345">
        <v>0.12293677107255718</v>
      </c>
      <c r="E164" s="345">
        <v>0.295099661301501</v>
      </c>
      <c r="F164" s="345">
        <v>0.36054731509868815</v>
      </c>
      <c r="G164" s="345">
        <v>0.41292435654202103</v>
      </c>
      <c r="H164" s="345">
        <v>0.43060629250283727</v>
      </c>
      <c r="I164" s="345">
        <v>0.44360491659659035</v>
      </c>
      <c r="J164" s="345">
        <v>0.46381812994944654</v>
      </c>
      <c r="K164" s="345">
        <v>0.45627241903355781</v>
      </c>
      <c r="L164" s="380">
        <v>0.44098311897806286</v>
      </c>
      <c r="M164" s="296">
        <f t="shared" si="94"/>
        <v>9.2601698374129085E-2</v>
      </c>
      <c r="N164" s="298">
        <f t="shared" si="95"/>
        <v>8.684814860707922E-2</v>
      </c>
      <c r="O164" s="344">
        <v>0</v>
      </c>
      <c r="P164" s="345">
        <v>1.4369128974861898E-3</v>
      </c>
      <c r="Q164" s="345">
        <v>0.16804405656649996</v>
      </c>
      <c r="R164" s="345">
        <v>0.31235356498807915</v>
      </c>
      <c r="S164" s="345">
        <v>0.36687613447547213</v>
      </c>
      <c r="T164" s="345">
        <v>0.42703728801875818</v>
      </c>
      <c r="U164" s="345">
        <v>0.44351368103798278</v>
      </c>
      <c r="V164" s="345">
        <v>0.46480132442835914</v>
      </c>
      <c r="W164" s="345">
        <v>0.46655071929030295</v>
      </c>
      <c r="X164" s="345">
        <v>0.47407952395328923</v>
      </c>
      <c r="Y164" s="380">
        <v>0.48399103631039392</v>
      </c>
      <c r="Z164" s="296">
        <f t="shared" si="96"/>
        <v>0.32648547093522823</v>
      </c>
      <c r="AA164" s="298">
        <f t="shared" si="97"/>
        <v>0.30000791106017249</v>
      </c>
      <c r="AB164" s="949">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50">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7">
        <f t="shared" si="107"/>
        <v>0</v>
      </c>
      <c r="AE164" s="938">
        <f t="shared" si="104"/>
        <v>9.2601698374129085E-2</v>
      </c>
      <c r="AF164" s="938">
        <f t="shared" si="105"/>
        <v>0.32648547093522823</v>
      </c>
      <c r="AG164" s="938">
        <f t="shared" si="106"/>
        <v>0.4190871693093573</v>
      </c>
      <c r="AH164" s="1173">
        <f t="shared" si="102"/>
        <v>0.22096047112760292</v>
      </c>
      <c r="AI164" s="938">
        <f t="shared" si="103"/>
        <v>0.77903952887239714</v>
      </c>
      <c r="AJ164" s="227"/>
      <c r="AK164" s="227"/>
      <c r="AL164" s="227"/>
      <c r="AM164" s="227"/>
    </row>
    <row r="165" spans="1:48" x14ac:dyDescent="0.2">
      <c r="A165" s="330">
        <v>2044</v>
      </c>
      <c r="B165" s="344">
        <v>0</v>
      </c>
      <c r="C165" s="345">
        <v>7.0502180676879631E-4</v>
      </c>
      <c r="D165" s="345">
        <v>0.13366923994682059</v>
      </c>
      <c r="E165" s="345">
        <v>0.28422532442070714</v>
      </c>
      <c r="F165" s="345">
        <v>0.37444474803966793</v>
      </c>
      <c r="G165" s="345">
        <v>0.40843553185953924</v>
      </c>
      <c r="H165" s="345">
        <v>0.42202886137165141</v>
      </c>
      <c r="I165" s="345">
        <v>0.44434266228413805</v>
      </c>
      <c r="J165" s="345">
        <v>0.43347566298327089</v>
      </c>
      <c r="K165" s="345">
        <v>0.42606199446384752</v>
      </c>
      <c r="L165" s="380">
        <v>0.40908268369757678</v>
      </c>
      <c r="M165" s="296">
        <f t="shared" si="94"/>
        <v>9.1110384978962886E-2</v>
      </c>
      <c r="N165" s="298">
        <f t="shared" si="95"/>
        <v>8.592710903935083E-2</v>
      </c>
      <c r="O165" s="344">
        <v>0</v>
      </c>
      <c r="P165" s="345">
        <v>2.0094183416750544E-3</v>
      </c>
      <c r="Q165" s="345">
        <v>0.18089976391586043</v>
      </c>
      <c r="R165" s="345">
        <v>0.30103587441923779</v>
      </c>
      <c r="S165" s="345">
        <v>0.39037195634649019</v>
      </c>
      <c r="T165" s="345">
        <v>0.42427990907847291</v>
      </c>
      <c r="U165" s="345">
        <v>0.44054824268620429</v>
      </c>
      <c r="V165" s="345">
        <v>0.46154637722476399</v>
      </c>
      <c r="W165" s="345">
        <v>0.46315330623013173</v>
      </c>
      <c r="X165" s="345">
        <v>0.47651902294316439</v>
      </c>
      <c r="Y165" s="380">
        <v>0.48026586008461264</v>
      </c>
      <c r="Z165" s="296">
        <f t="shared" si="96"/>
        <v>0.32646359510070794</v>
      </c>
      <c r="AA165" s="298">
        <f t="shared" si="97"/>
        <v>0.30062556677857966</v>
      </c>
      <c r="AB165" s="949">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50">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7">
        <f t="shared" si="107"/>
        <v>0</v>
      </c>
      <c r="AE165" s="938">
        <f t="shared" si="104"/>
        <v>9.1110384978962886E-2</v>
      </c>
      <c r="AF165" s="938">
        <f t="shared" si="105"/>
        <v>0.32646359510070794</v>
      </c>
      <c r="AG165" s="938">
        <f t="shared" si="106"/>
        <v>0.41757398007967084</v>
      </c>
      <c r="AH165" s="1173">
        <f t="shared" si="102"/>
        <v>0.21818980426313805</v>
      </c>
      <c r="AI165" s="938">
        <f t="shared" si="103"/>
        <v>0.78181019573686195</v>
      </c>
      <c r="AJ165" s="227"/>
      <c r="AK165" s="227"/>
      <c r="AL165" s="227"/>
      <c r="AM165" s="227"/>
    </row>
    <row r="166" spans="1:48" ht="15" thickBot="1" x14ac:dyDescent="0.25">
      <c r="A166" s="328">
        <v>2045</v>
      </c>
      <c r="B166" s="346">
        <v>0</v>
      </c>
      <c r="C166" s="347">
        <v>8.394642519079106E-4</v>
      </c>
      <c r="D166" s="347">
        <v>0.14507558433668719</v>
      </c>
      <c r="E166" s="347">
        <v>0.28261760138436115</v>
      </c>
      <c r="F166" s="347">
        <v>0.37058808411715988</v>
      </c>
      <c r="G166" s="347">
        <v>0.41198788265322667</v>
      </c>
      <c r="H166" s="347">
        <v>0.42568283730532941</v>
      </c>
      <c r="I166" s="347">
        <v>0.42094077841474603</v>
      </c>
      <c r="J166" s="347">
        <v>0.40703459038646916</v>
      </c>
      <c r="K166" s="347">
        <v>0.39935144490122093</v>
      </c>
      <c r="L166" s="381">
        <v>0.38504969239627718</v>
      </c>
      <c r="M166" s="310">
        <f t="shared" si="94"/>
        <v>8.9753787304319918E-2</v>
      </c>
      <c r="N166" s="312">
        <f t="shared" si="95"/>
        <v>8.5100435297068067E-2</v>
      </c>
      <c r="O166" s="346">
        <v>0</v>
      </c>
      <c r="P166" s="347">
        <v>2.3636753666238246E-3</v>
      </c>
      <c r="Q166" s="347">
        <v>0.1799377495083736</v>
      </c>
      <c r="R166" s="347">
        <v>0.29939496435842111</v>
      </c>
      <c r="S166" s="347">
        <v>0.38808391571937373</v>
      </c>
      <c r="T166" s="347">
        <v>0.41227463485591648</v>
      </c>
      <c r="U166" s="347">
        <v>0.43734746359958104</v>
      </c>
      <c r="V166" s="347">
        <v>0.45080358725797764</v>
      </c>
      <c r="W166" s="347">
        <v>0.47306474600871085</v>
      </c>
      <c r="X166" s="347">
        <v>0.47257467533281822</v>
      </c>
      <c r="Y166" s="381">
        <v>0.47614012133132955</v>
      </c>
      <c r="Z166" s="310">
        <f t="shared" si="96"/>
        <v>0.32217596432368706</v>
      </c>
      <c r="AA166" s="312">
        <f t="shared" si="97"/>
        <v>0.29658701942550919</v>
      </c>
      <c r="AB166" s="949">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50">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7">
        <f t="shared" si="107"/>
        <v>0</v>
      </c>
      <c r="AE166" s="938">
        <f t="shared" si="104"/>
        <v>8.9753787304319918E-2</v>
      </c>
      <c r="AF166" s="938">
        <f t="shared" si="105"/>
        <v>0.32217596432368706</v>
      </c>
      <c r="AG166" s="938">
        <f t="shared" si="106"/>
        <v>0.41192975162800699</v>
      </c>
      <c r="AH166" s="1173">
        <f t="shared" si="102"/>
        <v>0.21788614915431515</v>
      </c>
      <c r="AI166" s="938">
        <f t="shared" si="103"/>
        <v>0.78211385084568485</v>
      </c>
      <c r="AJ166" s="227"/>
      <c r="AK166" s="227"/>
      <c r="AL166" s="227"/>
      <c r="AM166" s="227"/>
    </row>
    <row r="167" spans="1:48" x14ac:dyDescent="0.2">
      <c r="A167" s="329">
        <v>2046</v>
      </c>
      <c r="B167" s="342">
        <v>0</v>
      </c>
      <c r="C167" s="343">
        <v>8.3614746647247737E-4</v>
      </c>
      <c r="D167" s="343">
        <v>0.14881172630992856</v>
      </c>
      <c r="E167" s="343">
        <v>0.28106308948983516</v>
      </c>
      <c r="F167" s="343">
        <v>0.36483464606411448</v>
      </c>
      <c r="G167" s="343">
        <v>0.40854041294138466</v>
      </c>
      <c r="H167" s="343">
        <v>0.40894057595822825</v>
      </c>
      <c r="I167" s="343">
        <v>0.40346602507364276</v>
      </c>
      <c r="J167" s="343">
        <v>0.38738616029149953</v>
      </c>
      <c r="K167" s="343">
        <v>0.38281404173614064</v>
      </c>
      <c r="L167" s="379">
        <v>0.37286759528116881</v>
      </c>
      <c r="M167" s="282">
        <f t="shared" si="94"/>
        <v>8.7072620376387064E-2</v>
      </c>
      <c r="N167" s="284">
        <f t="shared" si="95"/>
        <v>8.2844374683383404E-2</v>
      </c>
      <c r="O167" s="342">
        <v>0</v>
      </c>
      <c r="P167" s="343">
        <v>2.3543363101812282E-3</v>
      </c>
      <c r="Q167" s="343">
        <v>0.1792033068225265</v>
      </c>
      <c r="R167" s="343">
        <v>0.32449087782227148</v>
      </c>
      <c r="S167" s="343">
        <v>0.38600487434170005</v>
      </c>
      <c r="T167" s="343">
        <v>0.40903474972018067</v>
      </c>
      <c r="U167" s="343">
        <v>0.43197398018640554</v>
      </c>
      <c r="V167" s="343">
        <v>0.44743807694207632</v>
      </c>
      <c r="W167" s="343">
        <v>0.46943343736038956</v>
      </c>
      <c r="X167" s="343">
        <v>0.46872990007924764</v>
      </c>
      <c r="Y167" s="379">
        <v>0.47196117537456755</v>
      </c>
      <c r="Z167" s="282">
        <f t="shared" si="96"/>
        <v>0.32026761411994253</v>
      </c>
      <c r="AA167" s="284">
        <f t="shared" si="97"/>
        <v>0.29555310705155791</v>
      </c>
      <c r="AB167" s="949">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50">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7">
        <f t="shared" si="107"/>
        <v>0</v>
      </c>
      <c r="AE167" s="938">
        <f t="shared" si="104"/>
        <v>8.7072620376387064E-2</v>
      </c>
      <c r="AF167" s="938">
        <f t="shared" si="105"/>
        <v>0.32026761411994253</v>
      </c>
      <c r="AG167" s="938">
        <f t="shared" si="106"/>
        <v>0.40734023449632961</v>
      </c>
      <c r="AH167" s="1173">
        <f t="shared" si="102"/>
        <v>0.21375894891417027</v>
      </c>
      <c r="AI167" s="938">
        <f t="shared" si="103"/>
        <v>0.78624105108582965</v>
      </c>
      <c r="AJ167" s="227"/>
      <c r="AK167" s="227"/>
      <c r="AL167" s="227"/>
      <c r="AM167" s="227"/>
    </row>
    <row r="168" spans="1:48" x14ac:dyDescent="0.2">
      <c r="A168" s="330">
        <v>2047</v>
      </c>
      <c r="B168" s="344">
        <v>0</v>
      </c>
      <c r="C168" s="345">
        <v>9.9593483462790907E-4</v>
      </c>
      <c r="D168" s="345">
        <v>0.14408980757439596</v>
      </c>
      <c r="E168" s="345">
        <v>0.30416244956121563</v>
      </c>
      <c r="F168" s="345">
        <v>0.35466005992640076</v>
      </c>
      <c r="G168" s="345">
        <v>0.3824540453907696</v>
      </c>
      <c r="H168" s="345">
        <v>0.38328960759708047</v>
      </c>
      <c r="I168" s="345">
        <v>0.38381821715109948</v>
      </c>
      <c r="J168" s="345">
        <v>0.37105789026015507</v>
      </c>
      <c r="K168" s="345">
        <v>0.3759388886480885</v>
      </c>
      <c r="L168" s="380">
        <v>0.36120977671512772</v>
      </c>
      <c r="M168" s="296">
        <f t="shared" si="94"/>
        <v>8.3422070134312992E-2</v>
      </c>
      <c r="N168" s="298">
        <f t="shared" si="95"/>
        <v>7.9838495634570419E-2</v>
      </c>
      <c r="O168" s="344">
        <v>0</v>
      </c>
      <c r="P168" s="345">
        <v>2.7702488573058391E-3</v>
      </c>
      <c r="Q168" s="345">
        <v>0.1930398742390477</v>
      </c>
      <c r="R168" s="345">
        <v>0.323226575389785</v>
      </c>
      <c r="S168" s="345">
        <v>0.38272609860657564</v>
      </c>
      <c r="T168" s="345">
        <v>0.42271145749809597</v>
      </c>
      <c r="U168" s="345">
        <v>0.4371752254746451</v>
      </c>
      <c r="V168" s="345">
        <v>0.44356576861843905</v>
      </c>
      <c r="W168" s="345">
        <v>0.46504932082277806</v>
      </c>
      <c r="X168" s="345">
        <v>0.46407170491528915</v>
      </c>
      <c r="Y168" s="380">
        <v>0.46722236850962412</v>
      </c>
      <c r="Z168" s="296">
        <f t="shared" si="96"/>
        <v>0.3229381708783009</v>
      </c>
      <c r="AA168" s="298">
        <f t="shared" si="97"/>
        <v>0.29856088214795767</v>
      </c>
      <c r="AB168" s="949">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50">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7">
        <f t="shared" si="107"/>
        <v>0</v>
      </c>
      <c r="AE168" s="938">
        <f t="shared" si="104"/>
        <v>8.3422070134312992E-2</v>
      </c>
      <c r="AF168" s="938">
        <f t="shared" si="105"/>
        <v>0.3229381708783009</v>
      </c>
      <c r="AG168" s="938">
        <f t="shared" si="106"/>
        <v>0.40636024101261392</v>
      </c>
      <c r="AH168" s="1173">
        <f t="shared" si="102"/>
        <v>0.20529092591940723</v>
      </c>
      <c r="AI168" s="938">
        <f t="shared" si="103"/>
        <v>0.79470907408059266</v>
      </c>
      <c r="AJ168" s="227"/>
      <c r="AK168" s="227"/>
      <c r="AL168" s="227"/>
      <c r="AM168" s="227"/>
    </row>
    <row r="169" spans="1:48" x14ac:dyDescent="0.2">
      <c r="A169" s="330">
        <v>2048</v>
      </c>
      <c r="B169" s="344">
        <v>0</v>
      </c>
      <c r="C169" s="345">
        <v>1.1851344648882078E-3</v>
      </c>
      <c r="D169" s="345">
        <v>0.16116360084594669</v>
      </c>
      <c r="E169" s="345">
        <v>0.29797285425990405</v>
      </c>
      <c r="F169" s="345">
        <v>0.33682014814649686</v>
      </c>
      <c r="G169" s="345">
        <v>0.35465521360760366</v>
      </c>
      <c r="H169" s="345">
        <v>0.3524455746956951</v>
      </c>
      <c r="I169" s="345">
        <v>0.36740082833391452</v>
      </c>
      <c r="J169" s="345">
        <v>0.3662273158682034</v>
      </c>
      <c r="K169" s="345">
        <v>0.36386745739661108</v>
      </c>
      <c r="L169" s="380">
        <v>0.35363715954182434</v>
      </c>
      <c r="M169" s="296">
        <f t="shared" si="94"/>
        <v>7.8854191043349356E-2</v>
      </c>
      <c r="N169" s="298">
        <f t="shared" si="95"/>
        <v>7.5577040869652473E-2</v>
      </c>
      <c r="O169" s="344">
        <v>0</v>
      </c>
      <c r="P169" s="345">
        <v>3.2564309773730209E-3</v>
      </c>
      <c r="Q169" s="345">
        <v>0.19265795400098445</v>
      </c>
      <c r="R169" s="345">
        <v>0.31144030023995245</v>
      </c>
      <c r="S169" s="345">
        <v>0.36386480191053977</v>
      </c>
      <c r="T169" s="345">
        <v>0.40593479376219044</v>
      </c>
      <c r="U169" s="345">
        <v>0.41414103463631385</v>
      </c>
      <c r="V169" s="345">
        <v>0.4555997517432977</v>
      </c>
      <c r="W169" s="345">
        <v>0.46127242632159809</v>
      </c>
      <c r="X169" s="345">
        <v>0.46059756872206792</v>
      </c>
      <c r="Y169" s="380">
        <v>0.46361166843984536</v>
      </c>
      <c r="Z169" s="296">
        <f t="shared" si="96"/>
        <v>0.31313689317971899</v>
      </c>
      <c r="AA169" s="298">
        <f t="shared" si="97"/>
        <v>0.28855396283420037</v>
      </c>
      <c r="AB169" s="949">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50">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7">
        <f t="shared" si="107"/>
        <v>0</v>
      </c>
      <c r="AE169" s="938">
        <f t="shared" si="104"/>
        <v>7.8854191043349356E-2</v>
      </c>
      <c r="AF169" s="938">
        <f t="shared" si="105"/>
        <v>0.31313689317971899</v>
      </c>
      <c r="AG169" s="938">
        <f t="shared" si="106"/>
        <v>0.39199108422306833</v>
      </c>
      <c r="AH169" s="1173">
        <f t="shared" si="102"/>
        <v>0.20116322594336408</v>
      </c>
      <c r="AI169" s="938">
        <f t="shared" si="103"/>
        <v>0.798836774056636</v>
      </c>
      <c r="AJ169" s="227"/>
      <c r="AK169" s="227"/>
      <c r="AL169" s="227"/>
      <c r="AM169" s="227"/>
    </row>
    <row r="170" spans="1:48" x14ac:dyDescent="0.2">
      <c r="A170" s="330">
        <v>2049</v>
      </c>
      <c r="B170" s="344">
        <v>0</v>
      </c>
      <c r="C170" s="345">
        <v>1.4085597351178182E-3</v>
      </c>
      <c r="D170" s="345">
        <v>0.16032282230178441</v>
      </c>
      <c r="E170" s="345">
        <v>0.2829395861810392</v>
      </c>
      <c r="F170" s="345">
        <v>0.33136401949115618</v>
      </c>
      <c r="G170" s="345">
        <v>0.31921529107040697</v>
      </c>
      <c r="H170" s="345">
        <v>0.3197744530369625</v>
      </c>
      <c r="I170" s="345">
        <v>0.35092843606531871</v>
      </c>
      <c r="J170" s="345">
        <v>0.35441734983203449</v>
      </c>
      <c r="K170" s="345">
        <v>0.35249743517612614</v>
      </c>
      <c r="L170" s="380">
        <v>0.34388770353124165</v>
      </c>
      <c r="M170" s="296">
        <f t="shared" si="94"/>
        <v>7.4003544238656072E-2</v>
      </c>
      <c r="N170" s="298">
        <f t="shared" si="95"/>
        <v>7.1001261787369416E-2</v>
      </c>
      <c r="O170" s="344">
        <v>0</v>
      </c>
      <c r="P170" s="345">
        <v>3.8231361675613801E-3</v>
      </c>
      <c r="Q170" s="345">
        <v>0.21307952818141401</v>
      </c>
      <c r="R170" s="345">
        <v>0.30223475632736374</v>
      </c>
      <c r="S170" s="345">
        <v>0.367081706873919</v>
      </c>
      <c r="T170" s="345">
        <v>0.37473845155841845</v>
      </c>
      <c r="U170" s="345">
        <v>0.38283131937204395</v>
      </c>
      <c r="V170" s="345">
        <v>0.44998437659365864</v>
      </c>
      <c r="W170" s="345">
        <v>0.455146246937428</v>
      </c>
      <c r="X170" s="345">
        <v>0.45435658721354139</v>
      </c>
      <c r="Y170" s="380">
        <v>0.45753665050289338</v>
      </c>
      <c r="Z170" s="296">
        <f t="shared" si="96"/>
        <v>0.29894987547618501</v>
      </c>
      <c r="AA170" s="298">
        <f t="shared" si="97"/>
        <v>0.27560887182780591</v>
      </c>
      <c r="AB170" s="949">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50">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7">
        <f t="shared" si="107"/>
        <v>0</v>
      </c>
      <c r="AE170" s="938">
        <f t="shared" si="104"/>
        <v>7.4003544238656072E-2</v>
      </c>
      <c r="AF170" s="938">
        <f t="shared" si="105"/>
        <v>0.29894987547618501</v>
      </c>
      <c r="AG170" s="938">
        <f t="shared" si="106"/>
        <v>0.37295341971484108</v>
      </c>
      <c r="AH170" s="1173">
        <f t="shared" si="102"/>
        <v>0.19842570231756804</v>
      </c>
      <c r="AI170" s="938">
        <f t="shared" si="103"/>
        <v>0.80157429768243194</v>
      </c>
      <c r="AJ170" s="227"/>
      <c r="AK170" s="227"/>
      <c r="AL170" s="227"/>
      <c r="AM170" s="227"/>
    </row>
    <row r="171" spans="1:48" ht="15" thickBot="1" x14ac:dyDescent="0.25">
      <c r="A171" s="328">
        <v>2050</v>
      </c>
      <c r="B171" s="346">
        <v>0</v>
      </c>
      <c r="C171" s="347">
        <v>1.6690556861589142E-3</v>
      </c>
      <c r="D171" s="347">
        <v>0.15502882288920627</v>
      </c>
      <c r="E171" s="347">
        <v>0.2498816045041444</v>
      </c>
      <c r="F171" s="347">
        <v>0.28872561942104352</v>
      </c>
      <c r="G171" s="347">
        <v>0.27941256269006903</v>
      </c>
      <c r="H171" s="347">
        <v>0.28232437785218728</v>
      </c>
      <c r="I171" s="347">
        <v>0.33468291988476867</v>
      </c>
      <c r="J171" s="347">
        <v>0.34287852890238024</v>
      </c>
      <c r="K171" s="347">
        <v>0.34162355655425197</v>
      </c>
      <c r="L171" s="381">
        <v>0.33733060612275223</v>
      </c>
      <c r="M171" s="310">
        <f t="shared" si="94"/>
        <v>6.7077789430329632E-2</v>
      </c>
      <c r="N171" s="312">
        <f t="shared" si="95"/>
        <v>6.3800802114441085E-2</v>
      </c>
      <c r="O171" s="346">
        <v>0</v>
      </c>
      <c r="P171" s="347">
        <v>3.8161173675685099E-3</v>
      </c>
      <c r="Q171" s="347">
        <v>0.20473655802763541</v>
      </c>
      <c r="R171" s="347">
        <v>0.27602166197009931</v>
      </c>
      <c r="S171" s="347">
        <v>0.32798821660491378</v>
      </c>
      <c r="T171" s="347">
        <v>0.33600413731026124</v>
      </c>
      <c r="U171" s="347">
        <v>0.34572015809278267</v>
      </c>
      <c r="V171" s="347">
        <v>0.44395696736424722</v>
      </c>
      <c r="W171" s="347">
        <v>0.4496427418626408</v>
      </c>
      <c r="X171" s="347">
        <v>0.44949597485097909</v>
      </c>
      <c r="Y171" s="381">
        <v>0.45016009621323544</v>
      </c>
      <c r="Z171" s="310">
        <f t="shared" si="96"/>
        <v>0.2774820847901609</v>
      </c>
      <c r="AA171" s="312">
        <f t="shared" si="97"/>
        <v>0.25390284711107347</v>
      </c>
      <c r="AB171" s="951">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2">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8">
        <f t="shared" si="107"/>
        <v>0</v>
      </c>
      <c r="AE171" s="938">
        <f t="shared" si="104"/>
        <v>6.7077789430329632E-2</v>
      </c>
      <c r="AF171" s="938">
        <f t="shared" si="105"/>
        <v>0.2774820847901609</v>
      </c>
      <c r="AG171" s="938">
        <f t="shared" si="106"/>
        <v>0.3445598742204905</v>
      </c>
      <c r="AH171" s="1173">
        <f t="shared" si="102"/>
        <v>0.19467672950044457</v>
      </c>
      <c r="AI171" s="938">
        <f t="shared" si="103"/>
        <v>0.80532327049955554</v>
      </c>
      <c r="AJ171" s="227"/>
      <c r="AK171" s="227"/>
      <c r="AL171" s="227"/>
      <c r="AM171" s="227"/>
    </row>
    <row r="172" spans="1:48" x14ac:dyDescent="0.2">
      <c r="B172" s="227" t="str">
        <f>B$120</f>
        <v>Output generated: 7/21/2020 15:48</v>
      </c>
      <c r="O172" s="227" t="str">
        <f>U$120</f>
        <v>Output generated: 7/21/2020 15:48</v>
      </c>
      <c r="W172" s="323"/>
      <c r="X172" s="323"/>
      <c r="Y172" s="323"/>
      <c r="AE172" s="938"/>
      <c r="AF172" s="938"/>
      <c r="AG172" s="938"/>
      <c r="AH172" s="938"/>
      <c r="AI172" s="938"/>
      <c r="AJ172" s="227"/>
      <c r="AK172" s="227"/>
      <c r="AL172" s="227"/>
      <c r="AM172" s="227"/>
    </row>
    <row r="173" spans="1:48" ht="15" thickBot="1" x14ac:dyDescent="0.25">
      <c r="W173" s="323"/>
      <c r="X173" s="323"/>
      <c r="Y173" s="323"/>
      <c r="AE173" s="938"/>
      <c r="AF173" s="938"/>
      <c r="AG173" s="938"/>
      <c r="AH173" s="938"/>
      <c r="AI173" s="938"/>
      <c r="AJ173" s="227"/>
      <c r="AK173" s="227"/>
      <c r="AL173" s="227"/>
      <c r="AM173" s="227"/>
    </row>
    <row r="174" spans="1:48" ht="15" x14ac:dyDescent="0.2">
      <c r="A174" s="333"/>
      <c r="B174" s="1553" t="s">
        <v>191</v>
      </c>
      <c r="C174" s="1554"/>
      <c r="D174" s="1554"/>
      <c r="E174" s="1554"/>
      <c r="F174" s="1554"/>
      <c r="G174" s="1554"/>
      <c r="H174" s="1554"/>
      <c r="I174" s="1554"/>
      <c r="J174" s="1554"/>
      <c r="K174" s="1554"/>
      <c r="L174" s="1554"/>
      <c r="M174" s="1554"/>
      <c r="N174" s="1555"/>
      <c r="O174" s="1553" t="s">
        <v>192</v>
      </c>
      <c r="P174" s="1554"/>
      <c r="Q174" s="1554"/>
      <c r="R174" s="1554"/>
      <c r="S174" s="1554"/>
      <c r="T174" s="1554"/>
      <c r="U174" s="1554"/>
      <c r="V174" s="1554"/>
      <c r="W174" s="1554"/>
      <c r="X174" s="1554"/>
      <c r="Y174" s="1554"/>
      <c r="Z174" s="1554"/>
      <c r="AA174" s="1555"/>
      <c r="AE174" s="938"/>
      <c r="AF174" s="938"/>
      <c r="AG174" s="938"/>
      <c r="AH174" s="938"/>
      <c r="AI174" s="938"/>
      <c r="AJ174" s="227"/>
      <c r="AK174" s="227"/>
      <c r="AL174" s="227"/>
      <c r="AM174" s="227"/>
    </row>
    <row r="175" spans="1:48" x14ac:dyDescent="0.2">
      <c r="A175" s="324"/>
      <c r="B175" s="1556" t="s">
        <v>121</v>
      </c>
      <c r="C175" s="1557"/>
      <c r="D175" s="1557"/>
      <c r="E175" s="1557"/>
      <c r="F175" s="1557"/>
      <c r="G175" s="1557"/>
      <c r="H175" s="1557"/>
      <c r="I175" s="1557"/>
      <c r="J175" s="1557"/>
      <c r="K175" s="1557"/>
      <c r="L175" s="1558"/>
      <c r="M175" s="382"/>
      <c r="N175" s="325"/>
      <c r="O175" s="1556" t="s">
        <v>121</v>
      </c>
      <c r="P175" s="1557"/>
      <c r="Q175" s="1557"/>
      <c r="R175" s="1557"/>
      <c r="S175" s="1557"/>
      <c r="T175" s="1557"/>
      <c r="U175" s="1557"/>
      <c r="V175" s="1557"/>
      <c r="W175" s="1557"/>
      <c r="X175" s="1557"/>
      <c r="Y175" s="1558"/>
      <c r="Z175" s="382"/>
      <c r="AA175" s="325"/>
      <c r="AE175" s="938"/>
      <c r="AF175" s="938"/>
      <c r="AG175" s="938"/>
      <c r="AH175" s="938"/>
      <c r="AI175" s="938"/>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4" t="s">
        <v>267</v>
      </c>
      <c r="AD176" s="234" t="b">
        <f>INDEX(TECH_OPT_FUEL2_Cls1,MATCH(RIGHT(O174),TECH_OPT_ROWS_Cls1,0))&lt;&gt;"N/A"</f>
        <v>0</v>
      </c>
      <c r="AE176" s="938"/>
      <c r="AF176" s="938"/>
      <c r="AG176" s="938"/>
      <c r="AH176" s="938"/>
      <c r="AI176" s="938"/>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7"/>
      <c r="AC177" s="904" t="s">
        <v>268</v>
      </c>
      <c r="AD177" s="234">
        <f>MATCH(RIGHT(O174),TECH_OPT_ROWS_Cls1,0)</f>
        <v>4</v>
      </c>
      <c r="AE177" s="938"/>
      <c r="AF177" s="938"/>
      <c r="AG177" s="938"/>
      <c r="AH177" s="938"/>
      <c r="AI177" s="938"/>
      <c r="AJ177" s="227"/>
      <c r="AK177"/>
      <c r="AL177"/>
      <c r="AM177"/>
      <c r="AN177"/>
      <c r="AO177"/>
      <c r="AP177"/>
      <c r="AQ177"/>
      <c r="AR177"/>
      <c r="AS177"/>
      <c r="AT177"/>
      <c r="AU177"/>
      <c r="AV177"/>
    </row>
    <row r="178" spans="1:48" x14ac:dyDescent="0.2">
      <c r="A178" s="331" t="s">
        <v>125</v>
      </c>
      <c r="B178" s="924">
        <f t="array" ref="B178:L178">TRANSPOSE(Cls1CentVMTShr)</f>
        <v>8.9762242961142352E-4</v>
      </c>
      <c r="C178" s="925">
        <v>1.2044238150123706E-3</v>
      </c>
      <c r="D178" s="925">
        <v>4.1499109643594731E-3</v>
      </c>
      <c r="E178" s="925">
        <v>1.9575808105519295E-2</v>
      </c>
      <c r="F178" s="925">
        <v>3.4523467949689302E-2</v>
      </c>
      <c r="G178" s="925">
        <v>2.7311948935134379E-2</v>
      </c>
      <c r="H178" s="925">
        <v>7.6478458482655817E-2</v>
      </c>
      <c r="I178" s="925">
        <v>3.2480526319280681E-2</v>
      </c>
      <c r="J178" s="925">
        <v>1.1772940427842455E-2</v>
      </c>
      <c r="K178" s="925">
        <v>6.0339283082965706E-3</v>
      </c>
      <c r="L178" s="926">
        <v>1.5952440951210019E-2</v>
      </c>
      <c r="M178" s="927"/>
      <c r="N178" s="928"/>
      <c r="O178" s="929">
        <f t="array" ref="O178:Y178">TRANSPOSE(Cls1NCentVMTShr)</f>
        <v>1.3589913425833078E-3</v>
      </c>
      <c r="P178" s="930">
        <v>5.8692629772239642E-3</v>
      </c>
      <c r="Q178" s="930">
        <v>1.2100393581509007E-2</v>
      </c>
      <c r="R178" s="930">
        <v>3.6555003327388577E-2</v>
      </c>
      <c r="S178" s="930">
        <v>8.3148735051829181E-2</v>
      </c>
      <c r="T178" s="930">
        <v>0.18151138394047112</v>
      </c>
      <c r="U178" s="930">
        <v>0.2383386372324876</v>
      </c>
      <c r="V178" s="930">
        <v>9.5602564448196578E-2</v>
      </c>
      <c r="W178" s="930">
        <v>2.9193025028929166E-2</v>
      </c>
      <c r="X178" s="930">
        <v>3.5209492159336005E-2</v>
      </c>
      <c r="Y178" s="931">
        <v>5.0731034221433824E-2</v>
      </c>
      <c r="Z178" s="927"/>
      <c r="AA178" s="928"/>
      <c r="AB178" s="1550" t="str">
        <f>"% of miles on f2 for Tech "&amp; RIGHT(O174)&amp;" adopters"</f>
        <v>% of miles on f2 for Tech C adopters</v>
      </c>
      <c r="AC178" s="1551"/>
      <c r="AD178" s="1552"/>
      <c r="AE178" s="938" t="s">
        <v>303</v>
      </c>
      <c r="AF178" s="938"/>
      <c r="AG178" s="938"/>
      <c r="AH178" s="1173" t="s">
        <v>309</v>
      </c>
      <c r="AI178" s="938"/>
      <c r="AJ178" s="829"/>
      <c r="AK178"/>
      <c r="AL178"/>
      <c r="AM178"/>
      <c r="AN178"/>
      <c r="AO178"/>
      <c r="AP178"/>
      <c r="AQ178"/>
      <c r="AR178"/>
      <c r="AS178"/>
      <c r="AT178"/>
      <c r="AU178"/>
      <c r="AV178"/>
    </row>
    <row r="179" spans="1:48" ht="15" thickBot="1" x14ac:dyDescent="0.25">
      <c r="A179" s="331" t="s">
        <v>266</v>
      </c>
      <c r="B179" s="934">
        <f t="array" ref="B179:L179">TRANSPOSE(Cls1CentVMT/OPDAYS_Cls1)</f>
        <v>51.642967609234425</v>
      </c>
      <c r="C179" s="935">
        <v>110.97733417848234</v>
      </c>
      <c r="D179" s="935">
        <v>204.40224583551472</v>
      </c>
      <c r="E179" s="935">
        <v>290.24610572847212</v>
      </c>
      <c r="F179" s="935">
        <v>364.75750419264841</v>
      </c>
      <c r="G179" s="935">
        <v>443.63126889109378</v>
      </c>
      <c r="H179" s="935">
        <v>506.78134229373978</v>
      </c>
      <c r="I179" s="935">
        <v>595.71283413609137</v>
      </c>
      <c r="J179" s="935">
        <v>682.23089916089702</v>
      </c>
      <c r="K179" s="935">
        <v>765.26438827532684</v>
      </c>
      <c r="L179" s="936">
        <v>970.27871027310334</v>
      </c>
      <c r="M179" s="932"/>
      <c r="N179" s="933"/>
      <c r="O179" s="934">
        <f t="array" ref="O179:Y179">TRANSPOSE(Cls1NCentVMT/OPDAYS_Cls1)</f>
        <v>47.924548633512046</v>
      </c>
      <c r="P179" s="935">
        <v>112.56389213862748</v>
      </c>
      <c r="Q179" s="935">
        <v>214.67280220238027</v>
      </c>
      <c r="R179" s="935">
        <v>288.30186744262801</v>
      </c>
      <c r="S179" s="935">
        <v>368.60089210549245</v>
      </c>
      <c r="T179" s="935">
        <v>447.31558789932524</v>
      </c>
      <c r="U179" s="935">
        <v>511.28831950097862</v>
      </c>
      <c r="V179" s="935">
        <v>595.73726658362273</v>
      </c>
      <c r="W179" s="935">
        <v>672.11099195240695</v>
      </c>
      <c r="X179" s="935">
        <v>757.0793017898726</v>
      </c>
      <c r="Y179" s="936">
        <v>896.16800791754974</v>
      </c>
      <c r="Z179" s="932"/>
      <c r="AA179" s="933"/>
      <c r="AB179" s="946" t="s">
        <v>186</v>
      </c>
      <c r="AC179" s="947" t="s">
        <v>15</v>
      </c>
      <c r="AD179" s="948" t="s">
        <v>18</v>
      </c>
      <c r="AE179" s="938" t="s">
        <v>186</v>
      </c>
      <c r="AF179" s="938" t="s">
        <v>15</v>
      </c>
      <c r="AG179" s="938" t="s">
        <v>18</v>
      </c>
      <c r="AH179" s="1173" t="s">
        <v>186</v>
      </c>
      <c r="AI179" s="938"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9">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50">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7">
        <f t="shared" ref="AD180:AD205" si="112">AB180*AH180+AC180*AI180</f>
        <v>0</v>
      </c>
      <c r="AE180" s="938">
        <f t="shared" ref="AE180:AE194" si="113">SUMPRODUCT($B$74:$L$74,B180:L180)</f>
        <v>0</v>
      </c>
      <c r="AF180" s="938">
        <f t="shared" ref="AF180:AF194" si="114">SUMPRODUCT($O$74:$Y$74,O180:Y180)</f>
        <v>0</v>
      </c>
      <c r="AG180" s="938">
        <f t="shared" ref="AG180:AG194" si="115">SUM(AE180:AF180)</f>
        <v>0</v>
      </c>
      <c r="AH180" s="1173">
        <f>IF(AG180&gt;0,AE180/AG180,0)</f>
        <v>0</v>
      </c>
      <c r="AI180" s="938">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9">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50">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7">
        <f t="shared" si="112"/>
        <v>0</v>
      </c>
      <c r="AE181" s="938">
        <f t="shared" si="113"/>
        <v>0</v>
      </c>
      <c r="AF181" s="938">
        <f t="shared" si="114"/>
        <v>0</v>
      </c>
      <c r="AG181" s="938">
        <f t="shared" si="115"/>
        <v>0</v>
      </c>
      <c r="AH181" s="1173">
        <f t="shared" ref="AH181:AH223" si="116">IF(AG181&gt;0,AE181/AG181,0)</f>
        <v>0</v>
      </c>
      <c r="AI181" s="938">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9">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50">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7">
        <f t="shared" si="112"/>
        <v>0</v>
      </c>
      <c r="AE182" s="938">
        <f t="shared" si="113"/>
        <v>0</v>
      </c>
      <c r="AF182" s="938">
        <f t="shared" si="114"/>
        <v>0</v>
      </c>
      <c r="AG182" s="938">
        <f t="shared" si="115"/>
        <v>0</v>
      </c>
      <c r="AH182" s="1173">
        <f t="shared" si="116"/>
        <v>0</v>
      </c>
      <c r="AI182" s="938">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9">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50">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7">
        <f t="shared" si="112"/>
        <v>0</v>
      </c>
      <c r="AE183" s="938">
        <f t="shared" si="113"/>
        <v>0</v>
      </c>
      <c r="AF183" s="938">
        <f t="shared" si="114"/>
        <v>0</v>
      </c>
      <c r="AG183" s="938">
        <f t="shared" si="115"/>
        <v>0</v>
      </c>
      <c r="AH183" s="1173">
        <f t="shared" si="116"/>
        <v>0</v>
      </c>
      <c r="AI183" s="938">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9">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50">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7">
        <f t="shared" si="112"/>
        <v>0</v>
      </c>
      <c r="AE184" s="938">
        <f t="shared" si="113"/>
        <v>0</v>
      </c>
      <c r="AF184" s="938">
        <f t="shared" si="114"/>
        <v>0</v>
      </c>
      <c r="AG184" s="938">
        <f t="shared" si="115"/>
        <v>0</v>
      </c>
      <c r="AH184" s="1173">
        <f t="shared" si="116"/>
        <v>0</v>
      </c>
      <c r="AI184" s="938">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9">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50">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7">
        <f t="shared" si="112"/>
        <v>0</v>
      </c>
      <c r="AE185" s="938">
        <f t="shared" si="113"/>
        <v>0</v>
      </c>
      <c r="AF185" s="938">
        <f t="shared" si="114"/>
        <v>0</v>
      </c>
      <c r="AG185" s="938">
        <f t="shared" si="115"/>
        <v>0</v>
      </c>
      <c r="AH185" s="1173">
        <f t="shared" si="116"/>
        <v>0</v>
      </c>
      <c r="AI185" s="938">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9">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50">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7">
        <f t="shared" si="112"/>
        <v>0</v>
      </c>
      <c r="AE186" s="938">
        <f t="shared" si="113"/>
        <v>0</v>
      </c>
      <c r="AF186" s="938">
        <f t="shared" si="114"/>
        <v>0</v>
      </c>
      <c r="AG186" s="938">
        <f t="shared" si="115"/>
        <v>0</v>
      </c>
      <c r="AH186" s="1173">
        <f t="shared" si="116"/>
        <v>0</v>
      </c>
      <c r="AI186" s="938">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9">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50">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7">
        <f t="shared" si="112"/>
        <v>0</v>
      </c>
      <c r="AE187" s="938">
        <f t="shared" si="113"/>
        <v>0</v>
      </c>
      <c r="AF187" s="938">
        <f t="shared" si="114"/>
        <v>0</v>
      </c>
      <c r="AG187" s="938">
        <f t="shared" si="115"/>
        <v>0</v>
      </c>
      <c r="AH187" s="1173">
        <f t="shared" si="116"/>
        <v>0</v>
      </c>
      <c r="AI187" s="938">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9">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50">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7">
        <f t="shared" si="112"/>
        <v>0</v>
      </c>
      <c r="AE188" s="938">
        <f t="shared" si="113"/>
        <v>0</v>
      </c>
      <c r="AF188" s="938">
        <f t="shared" si="114"/>
        <v>0</v>
      </c>
      <c r="AG188" s="938">
        <f t="shared" si="115"/>
        <v>0</v>
      </c>
      <c r="AH188" s="1173">
        <f t="shared" si="116"/>
        <v>0</v>
      </c>
      <c r="AI188" s="938">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9">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50">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7">
        <f t="shared" si="112"/>
        <v>0</v>
      </c>
      <c r="AE189" s="938">
        <f t="shared" si="113"/>
        <v>0</v>
      </c>
      <c r="AF189" s="938">
        <f t="shared" si="114"/>
        <v>0</v>
      </c>
      <c r="AG189" s="938">
        <f t="shared" si="115"/>
        <v>0</v>
      </c>
      <c r="AH189" s="1173">
        <f t="shared" si="116"/>
        <v>0</v>
      </c>
      <c r="AI189" s="938">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9">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50">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7">
        <f t="shared" si="112"/>
        <v>0</v>
      </c>
      <c r="AE190" s="938">
        <f t="shared" si="113"/>
        <v>0</v>
      </c>
      <c r="AF190" s="938">
        <f t="shared" si="114"/>
        <v>0</v>
      </c>
      <c r="AG190" s="938">
        <f t="shared" si="115"/>
        <v>0</v>
      </c>
      <c r="AH190" s="1173">
        <f t="shared" si="116"/>
        <v>0</v>
      </c>
      <c r="AI190" s="938">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9">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50">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7">
        <f t="shared" si="112"/>
        <v>0</v>
      </c>
      <c r="AE191" s="938">
        <f t="shared" si="113"/>
        <v>0</v>
      </c>
      <c r="AF191" s="938">
        <f t="shared" si="114"/>
        <v>0</v>
      </c>
      <c r="AG191" s="938">
        <f t="shared" si="115"/>
        <v>0</v>
      </c>
      <c r="AH191" s="1173">
        <f t="shared" si="116"/>
        <v>0</v>
      </c>
      <c r="AI191" s="938">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9">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50">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7">
        <f t="shared" si="112"/>
        <v>0</v>
      </c>
      <c r="AE192" s="938">
        <f t="shared" si="113"/>
        <v>0</v>
      </c>
      <c r="AF192" s="938">
        <f t="shared" si="114"/>
        <v>0</v>
      </c>
      <c r="AG192" s="938">
        <f t="shared" si="115"/>
        <v>0</v>
      </c>
      <c r="AH192" s="1173">
        <f t="shared" si="116"/>
        <v>0</v>
      </c>
      <c r="AI192" s="938">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9">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50">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7">
        <f t="shared" si="112"/>
        <v>0</v>
      </c>
      <c r="AE193" s="938">
        <f t="shared" si="113"/>
        <v>0</v>
      </c>
      <c r="AF193" s="938">
        <f t="shared" si="114"/>
        <v>0</v>
      </c>
      <c r="AG193" s="938">
        <f t="shared" si="115"/>
        <v>0</v>
      </c>
      <c r="AH193" s="1173">
        <f t="shared" si="116"/>
        <v>0</v>
      </c>
      <c r="AI193" s="938">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9">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50">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7">
        <f t="shared" si="112"/>
        <v>0</v>
      </c>
      <c r="AE194" s="938">
        <f t="shared" si="113"/>
        <v>0</v>
      </c>
      <c r="AF194" s="938">
        <f t="shared" si="114"/>
        <v>0</v>
      </c>
      <c r="AG194" s="938">
        <f t="shared" si="115"/>
        <v>0</v>
      </c>
      <c r="AH194" s="1173">
        <f t="shared" si="116"/>
        <v>0</v>
      </c>
      <c r="AI194" s="938">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9">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50">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7">
        <f t="shared" si="112"/>
        <v>0</v>
      </c>
      <c r="AE195" s="938">
        <f>SUMPRODUCT($B$74:$L$74,B195:L195)</f>
        <v>0</v>
      </c>
      <c r="AF195" s="938">
        <f>SUMPRODUCT($O$74:$Y$74,O195:Y195)</f>
        <v>0</v>
      </c>
      <c r="AG195" s="938">
        <f>SUM(AE195:AF195)</f>
        <v>0</v>
      </c>
      <c r="AH195" s="1173">
        <f t="shared" si="116"/>
        <v>0</v>
      </c>
      <c r="AI195" s="938">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9">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50">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7">
        <f t="shared" si="112"/>
        <v>0</v>
      </c>
      <c r="AE196" s="938">
        <f t="shared" ref="AE196:AE223" si="118">SUMPRODUCT($B$74:$L$74,B196:L196)</f>
        <v>0</v>
      </c>
      <c r="AF196" s="938">
        <f t="shared" ref="AF196:AF223" si="119">SUMPRODUCT($O$74:$Y$74,O196:Y196)</f>
        <v>0</v>
      </c>
      <c r="AG196" s="938">
        <f t="shared" ref="AG196:AG223" si="120">SUM(AE196:AF196)</f>
        <v>0</v>
      </c>
      <c r="AH196" s="1173">
        <f t="shared" si="116"/>
        <v>0</v>
      </c>
      <c r="AI196" s="938">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9">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50">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7">
        <f t="shared" si="112"/>
        <v>0</v>
      </c>
      <c r="AE197" s="938">
        <f t="shared" si="118"/>
        <v>0</v>
      </c>
      <c r="AF197" s="938">
        <f t="shared" si="119"/>
        <v>0</v>
      </c>
      <c r="AG197" s="938">
        <f t="shared" si="120"/>
        <v>0</v>
      </c>
      <c r="AH197" s="1173">
        <f t="shared" si="116"/>
        <v>0</v>
      </c>
      <c r="AI197" s="938">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9">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50">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7">
        <f t="shared" si="112"/>
        <v>0</v>
      </c>
      <c r="AE198" s="938">
        <f t="shared" si="118"/>
        <v>0</v>
      </c>
      <c r="AF198" s="938">
        <f t="shared" si="119"/>
        <v>0</v>
      </c>
      <c r="AG198" s="938">
        <f t="shared" si="120"/>
        <v>0</v>
      </c>
      <c r="AH198" s="1173">
        <f t="shared" si="116"/>
        <v>0</v>
      </c>
      <c r="AI198" s="938">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9">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50">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7">
        <f t="shared" si="112"/>
        <v>0</v>
      </c>
      <c r="AE199" s="938">
        <f t="shared" si="118"/>
        <v>0</v>
      </c>
      <c r="AF199" s="938">
        <f t="shared" si="119"/>
        <v>0</v>
      </c>
      <c r="AG199" s="938">
        <f t="shared" si="120"/>
        <v>0</v>
      </c>
      <c r="AH199" s="1173">
        <f t="shared" si="116"/>
        <v>0</v>
      </c>
      <c r="AI199" s="938">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9">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50">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7">
        <f t="shared" si="112"/>
        <v>0</v>
      </c>
      <c r="AE200" s="938">
        <f t="shared" si="118"/>
        <v>0</v>
      </c>
      <c r="AF200" s="938">
        <f t="shared" si="119"/>
        <v>0</v>
      </c>
      <c r="AG200" s="938">
        <f t="shared" si="120"/>
        <v>0</v>
      </c>
      <c r="AH200" s="1173">
        <f t="shared" si="116"/>
        <v>0</v>
      </c>
      <c r="AI200" s="938">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9">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50">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7">
        <f t="shared" si="112"/>
        <v>0</v>
      </c>
      <c r="AE201" s="938">
        <f t="shared" si="118"/>
        <v>0</v>
      </c>
      <c r="AF201" s="938">
        <f t="shared" si="119"/>
        <v>0</v>
      </c>
      <c r="AG201" s="938">
        <f t="shared" si="120"/>
        <v>0</v>
      </c>
      <c r="AH201" s="1173">
        <f t="shared" si="116"/>
        <v>0</v>
      </c>
      <c r="AI201" s="938">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9">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50">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7">
        <f t="shared" si="112"/>
        <v>0</v>
      </c>
      <c r="AE202" s="938">
        <f t="shared" si="118"/>
        <v>0</v>
      </c>
      <c r="AF202" s="938">
        <f t="shared" si="119"/>
        <v>0</v>
      </c>
      <c r="AG202" s="938">
        <f t="shared" si="120"/>
        <v>0</v>
      </c>
      <c r="AH202" s="1173">
        <f t="shared" si="116"/>
        <v>0</v>
      </c>
      <c r="AI202" s="938">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9">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50">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7">
        <f t="shared" si="112"/>
        <v>0</v>
      </c>
      <c r="AE203" s="938">
        <f t="shared" si="118"/>
        <v>0</v>
      </c>
      <c r="AF203" s="938">
        <f t="shared" si="119"/>
        <v>0</v>
      </c>
      <c r="AG203" s="938">
        <f t="shared" si="120"/>
        <v>0</v>
      </c>
      <c r="AH203" s="1173">
        <f t="shared" si="116"/>
        <v>0</v>
      </c>
      <c r="AI203" s="938">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9">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50">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7">
        <f t="shared" si="112"/>
        <v>0</v>
      </c>
      <c r="AE204" s="938">
        <f t="shared" si="118"/>
        <v>0</v>
      </c>
      <c r="AF204" s="938">
        <f t="shared" si="119"/>
        <v>0</v>
      </c>
      <c r="AG204" s="938">
        <f t="shared" si="120"/>
        <v>0</v>
      </c>
      <c r="AH204" s="1173">
        <f t="shared" si="116"/>
        <v>0</v>
      </c>
      <c r="AI204" s="938">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9">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50">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7">
        <f t="shared" si="112"/>
        <v>0</v>
      </c>
      <c r="AE205" s="938">
        <f t="shared" si="118"/>
        <v>0</v>
      </c>
      <c r="AF205" s="938">
        <f t="shared" si="119"/>
        <v>0</v>
      </c>
      <c r="AG205" s="938">
        <f t="shared" si="120"/>
        <v>0</v>
      </c>
      <c r="AH205" s="1173">
        <f t="shared" si="116"/>
        <v>0</v>
      </c>
      <c r="AI205" s="938">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9">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50">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7">
        <f>AB206*AH206+AC206*AI206</f>
        <v>0</v>
      </c>
      <c r="AE206" s="938">
        <f t="shared" si="118"/>
        <v>0</v>
      </c>
      <c r="AF206" s="938">
        <f t="shared" si="119"/>
        <v>0</v>
      </c>
      <c r="AG206" s="938">
        <f t="shared" si="120"/>
        <v>0</v>
      </c>
      <c r="AH206" s="1173">
        <f t="shared" si="116"/>
        <v>0</v>
      </c>
      <c r="AI206" s="938">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9">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50">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7">
        <f t="shared" ref="AD207:AD223" si="121">AB207*AH207+AC207*AI207</f>
        <v>0</v>
      </c>
      <c r="AE207" s="938">
        <f t="shared" si="118"/>
        <v>0</v>
      </c>
      <c r="AF207" s="938">
        <f t="shared" si="119"/>
        <v>0</v>
      </c>
      <c r="AG207" s="938">
        <f t="shared" si="120"/>
        <v>0</v>
      </c>
      <c r="AH207" s="1173">
        <f t="shared" si="116"/>
        <v>0</v>
      </c>
      <c r="AI207" s="938">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9">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50">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7">
        <f t="shared" si="121"/>
        <v>0</v>
      </c>
      <c r="AE208" s="938">
        <f t="shared" si="118"/>
        <v>0</v>
      </c>
      <c r="AF208" s="938">
        <f t="shared" si="119"/>
        <v>0</v>
      </c>
      <c r="AG208" s="938">
        <f t="shared" si="120"/>
        <v>0</v>
      </c>
      <c r="AH208" s="1173">
        <f t="shared" si="116"/>
        <v>0</v>
      </c>
      <c r="AI208" s="938">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9">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50">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7">
        <f t="shared" si="121"/>
        <v>0</v>
      </c>
      <c r="AE209" s="938">
        <f t="shared" si="118"/>
        <v>0</v>
      </c>
      <c r="AF209" s="938">
        <f t="shared" si="119"/>
        <v>0</v>
      </c>
      <c r="AG209" s="938">
        <f t="shared" si="120"/>
        <v>0</v>
      </c>
      <c r="AH209" s="1173">
        <f t="shared" si="116"/>
        <v>0</v>
      </c>
      <c r="AI209" s="938">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9">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50">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7">
        <f t="shared" si="121"/>
        <v>0</v>
      </c>
      <c r="AE210" s="938">
        <f t="shared" si="118"/>
        <v>0</v>
      </c>
      <c r="AF210" s="938">
        <f t="shared" si="119"/>
        <v>0</v>
      </c>
      <c r="AG210" s="938">
        <f t="shared" si="120"/>
        <v>0</v>
      </c>
      <c r="AH210" s="1173">
        <f t="shared" si="116"/>
        <v>0</v>
      </c>
      <c r="AI210" s="938">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9">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50">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7">
        <f t="shared" si="121"/>
        <v>0</v>
      </c>
      <c r="AE211" s="938">
        <f t="shared" si="118"/>
        <v>0</v>
      </c>
      <c r="AF211" s="938">
        <f t="shared" si="119"/>
        <v>0</v>
      </c>
      <c r="AG211" s="938">
        <f t="shared" si="120"/>
        <v>0</v>
      </c>
      <c r="AH211" s="1173">
        <f t="shared" si="116"/>
        <v>0</v>
      </c>
      <c r="AI211" s="938">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9">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50">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7">
        <f t="shared" si="121"/>
        <v>0</v>
      </c>
      <c r="AE212" s="938">
        <f t="shared" si="118"/>
        <v>0</v>
      </c>
      <c r="AF212" s="938">
        <f t="shared" si="119"/>
        <v>0</v>
      </c>
      <c r="AG212" s="938">
        <f t="shared" si="120"/>
        <v>0</v>
      </c>
      <c r="AH212" s="1173">
        <f t="shared" si="116"/>
        <v>0</v>
      </c>
      <c r="AI212" s="938">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9">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50">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7">
        <f t="shared" si="121"/>
        <v>0</v>
      </c>
      <c r="AE213" s="938">
        <f t="shared" si="118"/>
        <v>0</v>
      </c>
      <c r="AF213" s="938">
        <f t="shared" si="119"/>
        <v>0</v>
      </c>
      <c r="AG213" s="938">
        <f t="shared" si="120"/>
        <v>0</v>
      </c>
      <c r="AH213" s="1173">
        <f t="shared" si="116"/>
        <v>0</v>
      </c>
      <c r="AI213" s="938">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9">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50">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7">
        <f t="shared" si="121"/>
        <v>0</v>
      </c>
      <c r="AE214" s="938">
        <f t="shared" si="118"/>
        <v>0</v>
      </c>
      <c r="AF214" s="938">
        <f t="shared" si="119"/>
        <v>0</v>
      </c>
      <c r="AG214" s="938">
        <f t="shared" si="120"/>
        <v>0</v>
      </c>
      <c r="AH214" s="1173">
        <f t="shared" si="116"/>
        <v>0</v>
      </c>
      <c r="AI214" s="938">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9">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50">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7">
        <f t="shared" si="121"/>
        <v>0</v>
      </c>
      <c r="AE215" s="938">
        <f t="shared" si="118"/>
        <v>0</v>
      </c>
      <c r="AF215" s="938">
        <f t="shared" si="119"/>
        <v>0</v>
      </c>
      <c r="AG215" s="938">
        <f t="shared" si="120"/>
        <v>0</v>
      </c>
      <c r="AH215" s="1173">
        <f t="shared" si="116"/>
        <v>0</v>
      </c>
      <c r="AI215" s="938">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9">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50">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7">
        <f t="shared" si="121"/>
        <v>0</v>
      </c>
      <c r="AE216" s="938">
        <f t="shared" si="118"/>
        <v>0</v>
      </c>
      <c r="AF216" s="938">
        <f t="shared" si="119"/>
        <v>0</v>
      </c>
      <c r="AG216" s="938">
        <f t="shared" si="120"/>
        <v>0</v>
      </c>
      <c r="AH216" s="1173">
        <f t="shared" si="116"/>
        <v>0</v>
      </c>
      <c r="AI216" s="938">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9">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50">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7">
        <f t="shared" si="121"/>
        <v>0</v>
      </c>
      <c r="AE217" s="938">
        <f t="shared" si="118"/>
        <v>0</v>
      </c>
      <c r="AF217" s="938">
        <f t="shared" si="119"/>
        <v>0</v>
      </c>
      <c r="AG217" s="938">
        <f t="shared" si="120"/>
        <v>0</v>
      </c>
      <c r="AH217" s="1173">
        <f t="shared" si="116"/>
        <v>0</v>
      </c>
      <c r="AI217" s="938">
        <f t="shared" si="117"/>
        <v>0</v>
      </c>
      <c r="AJ217" s="227"/>
      <c r="AK217" s="227"/>
      <c r="AL217" s="227"/>
      <c r="AM217" s="227"/>
    </row>
    <row r="218" spans="1:39" ht="15" thickBot="1" x14ac:dyDescent="0.25">
      <c r="A218" s="328">
        <v>2045</v>
      </c>
      <c r="B218" s="346">
        <v>0</v>
      </c>
      <c r="C218" s="347">
        <v>0</v>
      </c>
      <c r="D218" s="347">
        <v>0</v>
      </c>
      <c r="E218" s="347">
        <v>0</v>
      </c>
      <c r="F218" s="347">
        <v>0</v>
      </c>
      <c r="G218" s="347">
        <v>0</v>
      </c>
      <c r="H218" s="347">
        <v>2.2394637395720886E-5</v>
      </c>
      <c r="I218" s="347">
        <v>0</v>
      </c>
      <c r="J218" s="347">
        <v>0</v>
      </c>
      <c r="K218" s="347">
        <v>0</v>
      </c>
      <c r="L218" s="381">
        <v>0</v>
      </c>
      <c r="M218" s="310">
        <f t="shared" si="108"/>
        <v>1.7127073463027712E-6</v>
      </c>
      <c r="N218" s="312">
        <f t="shared" si="109"/>
        <v>1.5450134189016033E-6</v>
      </c>
      <c r="O218" s="346">
        <v>0</v>
      </c>
      <c r="P218" s="347">
        <v>0</v>
      </c>
      <c r="Q218" s="347">
        <v>0</v>
      </c>
      <c r="R218" s="347">
        <v>0</v>
      </c>
      <c r="S218" s="347">
        <v>0</v>
      </c>
      <c r="T218" s="347">
        <v>0</v>
      </c>
      <c r="U218" s="347">
        <v>2.0559396394936752E-4</v>
      </c>
      <c r="V218" s="347">
        <v>0</v>
      </c>
      <c r="W218" s="347">
        <v>0</v>
      </c>
      <c r="X218" s="347">
        <v>0</v>
      </c>
      <c r="Y218" s="381">
        <v>0</v>
      </c>
      <c r="Z218" s="310">
        <f t="shared" si="110"/>
        <v>4.9000985190917438E-5</v>
      </c>
      <c r="AA218" s="312">
        <f t="shared" si="111"/>
        <v>4.381357117167036E-5</v>
      </c>
      <c r="AB218" s="949">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50">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7">
        <f t="shared" si="121"/>
        <v>0</v>
      </c>
      <c r="AE218" s="938">
        <f t="shared" si="118"/>
        <v>1.7127073463027712E-6</v>
      </c>
      <c r="AF218" s="938">
        <f t="shared" si="119"/>
        <v>4.9000985190917438E-5</v>
      </c>
      <c r="AG218" s="938">
        <f t="shared" si="120"/>
        <v>5.0713692537220211E-5</v>
      </c>
      <c r="AH218" s="1173">
        <f t="shared" si="116"/>
        <v>3.3772089165973608E-2</v>
      </c>
      <c r="AI218" s="938">
        <f t="shared" si="117"/>
        <v>0.96622791083402637</v>
      </c>
      <c r="AJ218" s="227"/>
      <c r="AK218" s="227"/>
      <c r="AL218" s="227"/>
      <c r="AM218" s="227"/>
    </row>
    <row r="219" spans="1:39" x14ac:dyDescent="0.2">
      <c r="A219" s="329">
        <v>2046</v>
      </c>
      <c r="B219" s="342">
        <v>0</v>
      </c>
      <c r="C219" s="343">
        <v>0</v>
      </c>
      <c r="D219" s="343">
        <v>0</v>
      </c>
      <c r="E219" s="343">
        <v>0</v>
      </c>
      <c r="F219" s="343">
        <v>0</v>
      </c>
      <c r="G219" s="343">
        <v>3.2420449135174312E-4</v>
      </c>
      <c r="H219" s="343">
        <v>1.7063856818876873E-3</v>
      </c>
      <c r="I219" s="343">
        <v>0</v>
      </c>
      <c r="J219" s="343">
        <v>0</v>
      </c>
      <c r="K219" s="343">
        <v>0</v>
      </c>
      <c r="L219" s="379">
        <v>0</v>
      </c>
      <c r="M219" s="282">
        <f t="shared" si="108"/>
        <v>1.3935640303998587E-4</v>
      </c>
      <c r="N219" s="284">
        <f t="shared" si="109"/>
        <v>1.2684882534304531E-4</v>
      </c>
      <c r="O219" s="342">
        <v>0</v>
      </c>
      <c r="P219" s="343">
        <v>0</v>
      </c>
      <c r="Q219" s="343">
        <v>0</v>
      </c>
      <c r="R219" s="343">
        <v>0</v>
      </c>
      <c r="S219" s="343">
        <v>7.0160059672935314E-5</v>
      </c>
      <c r="T219" s="343">
        <v>1.3594966556369872E-3</v>
      </c>
      <c r="U219" s="343">
        <v>4.7379444577713339E-3</v>
      </c>
      <c r="V219" s="343">
        <v>0</v>
      </c>
      <c r="W219" s="343">
        <v>0</v>
      </c>
      <c r="X219" s="343">
        <v>0</v>
      </c>
      <c r="Y219" s="379">
        <v>0</v>
      </c>
      <c r="Z219" s="282">
        <f t="shared" si="110"/>
        <v>1.3818330649885142E-3</v>
      </c>
      <c r="AA219" s="284">
        <f t="shared" si="111"/>
        <v>1.2691215210243541E-3</v>
      </c>
      <c r="AB219" s="949">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50">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7">
        <f t="shared" si="121"/>
        <v>0</v>
      </c>
      <c r="AE219" s="938">
        <f t="shared" si="118"/>
        <v>1.3935640303998587E-4</v>
      </c>
      <c r="AF219" s="938">
        <f t="shared" si="119"/>
        <v>1.3818330649885142E-3</v>
      </c>
      <c r="AG219" s="938">
        <f t="shared" si="120"/>
        <v>1.5211894680285001E-3</v>
      </c>
      <c r="AH219" s="1173">
        <f t="shared" si="116"/>
        <v>9.161015505885356E-2</v>
      </c>
      <c r="AI219" s="938">
        <f t="shared" si="117"/>
        <v>0.90838984494114638</v>
      </c>
      <c r="AJ219" s="227"/>
      <c r="AK219" s="227"/>
      <c r="AL219" s="227"/>
      <c r="AM219" s="227"/>
    </row>
    <row r="220" spans="1:39" x14ac:dyDescent="0.2">
      <c r="A220" s="330">
        <v>2047</v>
      </c>
      <c r="B220" s="344">
        <v>0</v>
      </c>
      <c r="C220" s="345">
        <v>0</v>
      </c>
      <c r="D220" s="345">
        <v>0</v>
      </c>
      <c r="E220" s="345">
        <v>0</v>
      </c>
      <c r="F220" s="345">
        <v>6.0532621171919198E-4</v>
      </c>
      <c r="G220" s="345">
        <v>5.113395958048216E-3</v>
      </c>
      <c r="H220" s="345">
        <v>1.2903662304043894E-2</v>
      </c>
      <c r="I220" s="345">
        <v>0</v>
      </c>
      <c r="J220" s="345">
        <v>0</v>
      </c>
      <c r="K220" s="345">
        <v>0</v>
      </c>
      <c r="L220" s="380">
        <v>0</v>
      </c>
      <c r="M220" s="296">
        <f t="shared" si="108"/>
        <v>1.1474069711547618E-3</v>
      </c>
      <c r="N220" s="298">
        <f t="shared" si="109"/>
        <v>1.0603361589264135E-3</v>
      </c>
      <c r="O220" s="344">
        <v>0</v>
      </c>
      <c r="P220" s="345">
        <v>0</v>
      </c>
      <c r="Q220" s="345">
        <v>0</v>
      </c>
      <c r="R220" s="345">
        <v>5.6248379474534905E-5</v>
      </c>
      <c r="S220" s="345">
        <v>2.1714320906142713E-3</v>
      </c>
      <c r="T220" s="345">
        <v>1.162619589399724E-2</v>
      </c>
      <c r="U220" s="345">
        <v>2.4694755692374181E-2</v>
      </c>
      <c r="V220" s="345">
        <v>0</v>
      </c>
      <c r="W220" s="345">
        <v>0</v>
      </c>
      <c r="X220" s="345">
        <v>0</v>
      </c>
      <c r="Y220" s="380">
        <v>0</v>
      </c>
      <c r="Z220" s="296">
        <f t="shared" si="110"/>
        <v>8.1786093164765185E-3</v>
      </c>
      <c r="AA220" s="298">
        <f t="shared" si="111"/>
        <v>7.646561263529323E-3</v>
      </c>
      <c r="AB220" s="949">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50">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7">
        <f t="shared" si="121"/>
        <v>0</v>
      </c>
      <c r="AE220" s="938">
        <f t="shared" si="118"/>
        <v>1.1474069711547618E-3</v>
      </c>
      <c r="AF220" s="938">
        <f t="shared" si="119"/>
        <v>8.1786093164765185E-3</v>
      </c>
      <c r="AG220" s="938">
        <f t="shared" si="120"/>
        <v>9.3260162876312794E-3</v>
      </c>
      <c r="AH220" s="1173">
        <f t="shared" si="116"/>
        <v>0.12303291520909325</v>
      </c>
      <c r="AI220" s="938">
        <f t="shared" si="117"/>
        <v>0.87696708479090679</v>
      </c>
      <c r="AJ220" s="227"/>
      <c r="AK220" s="227"/>
      <c r="AL220" s="227"/>
      <c r="AM220" s="227"/>
    </row>
    <row r="221" spans="1:39" x14ac:dyDescent="0.2">
      <c r="A221" s="330">
        <v>2048</v>
      </c>
      <c r="B221" s="344">
        <v>0</v>
      </c>
      <c r="C221" s="345">
        <v>0</v>
      </c>
      <c r="D221" s="345">
        <v>0</v>
      </c>
      <c r="E221" s="345">
        <v>5.1303336546947378E-4</v>
      </c>
      <c r="F221" s="345">
        <v>6.755456569371412E-3</v>
      </c>
      <c r="G221" s="345">
        <v>2.2574740361398216E-2</v>
      </c>
      <c r="H221" s="345">
        <v>3.8497616371038379E-2</v>
      </c>
      <c r="I221" s="345">
        <v>0</v>
      </c>
      <c r="J221" s="345">
        <v>0</v>
      </c>
      <c r="K221" s="345">
        <v>0</v>
      </c>
      <c r="L221" s="380">
        <v>0</v>
      </c>
      <c r="M221" s="296">
        <f t="shared" si="108"/>
        <v>3.8040633423604658E-3</v>
      </c>
      <c r="N221" s="298">
        <f t="shared" si="109"/>
        <v>3.5994503695254629E-3</v>
      </c>
      <c r="O221" s="344">
        <v>0</v>
      </c>
      <c r="P221" s="345">
        <v>0</v>
      </c>
      <c r="Q221" s="345">
        <v>0</v>
      </c>
      <c r="R221" s="345">
        <v>1.5827624228542032E-3</v>
      </c>
      <c r="S221" s="345">
        <v>1.4840801571254619E-2</v>
      </c>
      <c r="T221" s="345">
        <v>3.7750802768517409E-2</v>
      </c>
      <c r="U221" s="345">
        <v>6.2857391125432274E-2</v>
      </c>
      <c r="V221" s="345">
        <v>0</v>
      </c>
      <c r="W221" s="345">
        <v>0</v>
      </c>
      <c r="X221" s="345">
        <v>0</v>
      </c>
      <c r="Y221" s="380">
        <v>0</v>
      </c>
      <c r="Z221" s="296">
        <f t="shared" si="110"/>
        <v>2.3125397159641271E-2</v>
      </c>
      <c r="AA221" s="298">
        <f t="shared" si="111"/>
        <v>2.2020614733258281E-2</v>
      </c>
      <c r="AB221" s="949">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50">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7">
        <f t="shared" si="121"/>
        <v>0</v>
      </c>
      <c r="AE221" s="938">
        <f t="shared" si="118"/>
        <v>3.8040633423604658E-3</v>
      </c>
      <c r="AF221" s="938">
        <f t="shared" si="119"/>
        <v>2.3125397159641271E-2</v>
      </c>
      <c r="AG221" s="938">
        <f t="shared" si="120"/>
        <v>2.6929460502001738E-2</v>
      </c>
      <c r="AH221" s="1173">
        <f t="shared" si="116"/>
        <v>0.14126028785751946</v>
      </c>
      <c r="AI221" s="938">
        <f t="shared" si="117"/>
        <v>0.85873971214248057</v>
      </c>
      <c r="AJ221" s="227"/>
      <c r="AK221" s="227"/>
      <c r="AL221" s="227"/>
      <c r="AM221" s="227"/>
    </row>
    <row r="222" spans="1:39" x14ac:dyDescent="0.2">
      <c r="A222" s="330">
        <v>2049</v>
      </c>
      <c r="B222" s="344">
        <v>0</v>
      </c>
      <c r="C222" s="345">
        <v>0</v>
      </c>
      <c r="D222" s="345">
        <v>0</v>
      </c>
      <c r="E222" s="345">
        <v>7.0075051953676108E-3</v>
      </c>
      <c r="F222" s="345">
        <v>2.9277625771144105E-2</v>
      </c>
      <c r="G222" s="345">
        <v>6.0075127670904178E-2</v>
      </c>
      <c r="H222" s="345">
        <v>7.8141549502128899E-2</v>
      </c>
      <c r="I222" s="345">
        <v>0</v>
      </c>
      <c r="J222" s="345">
        <v>0</v>
      </c>
      <c r="K222" s="345">
        <v>0</v>
      </c>
      <c r="L222" s="380">
        <v>0</v>
      </c>
      <c r="M222" s="296">
        <f t="shared" si="108"/>
        <v>8.7648568205444082E-3</v>
      </c>
      <c r="N222" s="298">
        <f t="shared" si="109"/>
        <v>8.564710294665559E-3</v>
      </c>
      <c r="O222" s="344">
        <v>0</v>
      </c>
      <c r="P222" s="345">
        <v>0</v>
      </c>
      <c r="Q222" s="345">
        <v>5.2386335557665466E-4</v>
      </c>
      <c r="R222" s="345">
        <v>1.360357154262438E-2</v>
      </c>
      <c r="S222" s="345">
        <v>4.6973311839874979E-2</v>
      </c>
      <c r="T222" s="345">
        <v>8.7450672174903335E-2</v>
      </c>
      <c r="U222" s="345">
        <v>0.11330971310362127</v>
      </c>
      <c r="V222" s="345">
        <v>0</v>
      </c>
      <c r="W222" s="345">
        <v>0</v>
      </c>
      <c r="X222" s="345">
        <v>0</v>
      </c>
      <c r="Y222" s="380">
        <v>0</v>
      </c>
      <c r="Z222" s="296">
        <f t="shared" si="110"/>
        <v>4.7288764155783515E-2</v>
      </c>
      <c r="AA222" s="298">
        <f t="shared" si="111"/>
        <v>4.6016023754268942E-2</v>
      </c>
      <c r="AB222" s="949">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50">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7">
        <f t="shared" si="121"/>
        <v>0</v>
      </c>
      <c r="AE222" s="938">
        <f t="shared" si="118"/>
        <v>8.7648568205444082E-3</v>
      </c>
      <c r="AF222" s="938">
        <f t="shared" si="119"/>
        <v>4.7288764155783515E-2</v>
      </c>
      <c r="AG222" s="938">
        <f t="shared" si="120"/>
        <v>5.605362097632792E-2</v>
      </c>
      <c r="AH222" s="1173">
        <f t="shared" si="116"/>
        <v>0.156365577600168</v>
      </c>
      <c r="AI222" s="938">
        <f t="shared" si="117"/>
        <v>0.84363442239983211</v>
      </c>
      <c r="AJ222" s="227"/>
      <c r="AK222" s="227"/>
      <c r="AL222" s="227"/>
      <c r="AM222" s="227"/>
    </row>
    <row r="223" spans="1:39" ht="15" thickBot="1" x14ac:dyDescent="0.25">
      <c r="A223" s="328">
        <v>2050</v>
      </c>
      <c r="B223" s="346">
        <v>0</v>
      </c>
      <c r="C223" s="347">
        <v>0</v>
      </c>
      <c r="D223" s="347">
        <v>2.3970019225412857E-3</v>
      </c>
      <c r="E223" s="347">
        <v>3.6154379718082795E-2</v>
      </c>
      <c r="F223" s="347">
        <v>7.9382289178763249E-2</v>
      </c>
      <c r="G223" s="347">
        <v>0.10792123061634781</v>
      </c>
      <c r="H223" s="347">
        <v>0.13196880390676211</v>
      </c>
      <c r="I223" s="347">
        <v>0</v>
      </c>
      <c r="J223" s="347">
        <v>0</v>
      </c>
      <c r="K223" s="347">
        <v>0</v>
      </c>
      <c r="L223" s="381">
        <v>0</v>
      </c>
      <c r="M223" s="310">
        <f t="shared" si="108"/>
        <v>1.6498560290530817E-2</v>
      </c>
      <c r="N223" s="312">
        <f t="shared" si="109"/>
        <v>1.6713838176224925E-2</v>
      </c>
      <c r="O223" s="346">
        <v>0</v>
      </c>
      <c r="P223" s="347">
        <v>0</v>
      </c>
      <c r="Q223" s="347">
        <v>9.8739174804168724E-3</v>
      </c>
      <c r="R223" s="347">
        <v>5.1471881536607533E-2</v>
      </c>
      <c r="S223" s="347">
        <v>0.11003616226785909</v>
      </c>
      <c r="T223" s="347">
        <v>0.15269085863971085</v>
      </c>
      <c r="U223" s="347">
        <v>0.17580712115355318</v>
      </c>
      <c r="V223" s="347">
        <v>0</v>
      </c>
      <c r="W223" s="347">
        <v>0</v>
      </c>
      <c r="X223" s="347">
        <v>0</v>
      </c>
      <c r="Y223" s="381">
        <v>0</v>
      </c>
      <c r="Z223" s="310">
        <f t="shared" si="110"/>
        <v>8.0767159529329793E-2</v>
      </c>
      <c r="AA223" s="312">
        <f t="shared" si="111"/>
        <v>8.0376589981883739E-2</v>
      </c>
      <c r="AB223" s="951">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2">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8">
        <f t="shared" si="121"/>
        <v>0</v>
      </c>
      <c r="AE223" s="938">
        <f t="shared" si="118"/>
        <v>1.6498560290530817E-2</v>
      </c>
      <c r="AF223" s="938">
        <f t="shared" si="119"/>
        <v>8.0767159529329793E-2</v>
      </c>
      <c r="AG223" s="938">
        <f t="shared" si="120"/>
        <v>9.726571981986061E-2</v>
      </c>
      <c r="AH223" s="1173">
        <f t="shared" si="116"/>
        <v>0.16962358702620725</v>
      </c>
      <c r="AI223" s="938">
        <f t="shared" si="117"/>
        <v>0.83037641297379272</v>
      </c>
      <c r="AJ223" s="227"/>
      <c r="AK223" s="227"/>
      <c r="AL223" s="227"/>
      <c r="AM223" s="227"/>
    </row>
    <row r="224" spans="1:39" x14ac:dyDescent="0.2">
      <c r="B224" s="227" t="str">
        <f>B$120</f>
        <v>Output generated: 7/21/2020 15:48</v>
      </c>
      <c r="U224" s="227" t="str">
        <f>U$120</f>
        <v>Output generated: 7/21/2020 15:48</v>
      </c>
      <c r="AC224" s="938"/>
      <c r="AE224" s="938"/>
      <c r="AF224" s="938"/>
      <c r="AG224" s="938"/>
      <c r="AH224" s="938"/>
      <c r="AI224" s="938"/>
      <c r="AJ224" s="227"/>
      <c r="AK224" s="227"/>
      <c r="AL224" s="227"/>
      <c r="AM224" s="227"/>
    </row>
    <row r="225" spans="1:39" x14ac:dyDescent="0.2">
      <c r="AE225" s="938"/>
      <c r="AF225" s="938"/>
      <c r="AG225" s="938"/>
      <c r="AH225" s="938"/>
      <c r="AI225" s="938"/>
    </row>
    <row r="226" spans="1:39" ht="15" thickBot="1" x14ac:dyDescent="0.25">
      <c r="AE226" s="938"/>
      <c r="AF226" s="938"/>
      <c r="AG226" s="938"/>
      <c r="AH226" s="938"/>
      <c r="AI226" s="938"/>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8"/>
      <c r="AF227" s="938"/>
      <c r="AG227" s="938"/>
      <c r="AH227" s="938"/>
      <c r="AI227" s="938"/>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8"/>
      <c r="AF228" s="938"/>
      <c r="AG228" s="938"/>
      <c r="AH228" s="938"/>
      <c r="AI228" s="938"/>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4" t="s">
        <v>267</v>
      </c>
      <c r="AD229" s="234" t="b">
        <f>INDEX(TECH_OPT_FUEL2_Cls1,MATCH(RIGHT(O227),TECH_OPT_ROWS_Cls1,0))&lt;&gt;"N/A"</f>
        <v>0</v>
      </c>
      <c r="AE229" s="938"/>
      <c r="AF229" s="938"/>
      <c r="AG229" s="938"/>
      <c r="AH229" s="938"/>
      <c r="AI229" s="938"/>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7"/>
      <c r="AC230" s="904" t="s">
        <v>268</v>
      </c>
      <c r="AD230" s="234">
        <f>MATCH(RIGHT(O227),TECH_OPT_ROWS_Cls1,0)</f>
        <v>5</v>
      </c>
      <c r="AE230" s="938"/>
      <c r="AF230" s="938"/>
      <c r="AG230" s="938"/>
      <c r="AH230" s="938"/>
      <c r="AI230" s="938"/>
    </row>
    <row r="231" spans="1:39" x14ac:dyDescent="0.2">
      <c r="A231" s="331" t="s">
        <v>125</v>
      </c>
      <c r="B231" s="939">
        <f t="array" ref="B231:L231">TRANSPOSE(Cls1CentVMTShr)</f>
        <v>8.9762242961142352E-4</v>
      </c>
      <c r="C231" s="940">
        <v>1.2044238150123706E-3</v>
      </c>
      <c r="D231" s="940">
        <v>4.1499109643594731E-3</v>
      </c>
      <c r="E231" s="940">
        <v>1.9575808105519295E-2</v>
      </c>
      <c r="F231" s="940">
        <v>3.4523467949689302E-2</v>
      </c>
      <c r="G231" s="940">
        <v>2.7311948935134379E-2</v>
      </c>
      <c r="H231" s="940">
        <v>7.6478458482655817E-2</v>
      </c>
      <c r="I231" s="940">
        <v>3.2480526319280681E-2</v>
      </c>
      <c r="J231" s="940">
        <v>1.1772940427842455E-2</v>
      </c>
      <c r="K231" s="940">
        <v>6.0339283082965706E-3</v>
      </c>
      <c r="L231" s="941">
        <v>1.5952440951210019E-2</v>
      </c>
      <c r="M231" s="388"/>
      <c r="N231" s="334"/>
      <c r="O231" s="939">
        <f t="array" ref="O231:Y231">TRANSPOSE(Cls1NCentVMTShr)</f>
        <v>1.3589913425833078E-3</v>
      </c>
      <c r="P231" s="940">
        <v>5.8692629772239642E-3</v>
      </c>
      <c r="Q231" s="940">
        <v>1.2100393581509007E-2</v>
      </c>
      <c r="R231" s="940">
        <v>3.6555003327388577E-2</v>
      </c>
      <c r="S231" s="940">
        <v>8.3148735051829181E-2</v>
      </c>
      <c r="T231" s="940">
        <v>0.18151138394047112</v>
      </c>
      <c r="U231" s="940">
        <v>0.2383386372324876</v>
      </c>
      <c r="V231" s="940">
        <v>9.5602564448196578E-2</v>
      </c>
      <c r="W231" s="940">
        <v>2.9193025028929166E-2</v>
      </c>
      <c r="X231" s="940">
        <v>3.5209492159336005E-2</v>
      </c>
      <c r="Y231" s="941">
        <v>5.0731034221433824E-2</v>
      </c>
      <c r="Z231" s="388"/>
      <c r="AA231" s="334"/>
      <c r="AB231" s="1550" t="str">
        <f>"% of miles on f2 for Tech "&amp; RIGHT(O227)&amp;" adopters"</f>
        <v>% of miles on f2 for Tech D adopters</v>
      </c>
      <c r="AC231" s="1551"/>
      <c r="AD231" s="1552"/>
      <c r="AE231" s="938" t="s">
        <v>301</v>
      </c>
      <c r="AF231" s="938"/>
      <c r="AG231" s="938"/>
      <c r="AH231" s="1173" t="s">
        <v>310</v>
      </c>
      <c r="AI231" s="938"/>
    </row>
    <row r="232" spans="1:39" ht="15" thickBot="1" x14ac:dyDescent="0.25">
      <c r="A232" s="943" t="s">
        <v>266</v>
      </c>
      <c r="B232" s="934">
        <f t="array" ref="B232:L232">TRANSPOSE(Cls1CentVMT/OPDAYS_Cls1)</f>
        <v>51.642967609234425</v>
      </c>
      <c r="C232" s="935">
        <v>110.97733417848234</v>
      </c>
      <c r="D232" s="935">
        <v>204.40224583551472</v>
      </c>
      <c r="E232" s="935">
        <v>290.24610572847212</v>
      </c>
      <c r="F232" s="935">
        <v>364.75750419264841</v>
      </c>
      <c r="G232" s="935">
        <v>443.63126889109378</v>
      </c>
      <c r="H232" s="935">
        <v>506.78134229373978</v>
      </c>
      <c r="I232" s="935">
        <v>595.71283413609137</v>
      </c>
      <c r="J232" s="935">
        <v>682.23089916089702</v>
      </c>
      <c r="K232" s="935">
        <v>765.26438827532684</v>
      </c>
      <c r="L232" s="936">
        <v>970.27871027310334</v>
      </c>
      <c r="M232" s="932"/>
      <c r="N232" s="933"/>
      <c r="O232" s="934">
        <f t="array" ref="O232:Y232">TRANSPOSE(Cls1NCentVMT/OPDAYS_Cls1)</f>
        <v>47.924548633512046</v>
      </c>
      <c r="P232" s="935">
        <v>112.56389213862748</v>
      </c>
      <c r="Q232" s="935">
        <v>214.67280220238027</v>
      </c>
      <c r="R232" s="935">
        <v>288.30186744262801</v>
      </c>
      <c r="S232" s="935">
        <v>368.60089210549245</v>
      </c>
      <c r="T232" s="935">
        <v>447.31558789932524</v>
      </c>
      <c r="U232" s="935">
        <v>511.28831950097862</v>
      </c>
      <c r="V232" s="935">
        <v>595.73726658362273</v>
      </c>
      <c r="W232" s="935">
        <v>672.11099195240695</v>
      </c>
      <c r="X232" s="935">
        <v>757.0793017898726</v>
      </c>
      <c r="Y232" s="936">
        <v>896.16800791754974</v>
      </c>
      <c r="Z232" s="944"/>
      <c r="AA232" s="933"/>
      <c r="AB232" s="946" t="s">
        <v>186</v>
      </c>
      <c r="AC232" s="947" t="s">
        <v>15</v>
      </c>
      <c r="AD232" s="948" t="s">
        <v>18</v>
      </c>
      <c r="AE232" s="938" t="s">
        <v>186</v>
      </c>
      <c r="AF232" s="938" t="s">
        <v>15</v>
      </c>
      <c r="AG232" s="938" t="s">
        <v>18</v>
      </c>
      <c r="AH232" s="1173" t="s">
        <v>186</v>
      </c>
      <c r="AI232" s="938" t="s">
        <v>15</v>
      </c>
    </row>
    <row r="233" spans="1:39" ht="15" thickTop="1" x14ac:dyDescent="0.2">
      <c r="A233" s="942">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9">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50">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7">
        <f t="shared" ref="AD233:AD258" si="126">AB233*AH233+AC233*AI233</f>
        <v>0</v>
      </c>
      <c r="AE233" s="938">
        <f t="shared" ref="AE233:AE247" si="127">SUMPRODUCT($B$74:$L$74,B233:L233)</f>
        <v>0</v>
      </c>
      <c r="AF233" s="938">
        <f t="shared" ref="AF233:AF247" si="128">SUMPRODUCT($O$74:$Y$74,O233:Y233)</f>
        <v>0</v>
      </c>
      <c r="AG233" s="938">
        <f t="shared" ref="AG233:AG247" si="129">SUM(AE233:AF233)</f>
        <v>0</v>
      </c>
      <c r="AH233" s="1173">
        <f>IF(AG233&gt;0,AE233/AG233,0)</f>
        <v>0</v>
      </c>
      <c r="AI233" s="938">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9">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50">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7">
        <f t="shared" si="126"/>
        <v>0</v>
      </c>
      <c r="AE234" s="938">
        <f t="shared" si="127"/>
        <v>0</v>
      </c>
      <c r="AF234" s="938">
        <f t="shared" si="128"/>
        <v>0</v>
      </c>
      <c r="AG234" s="938">
        <f t="shared" si="129"/>
        <v>0</v>
      </c>
      <c r="AH234" s="1173">
        <f t="shared" ref="AH234:AH276" si="130">IF(AG234&gt;0,AE234/AG234,0)</f>
        <v>0</v>
      </c>
      <c r="AI234" s="938">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9">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50">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7">
        <f t="shared" si="126"/>
        <v>0</v>
      </c>
      <c r="AE235" s="938">
        <f t="shared" si="127"/>
        <v>0</v>
      </c>
      <c r="AF235" s="938">
        <f t="shared" si="128"/>
        <v>0</v>
      </c>
      <c r="AG235" s="938">
        <f t="shared" si="129"/>
        <v>0</v>
      </c>
      <c r="AH235" s="1173">
        <f t="shared" si="130"/>
        <v>0</v>
      </c>
      <c r="AI235" s="938">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9">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50">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7">
        <f t="shared" si="126"/>
        <v>0</v>
      </c>
      <c r="AE236" s="938">
        <f t="shared" si="127"/>
        <v>0</v>
      </c>
      <c r="AF236" s="938">
        <f t="shared" si="128"/>
        <v>0</v>
      </c>
      <c r="AG236" s="938">
        <f t="shared" si="129"/>
        <v>0</v>
      </c>
      <c r="AH236" s="1173">
        <f t="shared" si="130"/>
        <v>0</v>
      </c>
      <c r="AI236" s="938">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9">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50">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7">
        <f t="shared" si="126"/>
        <v>0</v>
      </c>
      <c r="AE237" s="938">
        <f t="shared" si="127"/>
        <v>0</v>
      </c>
      <c r="AF237" s="938">
        <f t="shared" si="128"/>
        <v>0</v>
      </c>
      <c r="AG237" s="938">
        <f t="shared" si="129"/>
        <v>0</v>
      </c>
      <c r="AH237" s="1173">
        <f t="shared" si="130"/>
        <v>0</v>
      </c>
      <c r="AI237" s="938">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9">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50">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7">
        <f t="shared" si="126"/>
        <v>0</v>
      </c>
      <c r="AE238" s="938">
        <f t="shared" si="127"/>
        <v>0</v>
      </c>
      <c r="AF238" s="938">
        <f t="shared" si="128"/>
        <v>0</v>
      </c>
      <c r="AG238" s="938">
        <f t="shared" si="129"/>
        <v>0</v>
      </c>
      <c r="AH238" s="1173">
        <f t="shared" si="130"/>
        <v>0</v>
      </c>
      <c r="AI238" s="938">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9">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50">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7">
        <f t="shared" si="126"/>
        <v>0</v>
      </c>
      <c r="AE239" s="938">
        <f t="shared" si="127"/>
        <v>0</v>
      </c>
      <c r="AF239" s="938">
        <f t="shared" si="128"/>
        <v>0</v>
      </c>
      <c r="AG239" s="938">
        <f t="shared" si="129"/>
        <v>0</v>
      </c>
      <c r="AH239" s="1173">
        <f t="shared" si="130"/>
        <v>0</v>
      </c>
      <c r="AI239" s="938">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9">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50">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7">
        <f t="shared" si="126"/>
        <v>0</v>
      </c>
      <c r="AE240" s="938">
        <f t="shared" si="127"/>
        <v>0</v>
      </c>
      <c r="AF240" s="938">
        <f t="shared" si="128"/>
        <v>0</v>
      </c>
      <c r="AG240" s="938">
        <f t="shared" si="129"/>
        <v>0</v>
      </c>
      <c r="AH240" s="1173">
        <f t="shared" si="130"/>
        <v>0</v>
      </c>
      <c r="AI240" s="938">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9">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50">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7">
        <f t="shared" si="126"/>
        <v>0</v>
      </c>
      <c r="AE241" s="938">
        <f t="shared" si="127"/>
        <v>0</v>
      </c>
      <c r="AF241" s="938">
        <f t="shared" si="128"/>
        <v>0</v>
      </c>
      <c r="AG241" s="938">
        <f t="shared" si="129"/>
        <v>0</v>
      </c>
      <c r="AH241" s="1173">
        <f t="shared" si="130"/>
        <v>0</v>
      </c>
      <c r="AI241" s="938">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9">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50">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7">
        <f t="shared" si="126"/>
        <v>0</v>
      </c>
      <c r="AE242" s="938">
        <f t="shared" si="127"/>
        <v>0</v>
      </c>
      <c r="AF242" s="938">
        <f t="shared" si="128"/>
        <v>0</v>
      </c>
      <c r="AG242" s="938">
        <f t="shared" si="129"/>
        <v>0</v>
      </c>
      <c r="AH242" s="1173">
        <f t="shared" si="130"/>
        <v>0</v>
      </c>
      <c r="AI242" s="938">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9">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50">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7">
        <f t="shared" si="126"/>
        <v>0</v>
      </c>
      <c r="AE243" s="938">
        <f t="shared" si="127"/>
        <v>0</v>
      </c>
      <c r="AF243" s="938">
        <f t="shared" si="128"/>
        <v>0</v>
      </c>
      <c r="AG243" s="938">
        <f t="shared" si="129"/>
        <v>0</v>
      </c>
      <c r="AH243" s="1173">
        <f t="shared" si="130"/>
        <v>0</v>
      </c>
      <c r="AI243" s="938">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9">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50">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7">
        <f t="shared" si="126"/>
        <v>0</v>
      </c>
      <c r="AE244" s="938">
        <f t="shared" si="127"/>
        <v>0</v>
      </c>
      <c r="AF244" s="938">
        <f t="shared" si="128"/>
        <v>0</v>
      </c>
      <c r="AG244" s="938">
        <f t="shared" si="129"/>
        <v>0</v>
      </c>
      <c r="AH244" s="1173">
        <f t="shared" si="130"/>
        <v>0</v>
      </c>
      <c r="AI244" s="938">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9">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50">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7">
        <f t="shared" si="126"/>
        <v>0</v>
      </c>
      <c r="AE245" s="938">
        <f t="shared" si="127"/>
        <v>0</v>
      </c>
      <c r="AF245" s="938">
        <f t="shared" si="128"/>
        <v>0</v>
      </c>
      <c r="AG245" s="938">
        <f t="shared" si="129"/>
        <v>0</v>
      </c>
      <c r="AH245" s="1173">
        <f t="shared" si="130"/>
        <v>0</v>
      </c>
      <c r="AI245" s="938">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9">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50">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7">
        <f t="shared" si="126"/>
        <v>0</v>
      </c>
      <c r="AE246" s="938">
        <f t="shared" si="127"/>
        <v>0</v>
      </c>
      <c r="AF246" s="938">
        <f t="shared" si="128"/>
        <v>0</v>
      </c>
      <c r="AG246" s="938">
        <f t="shared" si="129"/>
        <v>0</v>
      </c>
      <c r="AH246" s="1173">
        <f t="shared" si="130"/>
        <v>0</v>
      </c>
      <c r="AI246" s="938">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9">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50">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7">
        <f t="shared" si="126"/>
        <v>0</v>
      </c>
      <c r="AE247" s="938">
        <f t="shared" si="127"/>
        <v>0</v>
      </c>
      <c r="AF247" s="938">
        <f t="shared" si="128"/>
        <v>0</v>
      </c>
      <c r="AG247" s="938">
        <f t="shared" si="129"/>
        <v>0</v>
      </c>
      <c r="AH247" s="1173">
        <f t="shared" si="130"/>
        <v>0</v>
      </c>
      <c r="AI247" s="938">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9">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50">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7">
        <f t="shared" si="126"/>
        <v>0</v>
      </c>
      <c r="AE248" s="938">
        <f>SUMPRODUCT($B$74:$L$74,B248:L248)</f>
        <v>0</v>
      </c>
      <c r="AF248" s="938">
        <f>SUMPRODUCT($O$74:$Y$74,O248:Y248)</f>
        <v>0</v>
      </c>
      <c r="AG248" s="938">
        <f>SUM(AE248:AF248)</f>
        <v>0</v>
      </c>
      <c r="AH248" s="1173">
        <f t="shared" si="130"/>
        <v>0</v>
      </c>
      <c r="AI248" s="938">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9">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50">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7">
        <f t="shared" si="126"/>
        <v>0</v>
      </c>
      <c r="AE249" s="938">
        <f t="shared" ref="AE249:AE276" si="132">SUMPRODUCT($B$74:$L$74,B249:L249)</f>
        <v>0</v>
      </c>
      <c r="AF249" s="938">
        <f t="shared" ref="AF249:AF276" si="133">SUMPRODUCT($O$74:$Y$74,O249:Y249)</f>
        <v>0</v>
      </c>
      <c r="AG249" s="938">
        <f t="shared" ref="AG249:AG276" si="134">SUM(AE249:AF249)</f>
        <v>0</v>
      </c>
      <c r="AH249" s="1173">
        <f t="shared" si="130"/>
        <v>0</v>
      </c>
      <c r="AI249" s="938">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9">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50">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7">
        <f t="shared" si="126"/>
        <v>0</v>
      </c>
      <c r="AE250" s="938">
        <f t="shared" si="132"/>
        <v>0</v>
      </c>
      <c r="AF250" s="938">
        <f t="shared" si="133"/>
        <v>0</v>
      </c>
      <c r="AG250" s="938">
        <f t="shared" si="134"/>
        <v>0</v>
      </c>
      <c r="AH250" s="1173">
        <f t="shared" si="130"/>
        <v>0</v>
      </c>
      <c r="AI250" s="938">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9">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50">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7">
        <f t="shared" si="126"/>
        <v>0</v>
      </c>
      <c r="AE251" s="938">
        <f t="shared" si="132"/>
        <v>0</v>
      </c>
      <c r="AF251" s="938">
        <f t="shared" si="133"/>
        <v>0</v>
      </c>
      <c r="AG251" s="938">
        <f t="shared" si="134"/>
        <v>0</v>
      </c>
      <c r="AH251" s="1173">
        <f t="shared" si="130"/>
        <v>0</v>
      </c>
      <c r="AI251" s="938">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9">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50">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7">
        <f t="shared" si="126"/>
        <v>0</v>
      </c>
      <c r="AE252" s="938">
        <f t="shared" si="132"/>
        <v>0</v>
      </c>
      <c r="AF252" s="938">
        <f t="shared" si="133"/>
        <v>0</v>
      </c>
      <c r="AG252" s="938">
        <f t="shared" si="134"/>
        <v>0</v>
      </c>
      <c r="AH252" s="1173">
        <f t="shared" si="130"/>
        <v>0</v>
      </c>
      <c r="AI252" s="938">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9">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50">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7">
        <f t="shared" si="126"/>
        <v>0</v>
      </c>
      <c r="AE253" s="938">
        <f t="shared" si="132"/>
        <v>0</v>
      </c>
      <c r="AF253" s="938">
        <f t="shared" si="133"/>
        <v>0</v>
      </c>
      <c r="AG253" s="938">
        <f t="shared" si="134"/>
        <v>0</v>
      </c>
      <c r="AH253" s="1173">
        <f t="shared" si="130"/>
        <v>0</v>
      </c>
      <c r="AI253" s="938">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9">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50">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7">
        <f t="shared" si="126"/>
        <v>0</v>
      </c>
      <c r="AE254" s="938">
        <f t="shared" si="132"/>
        <v>0</v>
      </c>
      <c r="AF254" s="938">
        <f t="shared" si="133"/>
        <v>0</v>
      </c>
      <c r="AG254" s="938">
        <f t="shared" si="134"/>
        <v>0</v>
      </c>
      <c r="AH254" s="1173">
        <f t="shared" si="130"/>
        <v>0</v>
      </c>
      <c r="AI254" s="938">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9">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50">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7">
        <f t="shared" si="126"/>
        <v>0</v>
      </c>
      <c r="AE255" s="938">
        <f t="shared" si="132"/>
        <v>0</v>
      </c>
      <c r="AF255" s="938">
        <f t="shared" si="133"/>
        <v>0</v>
      </c>
      <c r="AG255" s="938">
        <f t="shared" si="134"/>
        <v>0</v>
      </c>
      <c r="AH255" s="1173">
        <f t="shared" si="130"/>
        <v>0</v>
      </c>
      <c r="AI255" s="938">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9">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50">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7">
        <f t="shared" si="126"/>
        <v>0</v>
      </c>
      <c r="AE256" s="938">
        <f t="shared" si="132"/>
        <v>0</v>
      </c>
      <c r="AF256" s="938">
        <f t="shared" si="133"/>
        <v>0</v>
      </c>
      <c r="AG256" s="938">
        <f t="shared" si="134"/>
        <v>0</v>
      </c>
      <c r="AH256" s="1173">
        <f t="shared" si="130"/>
        <v>0</v>
      </c>
      <c r="AI256" s="938">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9">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50">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7">
        <f t="shared" si="126"/>
        <v>0</v>
      </c>
      <c r="AE257" s="938">
        <f t="shared" si="132"/>
        <v>0</v>
      </c>
      <c r="AF257" s="938">
        <f t="shared" si="133"/>
        <v>0</v>
      </c>
      <c r="AG257" s="938">
        <f t="shared" si="134"/>
        <v>0</v>
      </c>
      <c r="AH257" s="1173">
        <f t="shared" si="130"/>
        <v>0</v>
      </c>
      <c r="AI257" s="938">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9">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50">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7">
        <f t="shared" si="126"/>
        <v>0</v>
      </c>
      <c r="AE258" s="938">
        <f t="shared" si="132"/>
        <v>0</v>
      </c>
      <c r="AF258" s="938">
        <f t="shared" si="133"/>
        <v>0</v>
      </c>
      <c r="AG258" s="938">
        <f t="shared" si="134"/>
        <v>0</v>
      </c>
      <c r="AH258" s="1173">
        <f t="shared" si="130"/>
        <v>0</v>
      </c>
      <c r="AI258" s="938">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9">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50">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7">
        <f>AB259*AH259+AC259*AI259</f>
        <v>0</v>
      </c>
      <c r="AE259" s="938">
        <f t="shared" si="132"/>
        <v>0</v>
      </c>
      <c r="AF259" s="938">
        <f t="shared" si="133"/>
        <v>0</v>
      </c>
      <c r="AG259" s="938">
        <f t="shared" si="134"/>
        <v>0</v>
      </c>
      <c r="AH259" s="1173">
        <f t="shared" si="130"/>
        <v>0</v>
      </c>
      <c r="AI259" s="938">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9">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50">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7">
        <f t="shared" ref="AD260:AD276" si="135">AB260*AH260+AC260*AI260</f>
        <v>0</v>
      </c>
      <c r="AE260" s="938">
        <f t="shared" si="132"/>
        <v>0</v>
      </c>
      <c r="AF260" s="938">
        <f t="shared" si="133"/>
        <v>0</v>
      </c>
      <c r="AG260" s="938">
        <f t="shared" si="134"/>
        <v>0</v>
      </c>
      <c r="AH260" s="1173">
        <f t="shared" si="130"/>
        <v>0</v>
      </c>
      <c r="AI260" s="938">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9">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50">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7">
        <f t="shared" si="135"/>
        <v>0</v>
      </c>
      <c r="AE261" s="938">
        <f t="shared" si="132"/>
        <v>0</v>
      </c>
      <c r="AF261" s="938">
        <f t="shared" si="133"/>
        <v>0</v>
      </c>
      <c r="AG261" s="938">
        <f t="shared" si="134"/>
        <v>0</v>
      </c>
      <c r="AH261" s="1173">
        <f t="shared" si="130"/>
        <v>0</v>
      </c>
      <c r="AI261" s="938">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9">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50">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7">
        <f t="shared" si="135"/>
        <v>0</v>
      </c>
      <c r="AE262" s="938">
        <f t="shared" si="132"/>
        <v>0</v>
      </c>
      <c r="AF262" s="938">
        <f t="shared" si="133"/>
        <v>0</v>
      </c>
      <c r="AG262" s="938">
        <f t="shared" si="134"/>
        <v>0</v>
      </c>
      <c r="AH262" s="1173">
        <f t="shared" si="130"/>
        <v>0</v>
      </c>
      <c r="AI262" s="938">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9">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50">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7">
        <f t="shared" si="135"/>
        <v>0</v>
      </c>
      <c r="AE263" s="938">
        <f t="shared" si="132"/>
        <v>0</v>
      </c>
      <c r="AF263" s="938">
        <f t="shared" si="133"/>
        <v>0</v>
      </c>
      <c r="AG263" s="938">
        <f t="shared" si="134"/>
        <v>0</v>
      </c>
      <c r="AH263" s="1173">
        <f t="shared" si="130"/>
        <v>0</v>
      </c>
      <c r="AI263" s="938">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9">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50">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7">
        <f t="shared" si="135"/>
        <v>0</v>
      </c>
      <c r="AE264" s="938">
        <f t="shared" si="132"/>
        <v>0</v>
      </c>
      <c r="AF264" s="938">
        <f t="shared" si="133"/>
        <v>0</v>
      </c>
      <c r="AG264" s="938">
        <f t="shared" si="134"/>
        <v>0</v>
      </c>
      <c r="AH264" s="1173">
        <f t="shared" si="130"/>
        <v>0</v>
      </c>
      <c r="AI264" s="938">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9">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50">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7">
        <f t="shared" si="135"/>
        <v>0</v>
      </c>
      <c r="AE265" s="938">
        <f t="shared" si="132"/>
        <v>0</v>
      </c>
      <c r="AF265" s="938">
        <f t="shared" si="133"/>
        <v>0</v>
      </c>
      <c r="AG265" s="938">
        <f t="shared" si="134"/>
        <v>0</v>
      </c>
      <c r="AH265" s="1173">
        <f t="shared" si="130"/>
        <v>0</v>
      </c>
      <c r="AI265" s="938">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9">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50">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7">
        <f t="shared" si="135"/>
        <v>0</v>
      </c>
      <c r="AE266" s="938">
        <f t="shared" si="132"/>
        <v>0</v>
      </c>
      <c r="AF266" s="938">
        <f t="shared" si="133"/>
        <v>0</v>
      </c>
      <c r="AG266" s="938">
        <f t="shared" si="134"/>
        <v>0</v>
      </c>
      <c r="AH266" s="1173">
        <f t="shared" si="130"/>
        <v>0</v>
      </c>
      <c r="AI266" s="938">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4.5227940352846827E-4</v>
      </c>
      <c r="M267" s="282">
        <f t="shared" si="122"/>
        <v>7.2149604782363785E-6</v>
      </c>
      <c r="N267" s="284">
        <f t="shared" si="123"/>
        <v>3.3994383297693211E-6</v>
      </c>
      <c r="O267" s="342">
        <v>0</v>
      </c>
      <c r="P267" s="343">
        <v>0</v>
      </c>
      <c r="Q267" s="343">
        <v>0</v>
      </c>
      <c r="R267" s="343">
        <v>0</v>
      </c>
      <c r="S267" s="343">
        <v>0</v>
      </c>
      <c r="T267" s="343">
        <v>0</v>
      </c>
      <c r="U267" s="343">
        <v>0</v>
      </c>
      <c r="V267" s="343">
        <v>0</v>
      </c>
      <c r="W267" s="343">
        <v>3.9700250442946466E-7</v>
      </c>
      <c r="X267" s="343">
        <v>3.3243535160525447E-6</v>
      </c>
      <c r="Y267" s="379">
        <v>2.3234975570385256E-5</v>
      </c>
      <c r="Z267" s="282">
        <f t="shared" si="124"/>
        <v>1.3073728439020632E-6</v>
      </c>
      <c r="AA267" s="284">
        <f t="shared" si="125"/>
        <v>6.7986990671202398E-7</v>
      </c>
      <c r="AB267" s="949">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50">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7">
        <f t="shared" si="135"/>
        <v>0</v>
      </c>
      <c r="AE267" s="938">
        <f t="shared" si="132"/>
        <v>7.2149604782363785E-6</v>
      </c>
      <c r="AF267" s="938">
        <f t="shared" si="133"/>
        <v>1.3073728439020632E-6</v>
      </c>
      <c r="AG267" s="938">
        <f t="shared" si="134"/>
        <v>8.5223333221384425E-6</v>
      </c>
      <c r="AH267" s="1173">
        <f t="shared" si="130"/>
        <v>0.84659449537066278</v>
      </c>
      <c r="AI267" s="938">
        <f t="shared" si="131"/>
        <v>0.15340550462933716</v>
      </c>
    </row>
    <row r="268" spans="1:35" x14ac:dyDescent="0.2">
      <c r="A268" s="330">
        <v>2042</v>
      </c>
      <c r="B268" s="344">
        <v>0</v>
      </c>
      <c r="C268" s="345">
        <v>0</v>
      </c>
      <c r="D268" s="345">
        <v>0</v>
      </c>
      <c r="E268" s="345">
        <v>0</v>
      </c>
      <c r="F268" s="345">
        <v>0</v>
      </c>
      <c r="G268" s="345">
        <v>0</v>
      </c>
      <c r="H268" s="345">
        <v>0</v>
      </c>
      <c r="I268" s="345">
        <v>1.6611597388125322E-4</v>
      </c>
      <c r="J268" s="345">
        <v>1.5275270381029239E-3</v>
      </c>
      <c r="K268" s="345">
        <v>4.956895636416477E-3</v>
      </c>
      <c r="L268" s="380">
        <v>3.1232840633845436E-2</v>
      </c>
      <c r="M268" s="296">
        <f t="shared" si="122"/>
        <v>5.5152861793502468E-4</v>
      </c>
      <c r="N268" s="298">
        <f t="shared" si="123"/>
        <v>2.6881238656705647E-4</v>
      </c>
      <c r="O268" s="344">
        <v>0</v>
      </c>
      <c r="P268" s="345">
        <v>0</v>
      </c>
      <c r="Q268" s="345">
        <v>0</v>
      </c>
      <c r="R268" s="345">
        <v>0</v>
      </c>
      <c r="S268" s="345">
        <v>0</v>
      </c>
      <c r="T268" s="345">
        <v>0</v>
      </c>
      <c r="U268" s="345">
        <v>3.3019834074863498E-6</v>
      </c>
      <c r="V268" s="345">
        <v>2.1946093637713153E-5</v>
      </c>
      <c r="W268" s="345">
        <v>7.463081289136942E-5</v>
      </c>
      <c r="X268" s="345">
        <v>1.5445238829051245E-4</v>
      </c>
      <c r="Y268" s="380">
        <v>3.9391832253215408E-4</v>
      </c>
      <c r="Z268" s="296">
        <f t="shared" si="124"/>
        <v>3.048586630089132E-5</v>
      </c>
      <c r="AA268" s="298">
        <f t="shared" si="125"/>
        <v>1.7273870109277905E-5</v>
      </c>
      <c r="AB268" s="949">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50">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7">
        <f t="shared" si="135"/>
        <v>0</v>
      </c>
      <c r="AE268" s="938">
        <f t="shared" si="132"/>
        <v>5.5152861793502468E-4</v>
      </c>
      <c r="AF268" s="938">
        <f t="shared" si="133"/>
        <v>3.048586630089132E-5</v>
      </c>
      <c r="AG268" s="938">
        <f t="shared" si="134"/>
        <v>5.8201448423591596E-4</v>
      </c>
      <c r="AH268" s="1173">
        <f t="shared" si="130"/>
        <v>0.94762009000357794</v>
      </c>
      <c r="AI268" s="938">
        <f t="shared" si="131"/>
        <v>5.2379909996422121E-2</v>
      </c>
    </row>
    <row r="269" spans="1:35" x14ac:dyDescent="0.2">
      <c r="A269" s="330">
        <v>2043</v>
      </c>
      <c r="B269" s="344">
        <v>0</v>
      </c>
      <c r="C269" s="345">
        <v>0</v>
      </c>
      <c r="D269" s="345">
        <v>0</v>
      </c>
      <c r="E269" s="345">
        <v>0</v>
      </c>
      <c r="F269" s="345">
        <v>0</v>
      </c>
      <c r="G269" s="345">
        <v>1.2303737945254336E-4</v>
      </c>
      <c r="H269" s="345">
        <v>9.9095076137739515E-4</v>
      </c>
      <c r="I269" s="345">
        <v>6.8150709755260899E-3</v>
      </c>
      <c r="J269" s="345">
        <v>1.8939778394793647E-2</v>
      </c>
      <c r="K269" s="345">
        <v>3.5955158757888316E-2</v>
      </c>
      <c r="L269" s="380">
        <v>8.6775628374696434E-2</v>
      </c>
      <c r="M269" s="296">
        <f t="shared" si="122"/>
        <v>2.1247146901438711E-3</v>
      </c>
      <c r="N269" s="298">
        <f t="shared" si="123"/>
        <v>1.1729493542818863E-3</v>
      </c>
      <c r="O269" s="344">
        <v>0</v>
      </c>
      <c r="P269" s="345">
        <v>0</v>
      </c>
      <c r="Q269" s="345">
        <v>0</v>
      </c>
      <c r="R269" s="345">
        <v>0</v>
      </c>
      <c r="S269" s="345">
        <v>9.7690589830036691E-7</v>
      </c>
      <c r="T269" s="345">
        <v>2.2134790455541318E-5</v>
      </c>
      <c r="U269" s="345">
        <v>9.2050635167167466E-5</v>
      </c>
      <c r="V269" s="345">
        <v>2.8118001802914557E-4</v>
      </c>
      <c r="W269" s="345">
        <v>5.2821706341375904E-4</v>
      </c>
      <c r="X269" s="345">
        <v>8.4871826018539963E-4</v>
      </c>
      <c r="Y269" s="380">
        <v>1.3807542296988692E-3</v>
      </c>
      <c r="Z269" s="296">
        <f t="shared" si="124"/>
        <v>1.682699816345013E-4</v>
      </c>
      <c r="AA269" s="298">
        <f t="shared" si="125"/>
        <v>1.0871863979667132E-4</v>
      </c>
      <c r="AB269" s="949">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50">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7">
        <f t="shared" si="135"/>
        <v>0</v>
      </c>
      <c r="AE269" s="938">
        <f t="shared" si="132"/>
        <v>2.1247146901438711E-3</v>
      </c>
      <c r="AF269" s="938">
        <f t="shared" si="133"/>
        <v>1.682699816345013E-4</v>
      </c>
      <c r="AG269" s="938">
        <f t="shared" si="134"/>
        <v>2.2929846717783722E-3</v>
      </c>
      <c r="AH269" s="1173">
        <f t="shared" si="130"/>
        <v>0.92661530462652597</v>
      </c>
      <c r="AI269" s="938">
        <f t="shared" si="131"/>
        <v>7.3384695373474085E-2</v>
      </c>
    </row>
    <row r="270" spans="1:35" x14ac:dyDescent="0.2">
      <c r="A270" s="330">
        <v>2044</v>
      </c>
      <c r="B270" s="344">
        <v>0</v>
      </c>
      <c r="C270" s="345">
        <v>0</v>
      </c>
      <c r="D270" s="345">
        <v>0</v>
      </c>
      <c r="E270" s="345">
        <v>0</v>
      </c>
      <c r="F270" s="345">
        <v>1.9263307440302939E-4</v>
      </c>
      <c r="G270" s="345">
        <v>3.6714969278557647E-3</v>
      </c>
      <c r="H270" s="345">
        <v>1.2206382249513889E-2</v>
      </c>
      <c r="I270" s="345">
        <v>3.4149454153020106E-2</v>
      </c>
      <c r="J270" s="345">
        <v>5.9820426440833276E-2</v>
      </c>
      <c r="K270" s="345">
        <v>8.9717565305620126E-2</v>
      </c>
      <c r="L270" s="380">
        <v>0.14027294952913336</v>
      </c>
      <c r="M270" s="296">
        <f t="shared" si="122"/>
        <v>5.6329512591990691E-3</v>
      </c>
      <c r="N270" s="298">
        <f t="shared" si="123"/>
        <v>3.654653220703017E-3</v>
      </c>
      <c r="O270" s="344">
        <v>0</v>
      </c>
      <c r="P270" s="345">
        <v>0</v>
      </c>
      <c r="Q270" s="345">
        <v>0</v>
      </c>
      <c r="R270" s="345">
        <v>0</v>
      </c>
      <c r="S270" s="345">
        <v>3.0776864777712972E-5</v>
      </c>
      <c r="T270" s="345">
        <v>2.1342088736900277E-4</v>
      </c>
      <c r="U270" s="345">
        <v>4.7418841326103684E-4</v>
      </c>
      <c r="V270" s="345">
        <v>9.6306019154404827E-4</v>
      </c>
      <c r="W270" s="345">
        <v>1.4695883827953631E-3</v>
      </c>
      <c r="X270" s="345">
        <v>1.988983783372757E-3</v>
      </c>
      <c r="Y270" s="380">
        <v>2.7555801622888062E-3</v>
      </c>
      <c r="Z270" s="296">
        <f t="shared" si="124"/>
        <v>4.9911209312078844E-4</v>
      </c>
      <c r="AA270" s="298">
        <f t="shared" si="125"/>
        <v>3.5725426062175946E-4</v>
      </c>
      <c r="AB270" s="949">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50">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7">
        <f t="shared" si="135"/>
        <v>0</v>
      </c>
      <c r="AE270" s="938">
        <f t="shared" si="132"/>
        <v>5.6329512591990691E-3</v>
      </c>
      <c r="AF270" s="938">
        <f t="shared" si="133"/>
        <v>4.9911209312078844E-4</v>
      </c>
      <c r="AG270" s="938">
        <f t="shared" si="134"/>
        <v>6.1320633523198574E-3</v>
      </c>
      <c r="AH270" s="1173">
        <f t="shared" si="130"/>
        <v>0.91860617471736228</v>
      </c>
      <c r="AI270" s="938">
        <f t="shared" si="131"/>
        <v>8.139382528263775E-2</v>
      </c>
    </row>
    <row r="271" spans="1:35" ht="15" thickBot="1" x14ac:dyDescent="0.25">
      <c r="A271" s="328">
        <v>2045</v>
      </c>
      <c r="B271" s="346">
        <v>0</v>
      </c>
      <c r="C271" s="347">
        <v>0</v>
      </c>
      <c r="D271" s="347">
        <v>0</v>
      </c>
      <c r="E271" s="347">
        <v>1.2136190675471426E-4</v>
      </c>
      <c r="F271" s="347">
        <v>3.4177398519498197E-3</v>
      </c>
      <c r="G271" s="347">
        <v>1.8725153466956787E-2</v>
      </c>
      <c r="H271" s="347">
        <v>4.0121069884332276E-2</v>
      </c>
      <c r="I271" s="347">
        <v>7.4446712622993169E-2</v>
      </c>
      <c r="J271" s="347">
        <v>0.10685489119121989</v>
      </c>
      <c r="K271" s="347">
        <v>0.13736841758647295</v>
      </c>
      <c r="L271" s="381">
        <v>0.18402748332723456</v>
      </c>
      <c r="M271" s="310">
        <f t="shared" si="122"/>
        <v>1.1140809424229127E-2</v>
      </c>
      <c r="N271" s="312">
        <f t="shared" si="123"/>
        <v>8.0236161173981666E-3</v>
      </c>
      <c r="O271" s="346">
        <v>0</v>
      </c>
      <c r="P271" s="347">
        <v>0</v>
      </c>
      <c r="Q271" s="347">
        <v>0</v>
      </c>
      <c r="R271" s="347">
        <v>2.4534481962980941E-5</v>
      </c>
      <c r="S271" s="347">
        <v>3.2755154711085709E-4</v>
      </c>
      <c r="T271" s="347">
        <v>1.1023882496881982E-3</v>
      </c>
      <c r="U271" s="347">
        <v>1.7819174065077329E-3</v>
      </c>
      <c r="V271" s="347">
        <v>2.8891244326369673E-3</v>
      </c>
      <c r="W271" s="347">
        <v>3.8819321602117794E-3</v>
      </c>
      <c r="X271" s="347">
        <v>4.6170894448931384E-3</v>
      </c>
      <c r="Y271" s="381">
        <v>5.7077025571115421E-3</v>
      </c>
      <c r="Z271" s="310">
        <f t="shared" si="124"/>
        <v>1.4945842138880617E-3</v>
      </c>
      <c r="AA271" s="312">
        <f t="shared" si="125"/>
        <v>1.1543589803476872E-3</v>
      </c>
      <c r="AB271" s="949">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50">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7">
        <f t="shared" si="135"/>
        <v>0</v>
      </c>
      <c r="AE271" s="938">
        <f t="shared" si="132"/>
        <v>1.1140809424229127E-2</v>
      </c>
      <c r="AF271" s="938">
        <f t="shared" si="133"/>
        <v>1.4945842138880617E-3</v>
      </c>
      <c r="AG271" s="938">
        <f t="shared" si="134"/>
        <v>1.2635393638117189E-2</v>
      </c>
      <c r="AH271" s="1173">
        <f t="shared" si="130"/>
        <v>0.88171447153182869</v>
      </c>
      <c r="AI271" s="938">
        <f t="shared" si="131"/>
        <v>0.11828552846817134</v>
      </c>
    </row>
    <row r="272" spans="1:35" x14ac:dyDescent="0.2">
      <c r="A272" s="329">
        <v>2046</v>
      </c>
      <c r="B272" s="342">
        <v>0</v>
      </c>
      <c r="C272" s="343">
        <v>0</v>
      </c>
      <c r="D272" s="343">
        <v>0</v>
      </c>
      <c r="E272" s="343">
        <v>7.6616373694992203E-4</v>
      </c>
      <c r="F272" s="343">
        <v>1.0872141136378998E-2</v>
      </c>
      <c r="G272" s="343">
        <v>3.8637925699259973E-2</v>
      </c>
      <c r="H272" s="343">
        <v>6.6368858296650277E-2</v>
      </c>
      <c r="I272" s="343">
        <v>0.10450239347775467</v>
      </c>
      <c r="J272" s="343">
        <v>0.14175398639812173</v>
      </c>
      <c r="K272" s="343">
        <v>0.16618579519029361</v>
      </c>
      <c r="L272" s="379">
        <v>0.20491203747826184</v>
      </c>
      <c r="M272" s="282">
        <f t="shared" si="122"/>
        <v>1.5856161648953468E-2</v>
      </c>
      <c r="N272" s="284">
        <f t="shared" si="123"/>
        <v>1.2022673532856753E-2</v>
      </c>
      <c r="O272" s="342">
        <v>0</v>
      </c>
      <c r="P272" s="343">
        <v>0</v>
      </c>
      <c r="Q272" s="343">
        <v>0</v>
      </c>
      <c r="R272" s="343">
        <v>1.4368132118528447E-4</v>
      </c>
      <c r="S272" s="343">
        <v>1.0962078283272315E-3</v>
      </c>
      <c r="T272" s="343">
        <v>2.6341782189441094E-3</v>
      </c>
      <c r="U272" s="343">
        <v>4.0427950478970423E-3</v>
      </c>
      <c r="V272" s="343">
        <v>5.7967352693137093E-3</v>
      </c>
      <c r="W272" s="343">
        <v>7.1055607035218765E-3</v>
      </c>
      <c r="X272" s="343">
        <v>8.3148102348198603E-3</v>
      </c>
      <c r="Y272" s="379">
        <v>1.0048798322798945E-2</v>
      </c>
      <c r="Z272" s="282">
        <f t="shared" si="124"/>
        <v>3.102249907849399E-3</v>
      </c>
      <c r="AA272" s="284">
        <f t="shared" si="125"/>
        <v>2.474789098345071E-3</v>
      </c>
      <c r="AB272" s="949">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50">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7">
        <f t="shared" si="135"/>
        <v>0</v>
      </c>
      <c r="AE272" s="938">
        <f t="shared" si="132"/>
        <v>1.5856161648953468E-2</v>
      </c>
      <c r="AF272" s="938">
        <f t="shared" si="133"/>
        <v>3.102249907849399E-3</v>
      </c>
      <c r="AG272" s="938">
        <f t="shared" si="134"/>
        <v>1.8958411556802866E-2</v>
      </c>
      <c r="AH272" s="1173">
        <f t="shared" si="130"/>
        <v>0.83636551519337521</v>
      </c>
      <c r="AI272" s="938">
        <f t="shared" si="131"/>
        <v>0.16363448480662482</v>
      </c>
    </row>
    <row r="273" spans="1:43" x14ac:dyDescent="0.2">
      <c r="A273" s="330">
        <v>2047</v>
      </c>
      <c r="B273" s="344">
        <v>0</v>
      </c>
      <c r="C273" s="345">
        <v>0</v>
      </c>
      <c r="D273" s="345">
        <v>0</v>
      </c>
      <c r="E273" s="345">
        <v>4.029910048643978E-3</v>
      </c>
      <c r="F273" s="345">
        <v>2.6468646545276867E-2</v>
      </c>
      <c r="G273" s="345">
        <v>6.3022367628093115E-2</v>
      </c>
      <c r="H273" s="345">
        <v>0.10099371423071307</v>
      </c>
      <c r="I273" s="345">
        <v>0.13999717574399076</v>
      </c>
      <c r="J273" s="345">
        <v>0.17139216731948015</v>
      </c>
      <c r="K273" s="345">
        <v>0.19794652432455645</v>
      </c>
      <c r="L273" s="380">
        <v>0.22573095605008855</v>
      </c>
      <c r="M273" s="296">
        <f t="shared" si="122"/>
        <v>2.1798112094633601E-2</v>
      </c>
      <c r="N273" s="298">
        <f t="shared" si="123"/>
        <v>1.7262765750049546E-2</v>
      </c>
      <c r="O273" s="344">
        <v>0</v>
      </c>
      <c r="P273" s="345">
        <v>0</v>
      </c>
      <c r="Q273" s="345">
        <v>1.77037119835796E-5</v>
      </c>
      <c r="R273" s="345">
        <v>6.9319186672828486E-4</v>
      </c>
      <c r="S273" s="345">
        <v>2.9373615917459607E-3</v>
      </c>
      <c r="T273" s="345">
        <v>5.8782567915871562E-3</v>
      </c>
      <c r="U273" s="345">
        <v>8.4670199651202781E-3</v>
      </c>
      <c r="V273" s="345">
        <v>1.0955673854622667E-2</v>
      </c>
      <c r="W273" s="345">
        <v>1.3107194311673571E-2</v>
      </c>
      <c r="X273" s="345">
        <v>1.4958794575109662E-2</v>
      </c>
      <c r="Y273" s="380">
        <v>1.6854933327604942E-2</v>
      </c>
      <c r="Z273" s="296">
        <f t="shared" si="124"/>
        <v>6.1665692060344848E-3</v>
      </c>
      <c r="AA273" s="298">
        <f t="shared" si="125"/>
        <v>5.0566541803216273E-3</v>
      </c>
      <c r="AB273" s="949">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50">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7">
        <f t="shared" si="135"/>
        <v>0</v>
      </c>
      <c r="AE273" s="938">
        <f t="shared" si="132"/>
        <v>2.1798112094633601E-2</v>
      </c>
      <c r="AF273" s="938">
        <f t="shared" si="133"/>
        <v>6.1665692060344848E-3</v>
      </c>
      <c r="AG273" s="938">
        <f t="shared" si="134"/>
        <v>2.7964681300668086E-2</v>
      </c>
      <c r="AH273" s="1173">
        <f t="shared" si="130"/>
        <v>0.77948723463953218</v>
      </c>
      <c r="AI273" s="938">
        <f t="shared" si="131"/>
        <v>0.22051276536046785</v>
      </c>
    </row>
    <row r="274" spans="1:43" x14ac:dyDescent="0.2">
      <c r="A274" s="330">
        <v>2048</v>
      </c>
      <c r="B274" s="344">
        <v>0</v>
      </c>
      <c r="C274" s="345">
        <v>0</v>
      </c>
      <c r="D274" s="345">
        <v>1.1581242640349426E-4</v>
      </c>
      <c r="E274" s="345">
        <v>1.2745659727887529E-2</v>
      </c>
      <c r="F274" s="345">
        <v>5.0864330185871776E-2</v>
      </c>
      <c r="G274" s="345">
        <v>9.5922147032994023E-2</v>
      </c>
      <c r="H274" s="345">
        <v>0.13194738201808157</v>
      </c>
      <c r="I274" s="345">
        <v>0.17029882561843498</v>
      </c>
      <c r="J274" s="345">
        <v>0.20422536785655654</v>
      </c>
      <c r="K274" s="345">
        <v>0.22011273713395443</v>
      </c>
      <c r="L274" s="380">
        <v>0.24611354691142343</v>
      </c>
      <c r="M274" s="296">
        <f t="shared" si="122"/>
        <v>2.79069383095806E-2</v>
      </c>
      <c r="N274" s="298">
        <f t="shared" si="123"/>
        <v>2.2897055324269354E-2</v>
      </c>
      <c r="O274" s="344">
        <v>0</v>
      </c>
      <c r="P274" s="345">
        <v>0</v>
      </c>
      <c r="Q274" s="345">
        <v>1.2494257001650479E-4</v>
      </c>
      <c r="R274" s="345">
        <v>2.0196561891480764E-3</v>
      </c>
      <c r="S274" s="345">
        <v>5.7398711379640401E-3</v>
      </c>
      <c r="T274" s="345">
        <v>9.7905943928451034E-3</v>
      </c>
      <c r="U274" s="345">
        <v>1.2415447194383518E-2</v>
      </c>
      <c r="V274" s="345">
        <v>1.6496554865514539E-2</v>
      </c>
      <c r="W274" s="345">
        <v>1.9033227134005341E-2</v>
      </c>
      <c r="X274" s="345">
        <v>2.0384860241691311E-2</v>
      </c>
      <c r="Y274" s="380">
        <v>2.255991891388736E-2</v>
      </c>
      <c r="Z274" s="296">
        <f t="shared" si="124"/>
        <v>9.283767541365456E-3</v>
      </c>
      <c r="AA274" s="298">
        <f t="shared" si="125"/>
        <v>7.7797026774381718E-3</v>
      </c>
      <c r="AB274" s="949">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50">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7">
        <f t="shared" si="135"/>
        <v>0</v>
      </c>
      <c r="AE274" s="938">
        <f t="shared" si="132"/>
        <v>2.79069383095806E-2</v>
      </c>
      <c r="AF274" s="938">
        <f t="shared" si="133"/>
        <v>9.283767541365456E-3</v>
      </c>
      <c r="AG274" s="938">
        <f t="shared" si="134"/>
        <v>3.7190705850946054E-2</v>
      </c>
      <c r="AH274" s="1173">
        <f t="shared" si="130"/>
        <v>0.75037398917425235</v>
      </c>
      <c r="AI274" s="938">
        <f t="shared" si="131"/>
        <v>0.24962601082574765</v>
      </c>
    </row>
    <row r="275" spans="1:43" x14ac:dyDescent="0.2">
      <c r="A275" s="330">
        <v>2049</v>
      </c>
      <c r="B275" s="344">
        <v>0</v>
      </c>
      <c r="C275" s="345">
        <v>0</v>
      </c>
      <c r="D275" s="345">
        <v>1.0717322124424902E-3</v>
      </c>
      <c r="E275" s="345">
        <v>3.0214034863612304E-2</v>
      </c>
      <c r="F275" s="345">
        <v>8.0989935049521081E-2</v>
      </c>
      <c r="G275" s="345">
        <v>0.12362822423281533</v>
      </c>
      <c r="H275" s="345">
        <v>0.15299058236064825</v>
      </c>
      <c r="I275" s="345">
        <v>0.20147075623759073</v>
      </c>
      <c r="J275" s="345">
        <v>0.22658623069968462</v>
      </c>
      <c r="K275" s="345">
        <v>0.24171614739869501</v>
      </c>
      <c r="L275" s="380">
        <v>0.26489445004564516</v>
      </c>
      <c r="M275" s="296">
        <f t="shared" si="122"/>
        <v>3.3364650190621528E-2</v>
      </c>
      <c r="N275" s="298">
        <f t="shared" si="123"/>
        <v>2.8152052404616379E-2</v>
      </c>
      <c r="O275" s="344">
        <v>0</v>
      </c>
      <c r="P275" s="345">
        <v>0</v>
      </c>
      <c r="Q275" s="345">
        <v>7.4843118318364786E-4</v>
      </c>
      <c r="R275" s="345">
        <v>5.0811129212183608E-3</v>
      </c>
      <c r="S275" s="345">
        <v>1.1643438155537344E-2</v>
      </c>
      <c r="T275" s="345">
        <v>1.772967648478057E-2</v>
      </c>
      <c r="U275" s="345">
        <v>2.0430290481715772E-2</v>
      </c>
      <c r="V275" s="345">
        <v>2.6782367191934244E-2</v>
      </c>
      <c r="W275" s="345">
        <v>3.0355228718247102E-2</v>
      </c>
      <c r="X275" s="345">
        <v>3.2124090608689704E-2</v>
      </c>
      <c r="Y275" s="380">
        <v>3.4007235644022589E-2</v>
      </c>
      <c r="Z275" s="296">
        <f t="shared" si="124"/>
        <v>1.5553318362078202E-2</v>
      </c>
      <c r="AA275" s="298">
        <f t="shared" si="125"/>
        <v>1.328808317195212E-2</v>
      </c>
      <c r="AB275" s="949">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50">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7">
        <f t="shared" si="135"/>
        <v>0</v>
      </c>
      <c r="AE275" s="938">
        <f t="shared" si="132"/>
        <v>3.3364650190621528E-2</v>
      </c>
      <c r="AF275" s="938">
        <f t="shared" si="133"/>
        <v>1.5553318362078202E-2</v>
      </c>
      <c r="AG275" s="938">
        <f t="shared" si="134"/>
        <v>4.8917968552699732E-2</v>
      </c>
      <c r="AH275" s="1173">
        <f t="shared" si="130"/>
        <v>0.68205306102761631</v>
      </c>
      <c r="AI275" s="938">
        <f t="shared" si="131"/>
        <v>0.31794693897238363</v>
      </c>
    </row>
    <row r="276" spans="1:43" ht="15" thickBot="1" x14ac:dyDescent="0.25">
      <c r="A276" s="328">
        <v>2050</v>
      </c>
      <c r="B276" s="346">
        <v>0</v>
      </c>
      <c r="C276" s="347">
        <v>0</v>
      </c>
      <c r="D276" s="347">
        <v>5.3281453195146529E-3</v>
      </c>
      <c r="E276" s="347">
        <v>5.3656039957318304E-2</v>
      </c>
      <c r="F276" s="347">
        <v>0.10360978422139897</v>
      </c>
      <c r="G276" s="347">
        <v>0.14825352453084151</v>
      </c>
      <c r="H276" s="347">
        <v>0.1679297624041865</v>
      </c>
      <c r="I276" s="347">
        <v>0.2312754947906035</v>
      </c>
      <c r="J276" s="347">
        <v>0.2474524860700977</v>
      </c>
      <c r="K276" s="347">
        <v>0.26136703462579547</v>
      </c>
      <c r="L276" s="381">
        <v>0.2763057319057397</v>
      </c>
      <c r="M276" s="310">
        <f t="shared" si="122"/>
        <v>3.7951556783467184E-2</v>
      </c>
      <c r="N276" s="312">
        <f t="shared" si="123"/>
        <v>3.2680976120385993E-2</v>
      </c>
      <c r="O276" s="346">
        <v>0</v>
      </c>
      <c r="P276" s="347">
        <v>0</v>
      </c>
      <c r="Q276" s="347">
        <v>2.5860811264753121E-3</v>
      </c>
      <c r="R276" s="347">
        <v>1.0277837640125596E-2</v>
      </c>
      <c r="S276" s="347">
        <v>1.7335345784011587E-2</v>
      </c>
      <c r="T276" s="347">
        <v>2.3324717345457983E-2</v>
      </c>
      <c r="U276" s="347">
        <v>2.6425005544455839E-2</v>
      </c>
      <c r="V276" s="347">
        <v>3.6908103114336017E-2</v>
      </c>
      <c r="W276" s="347">
        <v>3.9486103563904487E-2</v>
      </c>
      <c r="X276" s="347">
        <v>4.0134816226338653E-2</v>
      </c>
      <c r="Y276" s="381">
        <v>4.2968609200231996E-2</v>
      </c>
      <c r="Z276" s="310">
        <f t="shared" si="124"/>
        <v>2.0654409195251754E-2</v>
      </c>
      <c r="AA276" s="312">
        <f t="shared" si="125"/>
        <v>1.7865496031376084E-2</v>
      </c>
      <c r="AB276" s="951">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2">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8">
        <f t="shared" si="135"/>
        <v>0</v>
      </c>
      <c r="AE276" s="938">
        <f t="shared" si="132"/>
        <v>3.7951556783467184E-2</v>
      </c>
      <c r="AF276" s="938">
        <f t="shared" si="133"/>
        <v>2.0654409195251754E-2</v>
      </c>
      <c r="AG276" s="938">
        <f t="shared" si="134"/>
        <v>5.8605965978718935E-2</v>
      </c>
      <c r="AH276" s="1173">
        <f t="shared" si="130"/>
        <v>0.64757155947652489</v>
      </c>
      <c r="AI276" s="938">
        <f t="shared" si="131"/>
        <v>0.35242844052347516</v>
      </c>
    </row>
    <row r="277" spans="1:43" x14ac:dyDescent="0.2">
      <c r="B277" s="227" t="str">
        <f>B$120</f>
        <v>Output generated: 7/21/2020 15:48</v>
      </c>
      <c r="U277" s="227" t="str">
        <f>U$120</f>
        <v>Output generated: 7/21/2020 15:48</v>
      </c>
      <c r="AE277" s="938"/>
      <c r="AF277" s="938"/>
      <c r="AG277" s="938"/>
      <c r="AH277" s="938"/>
      <c r="AI277" s="938"/>
    </row>
    <row r="278" spans="1:43" x14ac:dyDescent="0.2">
      <c r="AE278" s="938"/>
      <c r="AF278" s="938"/>
      <c r="AG278" s="938"/>
      <c r="AH278" s="938"/>
      <c r="AI278" s="938"/>
    </row>
    <row r="279" spans="1:43" ht="15" thickBot="1" x14ac:dyDescent="0.25">
      <c r="AE279" s="938"/>
      <c r="AF279" s="938"/>
      <c r="AG279" s="938"/>
      <c r="AH279" s="938"/>
      <c r="AI279" s="938"/>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8"/>
      <c r="AF280" s="938"/>
      <c r="AG280" s="938"/>
      <c r="AH280" s="938"/>
      <c r="AI280" s="938"/>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8"/>
      <c r="AF281" s="938"/>
      <c r="AG281" s="938"/>
      <c r="AH281" s="938"/>
      <c r="AI281" s="938"/>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4" t="s">
        <v>267</v>
      </c>
      <c r="AD282" s="234" t="b">
        <f>INDEX(TECH_OPT_FUEL2_Cls1,MATCH(RIGHT(O280),TECH_OPT_ROWS_Cls1,0))&lt;&gt;"N/A"</f>
        <v>0</v>
      </c>
      <c r="AE282" s="938"/>
      <c r="AF282" s="938"/>
      <c r="AG282" s="938"/>
      <c r="AH282" s="938"/>
      <c r="AI282" s="938"/>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7"/>
      <c r="AC283" s="904" t="s">
        <v>268</v>
      </c>
      <c r="AD283" s="234">
        <f>MATCH(RIGHT(O280),TECH_OPT_ROWS_Cls1,0)</f>
        <v>6</v>
      </c>
      <c r="AE283" s="938"/>
      <c r="AF283" s="938"/>
      <c r="AG283" s="938"/>
      <c r="AH283" s="938"/>
      <c r="AI283" s="938"/>
    </row>
    <row r="284" spans="1:43" x14ac:dyDescent="0.2">
      <c r="A284" s="331" t="s">
        <v>125</v>
      </c>
      <c r="B284" s="939">
        <f t="array" ref="B284:L284">TRANSPOSE(Cls1CentVMTShr)</f>
        <v>8.9762242961142352E-4</v>
      </c>
      <c r="C284" s="940">
        <v>1.2044238150123706E-3</v>
      </c>
      <c r="D284" s="940">
        <v>4.1499109643594731E-3</v>
      </c>
      <c r="E284" s="940">
        <v>1.9575808105519295E-2</v>
      </c>
      <c r="F284" s="940">
        <v>3.4523467949689302E-2</v>
      </c>
      <c r="G284" s="940">
        <v>2.7311948935134379E-2</v>
      </c>
      <c r="H284" s="940">
        <v>7.6478458482655817E-2</v>
      </c>
      <c r="I284" s="940">
        <v>3.2480526319280681E-2</v>
      </c>
      <c r="J284" s="940">
        <v>1.1772940427842455E-2</v>
      </c>
      <c r="K284" s="940">
        <v>6.0339283082965706E-3</v>
      </c>
      <c r="L284" s="941">
        <v>1.5952440951210019E-2</v>
      </c>
      <c r="M284" s="388"/>
      <c r="N284" s="334"/>
      <c r="O284" s="939">
        <f t="array" ref="O284:Y284">TRANSPOSE(Cls1NCentVMTShr)</f>
        <v>1.3589913425833078E-3</v>
      </c>
      <c r="P284" s="940">
        <v>5.8692629772239642E-3</v>
      </c>
      <c r="Q284" s="940">
        <v>1.2100393581509007E-2</v>
      </c>
      <c r="R284" s="940">
        <v>3.6555003327388577E-2</v>
      </c>
      <c r="S284" s="940">
        <v>8.3148735051829181E-2</v>
      </c>
      <c r="T284" s="940">
        <v>0.18151138394047112</v>
      </c>
      <c r="U284" s="940">
        <v>0.2383386372324876</v>
      </c>
      <c r="V284" s="940">
        <v>9.5602564448196578E-2</v>
      </c>
      <c r="W284" s="940">
        <v>2.9193025028929166E-2</v>
      </c>
      <c r="X284" s="940">
        <v>3.5209492159336005E-2</v>
      </c>
      <c r="Y284" s="941">
        <v>5.0731034221433824E-2</v>
      </c>
      <c r="Z284" s="388"/>
      <c r="AA284" s="334"/>
      <c r="AB284" s="1550" t="str">
        <f>"% of miles on f2 for Tech "&amp; RIGHT(O280)&amp;" adopters"</f>
        <v>% of miles on f2 for Tech E adopters</v>
      </c>
      <c r="AC284" s="1551"/>
      <c r="AD284" s="1552"/>
      <c r="AE284" s="938" t="s">
        <v>300</v>
      </c>
      <c r="AF284" s="938"/>
      <c r="AG284" s="938"/>
      <c r="AH284" s="1173" t="s">
        <v>311</v>
      </c>
      <c r="AI284" s="938"/>
    </row>
    <row r="285" spans="1:43" s="945" customFormat="1" ht="15" thickBot="1" x14ac:dyDescent="0.25">
      <c r="A285" s="943" t="s">
        <v>266</v>
      </c>
      <c r="B285" s="934">
        <f t="array" ref="B285:L285">TRANSPOSE(Cls1CentVMT/OPDAYS_Cls1)</f>
        <v>51.642967609234425</v>
      </c>
      <c r="C285" s="935">
        <v>110.97733417848234</v>
      </c>
      <c r="D285" s="935">
        <v>204.40224583551472</v>
      </c>
      <c r="E285" s="935">
        <v>290.24610572847212</v>
      </c>
      <c r="F285" s="935">
        <v>364.75750419264841</v>
      </c>
      <c r="G285" s="935">
        <v>443.63126889109378</v>
      </c>
      <c r="H285" s="935">
        <v>506.78134229373978</v>
      </c>
      <c r="I285" s="935">
        <v>595.71283413609137</v>
      </c>
      <c r="J285" s="935">
        <v>682.23089916089702</v>
      </c>
      <c r="K285" s="935">
        <v>765.26438827532684</v>
      </c>
      <c r="L285" s="936">
        <v>970.27871027310334</v>
      </c>
      <c r="M285" s="932"/>
      <c r="N285" s="933"/>
      <c r="O285" s="934">
        <f t="array" ref="O285:Y285">TRANSPOSE(Cls1NCentVMT/OPDAYS_Cls1)</f>
        <v>47.924548633512046</v>
      </c>
      <c r="P285" s="935">
        <v>112.56389213862748</v>
      </c>
      <c r="Q285" s="935">
        <v>214.67280220238027</v>
      </c>
      <c r="R285" s="935">
        <v>288.30186744262801</v>
      </c>
      <c r="S285" s="935">
        <v>368.60089210549245</v>
      </c>
      <c r="T285" s="935">
        <v>447.31558789932524</v>
      </c>
      <c r="U285" s="935">
        <v>511.28831950097862</v>
      </c>
      <c r="V285" s="935">
        <v>595.73726658362273</v>
      </c>
      <c r="W285" s="935">
        <v>672.11099195240695</v>
      </c>
      <c r="X285" s="935">
        <v>757.0793017898726</v>
      </c>
      <c r="Y285" s="936">
        <v>896.16800791754974</v>
      </c>
      <c r="Z285" s="944"/>
      <c r="AA285" s="933"/>
      <c r="AB285" s="946" t="s">
        <v>186</v>
      </c>
      <c r="AC285" s="947" t="s">
        <v>15</v>
      </c>
      <c r="AD285" s="948" t="s">
        <v>18</v>
      </c>
      <c r="AE285" s="938" t="s">
        <v>186</v>
      </c>
      <c r="AF285" s="938" t="s">
        <v>15</v>
      </c>
      <c r="AG285" s="938" t="s">
        <v>18</v>
      </c>
      <c r="AH285" s="1173" t="s">
        <v>186</v>
      </c>
      <c r="AI285" s="938" t="s">
        <v>15</v>
      </c>
      <c r="AJ285" s="323"/>
      <c r="AK285" s="323"/>
      <c r="AL285" s="323"/>
      <c r="AM285" s="323"/>
      <c r="AN285" s="227"/>
      <c r="AO285" s="227"/>
      <c r="AP285" s="227"/>
      <c r="AQ285" s="227"/>
    </row>
    <row r="286" spans="1:43" ht="15" thickTop="1" x14ac:dyDescent="0.2">
      <c r="A286" s="942">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9">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50">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7">
        <f t="shared" ref="AD286:AD311" si="140">AB286*AH286+AC286*AI286</f>
        <v>0</v>
      </c>
      <c r="AE286" s="938">
        <f t="shared" ref="AE286:AE300" si="141">SUMPRODUCT($B$74:$L$74,B286:L286)</f>
        <v>0</v>
      </c>
      <c r="AF286" s="938">
        <f t="shared" ref="AF286:AF300" si="142">SUMPRODUCT($O$74:$Y$74,O286:Y286)</f>
        <v>0</v>
      </c>
      <c r="AG286" s="938">
        <f t="shared" ref="AG286:AG300" si="143">SUM(AE286:AF286)</f>
        <v>0</v>
      </c>
      <c r="AH286" s="1173">
        <f>IF(AG286&gt;0,AE286/AG286,0)</f>
        <v>0</v>
      </c>
      <c r="AI286" s="938">
        <f>IF(AG286&gt;0,AF286/AG286,0)</f>
        <v>0</v>
      </c>
      <c r="AJ286" s="945"/>
      <c r="AK286" s="945"/>
      <c r="AL286" s="945"/>
      <c r="AM286" s="945"/>
      <c r="AN286" s="945"/>
      <c r="AO286" s="945"/>
      <c r="AP286" s="945"/>
      <c r="AQ286" s="945"/>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9">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50">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7">
        <f t="shared" si="140"/>
        <v>0</v>
      </c>
      <c r="AE287" s="938">
        <f t="shared" si="141"/>
        <v>0</v>
      </c>
      <c r="AF287" s="938">
        <f t="shared" si="142"/>
        <v>0</v>
      </c>
      <c r="AG287" s="938">
        <f t="shared" si="143"/>
        <v>0</v>
      </c>
      <c r="AH287" s="1173">
        <f t="shared" ref="AH287:AH329" si="144">IF(AG287&gt;0,AE287/AG287,0)</f>
        <v>0</v>
      </c>
      <c r="AI287" s="938">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9">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50">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7">
        <f t="shared" si="140"/>
        <v>0</v>
      </c>
      <c r="AE288" s="938">
        <f t="shared" si="141"/>
        <v>0</v>
      </c>
      <c r="AF288" s="938">
        <f t="shared" si="142"/>
        <v>0</v>
      </c>
      <c r="AG288" s="938">
        <f t="shared" si="143"/>
        <v>0</v>
      </c>
      <c r="AH288" s="1173">
        <f t="shared" si="144"/>
        <v>0</v>
      </c>
      <c r="AI288" s="938">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9">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50">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7">
        <f t="shared" si="140"/>
        <v>0</v>
      </c>
      <c r="AE289" s="938">
        <f t="shared" si="141"/>
        <v>0</v>
      </c>
      <c r="AF289" s="938">
        <f t="shared" si="142"/>
        <v>0</v>
      </c>
      <c r="AG289" s="938">
        <f t="shared" si="143"/>
        <v>0</v>
      </c>
      <c r="AH289" s="1173">
        <f t="shared" si="144"/>
        <v>0</v>
      </c>
      <c r="AI289" s="938">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9">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50">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7">
        <f t="shared" si="140"/>
        <v>0</v>
      </c>
      <c r="AE290" s="938">
        <f t="shared" si="141"/>
        <v>0</v>
      </c>
      <c r="AF290" s="938">
        <f t="shared" si="142"/>
        <v>0</v>
      </c>
      <c r="AG290" s="938">
        <f t="shared" si="143"/>
        <v>0</v>
      </c>
      <c r="AH290" s="1173">
        <f t="shared" si="144"/>
        <v>0</v>
      </c>
      <c r="AI290" s="938">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9">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50">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7">
        <f t="shared" si="140"/>
        <v>0</v>
      </c>
      <c r="AE291" s="938">
        <f t="shared" si="141"/>
        <v>0</v>
      </c>
      <c r="AF291" s="938">
        <f t="shared" si="142"/>
        <v>0</v>
      </c>
      <c r="AG291" s="938">
        <f t="shared" si="143"/>
        <v>0</v>
      </c>
      <c r="AH291" s="1173">
        <f t="shared" si="144"/>
        <v>0</v>
      </c>
      <c r="AI291" s="938">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9">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50">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7">
        <f t="shared" si="140"/>
        <v>0</v>
      </c>
      <c r="AE292" s="938">
        <f t="shared" si="141"/>
        <v>0</v>
      </c>
      <c r="AF292" s="938">
        <f t="shared" si="142"/>
        <v>0</v>
      </c>
      <c r="AG292" s="938">
        <f t="shared" si="143"/>
        <v>0</v>
      </c>
      <c r="AH292" s="1173">
        <f t="shared" si="144"/>
        <v>0</v>
      </c>
      <c r="AI292" s="938">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9">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50">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7">
        <f t="shared" si="140"/>
        <v>0</v>
      </c>
      <c r="AE293" s="938">
        <f t="shared" si="141"/>
        <v>0</v>
      </c>
      <c r="AF293" s="938">
        <f t="shared" si="142"/>
        <v>0</v>
      </c>
      <c r="AG293" s="938">
        <f t="shared" si="143"/>
        <v>0</v>
      </c>
      <c r="AH293" s="1173">
        <f t="shared" si="144"/>
        <v>0</v>
      </c>
      <c r="AI293" s="938">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9">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50">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7">
        <f t="shared" si="140"/>
        <v>0</v>
      </c>
      <c r="AE294" s="938">
        <f t="shared" si="141"/>
        <v>0</v>
      </c>
      <c r="AF294" s="938">
        <f t="shared" si="142"/>
        <v>0</v>
      </c>
      <c r="AG294" s="938">
        <f t="shared" si="143"/>
        <v>0</v>
      </c>
      <c r="AH294" s="1173">
        <f t="shared" si="144"/>
        <v>0</v>
      </c>
      <c r="AI294" s="938">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9">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50">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7">
        <f t="shared" si="140"/>
        <v>0</v>
      </c>
      <c r="AE295" s="938">
        <f t="shared" si="141"/>
        <v>0</v>
      </c>
      <c r="AF295" s="938">
        <f t="shared" si="142"/>
        <v>0</v>
      </c>
      <c r="AG295" s="938">
        <f t="shared" si="143"/>
        <v>0</v>
      </c>
      <c r="AH295" s="1173">
        <f t="shared" si="144"/>
        <v>0</v>
      </c>
      <c r="AI295" s="938">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9">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50">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7">
        <f t="shared" si="140"/>
        <v>0</v>
      </c>
      <c r="AE296" s="938">
        <f t="shared" si="141"/>
        <v>0</v>
      </c>
      <c r="AF296" s="938">
        <f t="shared" si="142"/>
        <v>0</v>
      </c>
      <c r="AG296" s="938">
        <f t="shared" si="143"/>
        <v>0</v>
      </c>
      <c r="AH296" s="1173">
        <f t="shared" si="144"/>
        <v>0</v>
      </c>
      <c r="AI296" s="938">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9">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50">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7">
        <f t="shared" si="140"/>
        <v>0</v>
      </c>
      <c r="AE297" s="938">
        <f t="shared" si="141"/>
        <v>0</v>
      </c>
      <c r="AF297" s="938">
        <f t="shared" si="142"/>
        <v>0</v>
      </c>
      <c r="AG297" s="938">
        <f t="shared" si="143"/>
        <v>0</v>
      </c>
      <c r="AH297" s="1173">
        <f t="shared" si="144"/>
        <v>0</v>
      </c>
      <c r="AI297" s="938">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9">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50">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7">
        <f t="shared" si="140"/>
        <v>0</v>
      </c>
      <c r="AE298" s="938">
        <f t="shared" si="141"/>
        <v>0</v>
      </c>
      <c r="AF298" s="938">
        <f t="shared" si="142"/>
        <v>0</v>
      </c>
      <c r="AG298" s="938">
        <f t="shared" si="143"/>
        <v>0</v>
      </c>
      <c r="AH298" s="1173">
        <f t="shared" si="144"/>
        <v>0</v>
      </c>
      <c r="AI298" s="938">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9">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50">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7">
        <f t="shared" si="140"/>
        <v>0</v>
      </c>
      <c r="AE299" s="938">
        <f t="shared" si="141"/>
        <v>0</v>
      </c>
      <c r="AF299" s="938">
        <f t="shared" si="142"/>
        <v>0</v>
      </c>
      <c r="AG299" s="938">
        <f t="shared" si="143"/>
        <v>0</v>
      </c>
      <c r="AH299" s="1173">
        <f t="shared" si="144"/>
        <v>0</v>
      </c>
      <c r="AI299" s="938">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9">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50">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7">
        <f t="shared" si="140"/>
        <v>0</v>
      </c>
      <c r="AE300" s="938">
        <f t="shared" si="141"/>
        <v>0</v>
      </c>
      <c r="AF300" s="938">
        <f t="shared" si="142"/>
        <v>0</v>
      </c>
      <c r="AG300" s="938">
        <f t="shared" si="143"/>
        <v>0</v>
      </c>
      <c r="AH300" s="1173">
        <f t="shared" si="144"/>
        <v>0</v>
      </c>
      <c r="AI300" s="938">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9">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50">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7">
        <f t="shared" si="140"/>
        <v>0</v>
      </c>
      <c r="AE301" s="938">
        <f>SUMPRODUCT($B$74:$L$74,B301:L301)</f>
        <v>0</v>
      </c>
      <c r="AF301" s="938">
        <f>SUMPRODUCT($O$74:$Y$74,O301:Y301)</f>
        <v>0</v>
      </c>
      <c r="AG301" s="938">
        <f>SUM(AE301:AF301)</f>
        <v>0</v>
      </c>
      <c r="AH301" s="1173">
        <f t="shared" si="144"/>
        <v>0</v>
      </c>
      <c r="AI301" s="938">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9">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50">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7">
        <f t="shared" si="140"/>
        <v>0</v>
      </c>
      <c r="AE302" s="938">
        <f t="shared" ref="AE302:AE329" si="146">SUMPRODUCT($B$74:$L$74,B302:L302)</f>
        <v>0</v>
      </c>
      <c r="AF302" s="938">
        <f t="shared" ref="AF302:AF329" si="147">SUMPRODUCT($O$74:$Y$74,O302:Y302)</f>
        <v>0</v>
      </c>
      <c r="AG302" s="938">
        <f t="shared" ref="AG302:AG329" si="148">SUM(AE302:AF302)</f>
        <v>0</v>
      </c>
      <c r="AH302" s="1173">
        <f t="shared" si="144"/>
        <v>0</v>
      </c>
      <c r="AI302" s="938">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9">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50">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7">
        <f t="shared" si="140"/>
        <v>0</v>
      </c>
      <c r="AE303" s="938">
        <f t="shared" si="146"/>
        <v>0</v>
      </c>
      <c r="AF303" s="938">
        <f t="shared" si="147"/>
        <v>0</v>
      </c>
      <c r="AG303" s="938">
        <f t="shared" si="148"/>
        <v>0</v>
      </c>
      <c r="AH303" s="1173">
        <f t="shared" si="144"/>
        <v>0</v>
      </c>
      <c r="AI303" s="938">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9">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50">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7">
        <f t="shared" si="140"/>
        <v>0</v>
      </c>
      <c r="AE304" s="938">
        <f t="shared" si="146"/>
        <v>0</v>
      </c>
      <c r="AF304" s="938">
        <f t="shared" si="147"/>
        <v>0</v>
      </c>
      <c r="AG304" s="938">
        <f t="shared" si="148"/>
        <v>0</v>
      </c>
      <c r="AH304" s="1173">
        <f t="shared" si="144"/>
        <v>0</v>
      </c>
      <c r="AI304" s="938">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9">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50">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7">
        <f t="shared" si="140"/>
        <v>0</v>
      </c>
      <c r="AE305" s="938">
        <f t="shared" si="146"/>
        <v>0</v>
      </c>
      <c r="AF305" s="938">
        <f t="shared" si="147"/>
        <v>0</v>
      </c>
      <c r="AG305" s="938">
        <f t="shared" si="148"/>
        <v>0</v>
      </c>
      <c r="AH305" s="1173">
        <f t="shared" si="144"/>
        <v>0</v>
      </c>
      <c r="AI305" s="938">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9">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50">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7">
        <f t="shared" si="140"/>
        <v>0</v>
      </c>
      <c r="AE306" s="938">
        <f t="shared" si="146"/>
        <v>0</v>
      </c>
      <c r="AF306" s="938">
        <f t="shared" si="147"/>
        <v>0</v>
      </c>
      <c r="AG306" s="938">
        <f t="shared" si="148"/>
        <v>0</v>
      </c>
      <c r="AH306" s="1173">
        <f t="shared" si="144"/>
        <v>0</v>
      </c>
      <c r="AI306" s="938">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9">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50">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7">
        <f t="shared" si="140"/>
        <v>0</v>
      </c>
      <c r="AE307" s="938">
        <f t="shared" si="146"/>
        <v>0</v>
      </c>
      <c r="AF307" s="938">
        <f t="shared" si="147"/>
        <v>0</v>
      </c>
      <c r="AG307" s="938">
        <f t="shared" si="148"/>
        <v>0</v>
      </c>
      <c r="AH307" s="1173">
        <f t="shared" si="144"/>
        <v>0</v>
      </c>
      <c r="AI307" s="938">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9">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50">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7">
        <f t="shared" si="140"/>
        <v>0</v>
      </c>
      <c r="AE308" s="938">
        <f t="shared" si="146"/>
        <v>0</v>
      </c>
      <c r="AF308" s="938">
        <f t="shared" si="147"/>
        <v>0</v>
      </c>
      <c r="AG308" s="938">
        <f t="shared" si="148"/>
        <v>0</v>
      </c>
      <c r="AH308" s="1173">
        <f t="shared" si="144"/>
        <v>0</v>
      </c>
      <c r="AI308" s="938">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9">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50">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7">
        <f t="shared" si="140"/>
        <v>0</v>
      </c>
      <c r="AE309" s="938">
        <f t="shared" si="146"/>
        <v>0</v>
      </c>
      <c r="AF309" s="938">
        <f t="shared" si="147"/>
        <v>0</v>
      </c>
      <c r="AG309" s="938">
        <f t="shared" si="148"/>
        <v>0</v>
      </c>
      <c r="AH309" s="1173">
        <f t="shared" si="144"/>
        <v>0</v>
      </c>
      <c r="AI309" s="938">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9">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50">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7">
        <f t="shared" si="140"/>
        <v>0</v>
      </c>
      <c r="AE310" s="938">
        <f t="shared" si="146"/>
        <v>0</v>
      </c>
      <c r="AF310" s="938">
        <f t="shared" si="147"/>
        <v>0</v>
      </c>
      <c r="AG310" s="938">
        <f t="shared" si="148"/>
        <v>0</v>
      </c>
      <c r="AH310" s="1173">
        <f t="shared" si="144"/>
        <v>0</v>
      </c>
      <c r="AI310" s="938">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9">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50">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7">
        <f t="shared" si="140"/>
        <v>0</v>
      </c>
      <c r="AE311" s="938">
        <f t="shared" si="146"/>
        <v>0</v>
      </c>
      <c r="AF311" s="938">
        <f t="shared" si="147"/>
        <v>0</v>
      </c>
      <c r="AG311" s="938">
        <f t="shared" si="148"/>
        <v>0</v>
      </c>
      <c r="AH311" s="1173">
        <f t="shared" si="144"/>
        <v>0</v>
      </c>
      <c r="AI311" s="938">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9">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50">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7">
        <f>AB312*AH312+AC312*AI312</f>
        <v>0</v>
      </c>
      <c r="AE312" s="938">
        <f t="shared" si="146"/>
        <v>0</v>
      </c>
      <c r="AF312" s="938">
        <f t="shared" si="147"/>
        <v>0</v>
      </c>
      <c r="AG312" s="938">
        <f t="shared" si="148"/>
        <v>0</v>
      </c>
      <c r="AH312" s="1173">
        <f t="shared" si="144"/>
        <v>0</v>
      </c>
      <c r="AI312" s="938">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9">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50">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7">
        <f t="shared" ref="AD313:AD329" si="149">AB313*AH313+AC313*AI313</f>
        <v>0</v>
      </c>
      <c r="AE313" s="938">
        <f t="shared" si="146"/>
        <v>0</v>
      </c>
      <c r="AF313" s="938">
        <f t="shared" si="147"/>
        <v>0</v>
      </c>
      <c r="AG313" s="938">
        <f t="shared" si="148"/>
        <v>0</v>
      </c>
      <c r="AH313" s="1173">
        <f t="shared" si="144"/>
        <v>0</v>
      </c>
      <c r="AI313" s="938">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9">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50">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7">
        <f t="shared" si="149"/>
        <v>0</v>
      </c>
      <c r="AE314" s="938">
        <f t="shared" si="146"/>
        <v>0</v>
      </c>
      <c r="AF314" s="938">
        <f t="shared" si="147"/>
        <v>0</v>
      </c>
      <c r="AG314" s="938">
        <f t="shared" si="148"/>
        <v>0</v>
      </c>
      <c r="AH314" s="1173">
        <f t="shared" si="144"/>
        <v>0</v>
      </c>
      <c r="AI314" s="938">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9">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50">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7">
        <f t="shared" si="149"/>
        <v>0</v>
      </c>
      <c r="AE315" s="938">
        <f t="shared" si="146"/>
        <v>0</v>
      </c>
      <c r="AF315" s="938">
        <f t="shared" si="147"/>
        <v>0</v>
      </c>
      <c r="AG315" s="938">
        <f t="shared" si="148"/>
        <v>0</v>
      </c>
      <c r="AH315" s="1173">
        <f t="shared" si="144"/>
        <v>0</v>
      </c>
      <c r="AI315" s="938">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9">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50">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7">
        <f t="shared" si="149"/>
        <v>0</v>
      </c>
      <c r="AE316" s="938">
        <f t="shared" si="146"/>
        <v>0</v>
      </c>
      <c r="AF316" s="938">
        <f t="shared" si="147"/>
        <v>0</v>
      </c>
      <c r="AG316" s="938">
        <f t="shared" si="148"/>
        <v>0</v>
      </c>
      <c r="AH316" s="1173">
        <f t="shared" si="144"/>
        <v>0</v>
      </c>
      <c r="AI316" s="938">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9">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50">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7">
        <f t="shared" si="149"/>
        <v>0</v>
      </c>
      <c r="AE317" s="938">
        <f t="shared" si="146"/>
        <v>0</v>
      </c>
      <c r="AF317" s="938">
        <f t="shared" si="147"/>
        <v>0</v>
      </c>
      <c r="AG317" s="938">
        <f t="shared" si="148"/>
        <v>0</v>
      </c>
      <c r="AH317" s="1173">
        <f t="shared" si="144"/>
        <v>0</v>
      </c>
      <c r="AI317" s="938">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9">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50">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7">
        <f t="shared" si="149"/>
        <v>0</v>
      </c>
      <c r="AE318" s="938">
        <f t="shared" si="146"/>
        <v>0</v>
      </c>
      <c r="AF318" s="938">
        <f t="shared" si="147"/>
        <v>0</v>
      </c>
      <c r="AG318" s="938">
        <f t="shared" si="148"/>
        <v>0</v>
      </c>
      <c r="AH318" s="1173">
        <f t="shared" si="144"/>
        <v>0</v>
      </c>
      <c r="AI318" s="938">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9">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50">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7">
        <f t="shared" si="149"/>
        <v>0</v>
      </c>
      <c r="AE319" s="938">
        <f t="shared" si="146"/>
        <v>0</v>
      </c>
      <c r="AF319" s="938">
        <f t="shared" si="147"/>
        <v>0</v>
      </c>
      <c r="AG319" s="938">
        <f t="shared" si="148"/>
        <v>0</v>
      </c>
      <c r="AH319" s="1173">
        <f t="shared" si="144"/>
        <v>0</v>
      </c>
      <c r="AI319" s="938">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9">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50">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7">
        <f t="shared" si="149"/>
        <v>0</v>
      </c>
      <c r="AE320" s="938">
        <f t="shared" si="146"/>
        <v>0</v>
      </c>
      <c r="AF320" s="938">
        <f t="shared" si="147"/>
        <v>0</v>
      </c>
      <c r="AG320" s="938">
        <f t="shared" si="148"/>
        <v>0</v>
      </c>
      <c r="AH320" s="1173">
        <f t="shared" si="144"/>
        <v>0</v>
      </c>
      <c r="AI320" s="938">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9">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50">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7">
        <f t="shared" si="149"/>
        <v>0</v>
      </c>
      <c r="AE321" s="938">
        <f t="shared" si="146"/>
        <v>0</v>
      </c>
      <c r="AF321" s="938">
        <f t="shared" si="147"/>
        <v>0</v>
      </c>
      <c r="AG321" s="938">
        <f t="shared" si="148"/>
        <v>0</v>
      </c>
      <c r="AH321" s="1173">
        <f t="shared" si="144"/>
        <v>0</v>
      </c>
      <c r="AI321" s="938">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9">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50">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7">
        <f t="shared" si="149"/>
        <v>0</v>
      </c>
      <c r="AE322" s="938">
        <f t="shared" si="146"/>
        <v>0</v>
      </c>
      <c r="AF322" s="938">
        <f t="shared" si="147"/>
        <v>0</v>
      </c>
      <c r="AG322" s="938">
        <f t="shared" si="148"/>
        <v>0</v>
      </c>
      <c r="AH322" s="1173">
        <f t="shared" si="144"/>
        <v>0</v>
      </c>
      <c r="AI322" s="938">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9">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50">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7">
        <f t="shared" si="149"/>
        <v>0</v>
      </c>
      <c r="AE323" s="938">
        <f t="shared" si="146"/>
        <v>0</v>
      </c>
      <c r="AF323" s="938">
        <f t="shared" si="147"/>
        <v>0</v>
      </c>
      <c r="AG323" s="938">
        <f t="shared" si="148"/>
        <v>0</v>
      </c>
      <c r="AH323" s="1173">
        <f t="shared" si="144"/>
        <v>0</v>
      </c>
      <c r="AI323" s="938">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9">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50">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7">
        <f t="shared" si="149"/>
        <v>0</v>
      </c>
      <c r="AE324" s="938">
        <f t="shared" si="146"/>
        <v>0</v>
      </c>
      <c r="AF324" s="938">
        <f t="shared" si="147"/>
        <v>0</v>
      </c>
      <c r="AG324" s="938">
        <f t="shared" si="148"/>
        <v>0</v>
      </c>
      <c r="AH324" s="1173">
        <f t="shared" si="144"/>
        <v>0</v>
      </c>
      <c r="AI324" s="938">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9">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50">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7">
        <f t="shared" si="149"/>
        <v>0</v>
      </c>
      <c r="AE325" s="938">
        <f t="shared" si="146"/>
        <v>0</v>
      </c>
      <c r="AF325" s="938">
        <f t="shared" si="147"/>
        <v>0</v>
      </c>
      <c r="AG325" s="938">
        <f t="shared" si="148"/>
        <v>0</v>
      </c>
      <c r="AH325" s="1173">
        <f t="shared" si="144"/>
        <v>0</v>
      </c>
      <c r="AI325" s="938">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9">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50">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7">
        <f t="shared" si="149"/>
        <v>0</v>
      </c>
      <c r="AE326" s="938">
        <f t="shared" si="146"/>
        <v>0</v>
      </c>
      <c r="AF326" s="938">
        <f t="shared" si="147"/>
        <v>0</v>
      </c>
      <c r="AG326" s="938">
        <f t="shared" si="148"/>
        <v>0</v>
      </c>
      <c r="AH326" s="1173">
        <f t="shared" si="144"/>
        <v>0</v>
      </c>
      <c r="AI326" s="938">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9">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50">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7">
        <f t="shared" si="149"/>
        <v>0</v>
      </c>
      <c r="AE327" s="938">
        <f t="shared" si="146"/>
        <v>0</v>
      </c>
      <c r="AF327" s="938">
        <f t="shared" si="147"/>
        <v>0</v>
      </c>
      <c r="AG327" s="938">
        <f t="shared" si="148"/>
        <v>0</v>
      </c>
      <c r="AH327" s="1173">
        <f t="shared" si="144"/>
        <v>0</v>
      </c>
      <c r="AI327" s="938">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9">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50">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7">
        <f t="shared" si="149"/>
        <v>0</v>
      </c>
      <c r="AE328" s="938">
        <f t="shared" si="146"/>
        <v>0</v>
      </c>
      <c r="AF328" s="938">
        <f t="shared" si="147"/>
        <v>0</v>
      </c>
      <c r="AG328" s="938">
        <f t="shared" si="148"/>
        <v>0</v>
      </c>
      <c r="AH328" s="1173">
        <f t="shared" si="144"/>
        <v>0</v>
      </c>
      <c r="AI328" s="938">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1">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2">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8">
        <f t="shared" si="149"/>
        <v>0</v>
      </c>
      <c r="AE329" s="938">
        <f t="shared" si="146"/>
        <v>0</v>
      </c>
      <c r="AF329" s="938">
        <f t="shared" si="147"/>
        <v>0</v>
      </c>
      <c r="AG329" s="938">
        <f t="shared" si="148"/>
        <v>0</v>
      </c>
      <c r="AH329" s="1173">
        <f t="shared" si="144"/>
        <v>0</v>
      </c>
      <c r="AI329" s="938">
        <f t="shared" si="145"/>
        <v>0</v>
      </c>
    </row>
    <row r="330" spans="1:35" x14ac:dyDescent="0.2">
      <c r="B330" s="227" t="str">
        <f>B$120</f>
        <v>Output generated: 7/21/2020 15:48</v>
      </c>
      <c r="U330" s="227" t="str">
        <f>U$120</f>
        <v>Output generated: 7/21/2020 15:48</v>
      </c>
    </row>
  </sheetData>
  <dataConsolidate/>
  <mergeCells count="39">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 ref="B4:C4"/>
    <mergeCell ref="J9:K9"/>
    <mergeCell ref="AS19:AW19"/>
    <mergeCell ref="AI19:AM19"/>
    <mergeCell ref="AB126:AD126"/>
    <mergeCell ref="AB74:AD74"/>
    <mergeCell ref="T21:X21"/>
    <mergeCell ref="N19:S19"/>
    <mergeCell ref="T19:X19"/>
    <mergeCell ref="O70:AA70"/>
    <mergeCell ref="B70:N70"/>
    <mergeCell ref="BC19:BH19"/>
    <mergeCell ref="AX19:BB19"/>
    <mergeCell ref="AN19:AR19"/>
    <mergeCell ref="AD19:AH19"/>
    <mergeCell ref="Y19:AC19"/>
    <mergeCell ref="AB231:AD231"/>
    <mergeCell ref="AB284:AD284"/>
    <mergeCell ref="O174:AA174"/>
    <mergeCell ref="O175:Y175"/>
    <mergeCell ref="B175:L175"/>
    <mergeCell ref="B174:N174"/>
    <mergeCell ref="AB178:AD178"/>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AD1" activePane="topRight" state="frozen"/>
      <selection pane="topRight" activeCell="AN24" sqref="AN24:AR67"/>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62" t="s">
        <v>53</v>
      </c>
      <c r="C3" s="1563"/>
      <c r="D3" s="236">
        <f>'Run Model'!C6</f>
        <v>7.4999999999999997E-2</v>
      </c>
      <c r="F3"/>
      <c r="G3"/>
      <c r="H3"/>
      <c r="J3" s="227" t="s">
        <v>127</v>
      </c>
      <c r="L3" s="1567" t="s">
        <v>374</v>
      </c>
      <c r="M3" s="1568"/>
      <c r="N3" s="1568"/>
      <c r="O3" s="1569"/>
      <c r="Q3" s="216"/>
      <c r="W3" s="227"/>
      <c r="X3" s="227"/>
      <c r="Y3" s="227"/>
    </row>
    <row r="4" spans="2:60" x14ac:dyDescent="0.2">
      <c r="B4" s="1562" t="s">
        <v>104</v>
      </c>
      <c r="C4" s="1563"/>
      <c r="D4" s="225" t="str">
        <f>'Run Model'!C7</f>
        <v>Moderate</v>
      </c>
      <c r="F4"/>
      <c r="G4"/>
      <c r="H4"/>
      <c r="J4" s="227" t="s">
        <v>126</v>
      </c>
      <c r="L4" s="1572">
        <v>44033.65898148148</v>
      </c>
      <c r="M4" s="1568"/>
      <c r="N4" s="1568"/>
      <c r="O4" s="1569"/>
      <c r="P4" s="227" t="s">
        <v>186</v>
      </c>
      <c r="W4" s="227"/>
      <c r="X4" s="227"/>
      <c r="Y4" s="227"/>
    </row>
    <row r="5" spans="2:60" x14ac:dyDescent="0.2">
      <c r="B5" s="1562" t="s">
        <v>118</v>
      </c>
      <c r="C5" s="1563"/>
      <c r="D5" s="225" t="s">
        <v>15</v>
      </c>
      <c r="F5"/>
      <c r="G5"/>
      <c r="H5"/>
      <c r="L5" s="1572">
        <v>44033.658993055556</v>
      </c>
      <c r="M5" s="1568"/>
      <c r="N5" s="1568"/>
      <c r="O5" s="1569"/>
      <c r="P5" s="227" t="s">
        <v>15</v>
      </c>
      <c r="W5" s="227"/>
      <c r="X5" s="227"/>
      <c r="Y5" s="227"/>
    </row>
    <row r="6" spans="2:60" x14ac:dyDescent="0.2">
      <c r="B6" s="1562" t="s">
        <v>68</v>
      </c>
      <c r="C6" s="1563"/>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3" customFormat="1" ht="28.5" customHeight="1" x14ac:dyDescent="0.2">
      <c r="B9" s="1028"/>
      <c r="C9" s="1029"/>
      <c r="D9" s="1030"/>
      <c r="E9" s="1030"/>
      <c r="F9" s="1029"/>
      <c r="G9" s="1030"/>
      <c r="H9" s="1029"/>
      <c r="I9" s="1030"/>
      <c r="J9" s="1538" t="s">
        <v>76</v>
      </c>
      <c r="K9" s="1539"/>
      <c r="L9" s="1575" t="s">
        <v>83</v>
      </c>
      <c r="M9" s="1575"/>
      <c r="N9" s="1576" t="s">
        <v>109</v>
      </c>
      <c r="O9" s="1575"/>
      <c r="P9" s="1575"/>
      <c r="Q9" s="1577"/>
      <c r="R9" s="1031"/>
      <c r="S9" s="1032"/>
      <c r="AB9" s="1034"/>
      <c r="AC9" s="1035"/>
      <c r="AQ9" s="245"/>
      <c r="AR9" s="245"/>
      <c r="AS9" s="245"/>
      <c r="AT9" s="245"/>
    </row>
    <row r="10" spans="2:60" s="240" customFormat="1" ht="31" thickBot="1" x14ac:dyDescent="0.25">
      <c r="B10" s="249"/>
      <c r="C10" s="722" t="s">
        <v>75</v>
      </c>
      <c r="D10" s="713"/>
      <c r="E10" s="714"/>
      <c r="F10" s="646" t="s">
        <v>211</v>
      </c>
      <c r="G10" s="647" t="s">
        <v>210</v>
      </c>
      <c r="H10" s="646" t="s">
        <v>264</v>
      </c>
      <c r="I10" s="647" t="s">
        <v>81</v>
      </c>
      <c r="J10" s="1114" t="s">
        <v>283</v>
      </c>
      <c r="K10" s="1115"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5" thickTop="1" x14ac:dyDescent="0.2">
      <c r="B11" s="253" t="s">
        <v>69</v>
      </c>
      <c r="C11" s="863" t="str">
        <f t="shared" ref="C11:C16" si="0">INDEX(TECH_OPT_PARAMS_Cls2,MATCH($B11,TECH_OPT_ROWS_Cls2,0),MATCH(C$10,TECH_OPT_COLS_Cls2,0))</f>
        <v>Conventional Diesel ICE</v>
      </c>
      <c r="D11" s="864"/>
      <c r="E11" s="865"/>
      <c r="F11" s="875" t="str">
        <f t="shared" ref="F11:O16" si="1">INDEX(TECH_OPT_PARAMS_Cls2,MATCH($B11,TECH_OPT_ROWS_Cls2,0),MATCH(F$10,TECH_OPT_COLS_Cls2,0))</f>
        <v>Diesel</v>
      </c>
      <c r="G11" s="875" t="str">
        <f t="shared" si="1"/>
        <v>N/A</v>
      </c>
      <c r="H11" s="898" t="b">
        <f t="shared" si="1"/>
        <v>0</v>
      </c>
      <c r="I11" s="721">
        <f t="shared" si="1"/>
        <v>0</v>
      </c>
      <c r="J11" s="721">
        <f t="shared" si="1"/>
        <v>0</v>
      </c>
      <c r="K11" s="1036">
        <f t="shared" si="1"/>
        <v>0</v>
      </c>
      <c r="L11" s="1037">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6" t="str">
        <f t="shared" si="0"/>
        <v>Adv Conv</v>
      </c>
      <c r="D12" s="867"/>
      <c r="E12" s="868"/>
      <c r="F12" s="876" t="str">
        <f t="shared" si="1"/>
        <v>Diesel</v>
      </c>
      <c r="G12" s="877" t="str">
        <f t="shared" si="1"/>
        <v>N/A</v>
      </c>
      <c r="H12" s="899" t="b">
        <f t="shared" si="1"/>
        <v>0</v>
      </c>
      <c r="I12" s="237">
        <f t="shared" si="1"/>
        <v>2020</v>
      </c>
      <c r="J12" s="237">
        <f t="shared" si="1"/>
        <v>0</v>
      </c>
      <c r="K12" s="987">
        <f t="shared" si="1"/>
        <v>0.5</v>
      </c>
      <c r="L12" s="739">
        <f t="shared" si="1"/>
        <v>5000</v>
      </c>
      <c r="M12" s="237">
        <f t="shared" si="1"/>
        <v>100</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6" t="str">
        <f t="shared" si="0"/>
        <v>ISG</v>
      </c>
      <c r="D13" s="867"/>
      <c r="E13" s="868"/>
      <c r="F13" s="876" t="str">
        <f t="shared" si="1"/>
        <v>Diesel</v>
      </c>
      <c r="G13" s="877" t="str">
        <f t="shared" si="1"/>
        <v>N/A</v>
      </c>
      <c r="H13" s="899" t="b">
        <f t="shared" si="1"/>
        <v>0</v>
      </c>
      <c r="I13" s="237">
        <f t="shared" si="1"/>
        <v>2020</v>
      </c>
      <c r="J13" s="237">
        <f t="shared" si="1"/>
        <v>0</v>
      </c>
      <c r="K13" s="987">
        <f t="shared" si="1"/>
        <v>0.5</v>
      </c>
      <c r="L13" s="739">
        <f t="shared" si="1"/>
        <v>5000</v>
      </c>
      <c r="M13" s="237">
        <f t="shared" si="1"/>
        <v>100</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6" t="str">
        <f t="shared" si="0"/>
        <v>PHEV</v>
      </c>
      <c r="D14" s="867"/>
      <c r="E14" s="868"/>
      <c r="F14" s="876" t="str">
        <f t="shared" si="1"/>
        <v>Diesel</v>
      </c>
      <c r="G14" s="877" t="str">
        <f t="shared" si="1"/>
        <v>Electricity</v>
      </c>
      <c r="H14" s="899" t="b">
        <f t="shared" si="1"/>
        <v>0</v>
      </c>
      <c r="I14" s="237">
        <f t="shared" si="1"/>
        <v>2020</v>
      </c>
      <c r="J14" s="237">
        <f t="shared" si="1"/>
        <v>0</v>
      </c>
      <c r="K14" s="987">
        <f t="shared" si="1"/>
        <v>0.5</v>
      </c>
      <c r="L14" s="739">
        <f t="shared" si="1"/>
        <v>5000</v>
      </c>
      <c r="M14" s="237">
        <f t="shared" si="1"/>
        <v>100</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9" t="str">
        <f t="shared" si="0"/>
        <v>BEV</v>
      </c>
      <c r="D15" s="870"/>
      <c r="E15" s="871"/>
      <c r="F15" s="878" t="str">
        <f t="shared" si="1"/>
        <v>Electricity</v>
      </c>
      <c r="G15" s="879" t="str">
        <f t="shared" si="1"/>
        <v>N/A</v>
      </c>
      <c r="H15" s="899" t="b">
        <f t="shared" si="1"/>
        <v>1</v>
      </c>
      <c r="I15" s="237">
        <f t="shared" si="1"/>
        <v>2020</v>
      </c>
      <c r="J15" s="237">
        <f t="shared" si="1"/>
        <v>0</v>
      </c>
      <c r="K15" s="987">
        <f t="shared" si="1"/>
        <v>0.5</v>
      </c>
      <c r="L15" s="739">
        <f t="shared" si="1"/>
        <v>5000</v>
      </c>
      <c r="M15" s="237">
        <f t="shared" si="1"/>
        <v>100</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2" t="str">
        <f t="shared" si="0"/>
        <v>FCHEV</v>
      </c>
      <c r="D16" s="873"/>
      <c r="E16" s="874"/>
      <c r="F16" s="880" t="str">
        <f t="shared" si="1"/>
        <v>Hydrogen</v>
      </c>
      <c r="G16" s="881" t="str">
        <f t="shared" si="1"/>
        <v>N/A</v>
      </c>
      <c r="H16" s="900" t="b">
        <f t="shared" si="1"/>
        <v>0</v>
      </c>
      <c r="I16" s="264">
        <f t="shared" si="1"/>
        <v>2020</v>
      </c>
      <c r="J16" s="264">
        <f t="shared" si="1"/>
        <v>0</v>
      </c>
      <c r="K16" s="988">
        <f t="shared" si="1"/>
        <v>0.5</v>
      </c>
      <c r="L16" s="740">
        <f t="shared" si="1"/>
        <v>5000</v>
      </c>
      <c r="M16" s="264">
        <f t="shared" si="1"/>
        <v>100</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8306.5867067228919</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6" thickBot="1" x14ac:dyDescent="0.25">
      <c r="A19" s="805"/>
      <c r="B19" s="1559" t="s">
        <v>234</v>
      </c>
      <c r="C19" s="1560"/>
      <c r="D19" s="1560"/>
      <c r="E19" s="1560"/>
      <c r="F19" s="1560"/>
      <c r="G19" s="1561"/>
      <c r="H19" s="1578" t="s">
        <v>220</v>
      </c>
      <c r="I19" s="1579"/>
      <c r="J19" s="1579"/>
      <c r="K19" s="1579"/>
      <c r="L19" s="1579"/>
      <c r="M19" s="1580"/>
      <c r="N19" s="1560" t="s">
        <v>71</v>
      </c>
      <c r="O19" s="1560"/>
      <c r="P19" s="1560"/>
      <c r="Q19" s="1560"/>
      <c r="R19" s="1560"/>
      <c r="S19" s="1561"/>
      <c r="T19" s="1559" t="s">
        <v>107</v>
      </c>
      <c r="U19" s="1560"/>
      <c r="V19" s="1560"/>
      <c r="W19" s="1560"/>
      <c r="X19" s="1561"/>
      <c r="Y19" s="1559" t="s">
        <v>72</v>
      </c>
      <c r="Z19" s="1560"/>
      <c r="AA19" s="1560"/>
      <c r="AB19" s="1560"/>
      <c r="AC19" s="1561"/>
      <c r="AD19" s="1559" t="s">
        <v>92</v>
      </c>
      <c r="AE19" s="1560"/>
      <c r="AF19" s="1560"/>
      <c r="AG19" s="1560"/>
      <c r="AH19" s="1561"/>
      <c r="AI19" s="1559" t="s">
        <v>76</v>
      </c>
      <c r="AJ19" s="1560"/>
      <c r="AK19" s="1560"/>
      <c r="AL19" s="1560"/>
      <c r="AM19" s="1560"/>
      <c r="AN19" s="1559" t="s">
        <v>100</v>
      </c>
      <c r="AO19" s="1560"/>
      <c r="AP19" s="1560"/>
      <c r="AQ19" s="1560"/>
      <c r="AR19" s="1561"/>
      <c r="AS19" s="1559" t="s">
        <v>73</v>
      </c>
      <c r="AT19" s="1560"/>
      <c r="AU19" s="1560"/>
      <c r="AV19" s="1560"/>
      <c r="AW19" s="1561"/>
      <c r="AX19" s="1560" t="s">
        <v>102</v>
      </c>
      <c r="AY19" s="1560"/>
      <c r="AZ19" s="1560"/>
      <c r="BA19" s="1560"/>
      <c r="BB19" s="1561"/>
      <c r="BC19" s="1559" t="s">
        <v>82</v>
      </c>
      <c r="BD19" s="1560"/>
      <c r="BE19" s="1560"/>
      <c r="BF19" s="1560"/>
      <c r="BG19" s="1560"/>
      <c r="BH19" s="1561"/>
    </row>
    <row r="20" spans="1:60" ht="15" customHeight="1" x14ac:dyDescent="0.2">
      <c r="A20" s="272"/>
      <c r="B20" s="1038" t="s">
        <v>69</v>
      </c>
      <c r="C20" s="1039" t="s">
        <v>65</v>
      </c>
      <c r="D20" s="1039" t="s">
        <v>66</v>
      </c>
      <c r="E20" s="1039" t="s">
        <v>67</v>
      </c>
      <c r="F20" s="1039" t="s">
        <v>205</v>
      </c>
      <c r="G20" s="1085" t="s">
        <v>206</v>
      </c>
      <c r="H20" s="1098" t="s">
        <v>69</v>
      </c>
      <c r="I20" s="1099" t="s">
        <v>65</v>
      </c>
      <c r="J20" s="1099" t="s">
        <v>66</v>
      </c>
      <c r="K20" s="1099" t="s">
        <v>67</v>
      </c>
      <c r="L20" s="1099" t="s">
        <v>205</v>
      </c>
      <c r="M20" s="1100" t="s">
        <v>206</v>
      </c>
      <c r="N20" s="1038" t="s">
        <v>69</v>
      </c>
      <c r="O20" s="1039" t="s">
        <v>65</v>
      </c>
      <c r="P20" s="1039" t="s">
        <v>66</v>
      </c>
      <c r="Q20" s="1039" t="s">
        <v>67</v>
      </c>
      <c r="R20" s="1039" t="s">
        <v>205</v>
      </c>
      <c r="S20" s="1085" t="s">
        <v>206</v>
      </c>
      <c r="T20" s="1044" t="s">
        <v>65</v>
      </c>
      <c r="U20" s="1045" t="s">
        <v>66</v>
      </c>
      <c r="V20" s="1045" t="s">
        <v>67</v>
      </c>
      <c r="W20" s="1039" t="s">
        <v>205</v>
      </c>
      <c r="X20" s="1085" t="s">
        <v>206</v>
      </c>
      <c r="Y20" s="1044" t="s">
        <v>65</v>
      </c>
      <c r="Z20" s="1045" t="s">
        <v>66</v>
      </c>
      <c r="AA20" s="1045" t="s">
        <v>67</v>
      </c>
      <c r="AB20" s="1039" t="s">
        <v>205</v>
      </c>
      <c r="AC20" s="1085" t="s">
        <v>206</v>
      </c>
      <c r="AD20" s="1044" t="s">
        <v>65</v>
      </c>
      <c r="AE20" s="1045" t="s">
        <v>66</v>
      </c>
      <c r="AF20" s="1045" t="s">
        <v>67</v>
      </c>
      <c r="AG20" s="1039" t="s">
        <v>205</v>
      </c>
      <c r="AH20" s="1085" t="s">
        <v>206</v>
      </c>
      <c r="AI20" s="1044" t="s">
        <v>65</v>
      </c>
      <c r="AJ20" s="1045" t="s">
        <v>66</v>
      </c>
      <c r="AK20" s="1045" t="s">
        <v>67</v>
      </c>
      <c r="AL20" s="1039" t="s">
        <v>205</v>
      </c>
      <c r="AM20" s="1085" t="s">
        <v>206</v>
      </c>
      <c r="AN20" s="1044" t="s">
        <v>65</v>
      </c>
      <c r="AO20" s="1045" t="s">
        <v>66</v>
      </c>
      <c r="AP20" s="1045" t="s">
        <v>67</v>
      </c>
      <c r="AQ20" s="1039" t="s">
        <v>205</v>
      </c>
      <c r="AR20" s="1085" t="s">
        <v>206</v>
      </c>
      <c r="AS20" s="1044" t="s">
        <v>65</v>
      </c>
      <c r="AT20" s="1045" t="s">
        <v>66</v>
      </c>
      <c r="AU20" s="1045" t="s">
        <v>67</v>
      </c>
      <c r="AV20" s="1039" t="s">
        <v>205</v>
      </c>
      <c r="AW20" s="1085" t="s">
        <v>206</v>
      </c>
      <c r="AX20" s="1044" t="s">
        <v>65</v>
      </c>
      <c r="AY20" s="1045" t="s">
        <v>66</v>
      </c>
      <c r="AZ20" s="1045" t="s">
        <v>67</v>
      </c>
      <c r="BA20" s="1039" t="s">
        <v>205</v>
      </c>
      <c r="BB20" s="1085" t="s">
        <v>206</v>
      </c>
      <c r="BC20" s="1044" t="s">
        <v>69</v>
      </c>
      <c r="BD20" s="1045" t="s">
        <v>65</v>
      </c>
      <c r="BE20" s="1045" t="s">
        <v>66</v>
      </c>
      <c r="BF20" s="1045" t="s">
        <v>67</v>
      </c>
      <c r="BG20" s="1039" t="s">
        <v>205</v>
      </c>
      <c r="BH20" s="1085" t="s">
        <v>206</v>
      </c>
    </row>
    <row r="21" spans="1:60" s="274" customFormat="1" ht="15" x14ac:dyDescent="0.2">
      <c r="A21" s="272"/>
      <c r="B21" s="1092"/>
      <c r="C21" s="1093"/>
      <c r="D21" s="1093"/>
      <c r="E21" s="1093"/>
      <c r="F21" s="1093"/>
      <c r="G21" s="1094"/>
      <c r="H21" s="1086" t="str">
        <f>IF(INDEX($G$11:$G$16,MATCH(H20,$B$11:$B$16,0))="N/A","Single-fuel","Dual-Fuel")</f>
        <v>Single-fuel</v>
      </c>
      <c r="I21" s="1087" t="str">
        <f t="shared" ref="I21:M21" si="3">IF(INDEX($G$11:$G$16,MATCH(I20,$B$11:$B$16,0))="N/A","Single-fuel","Dual-Fuel")</f>
        <v>Single-fuel</v>
      </c>
      <c r="J21" s="1087" t="str">
        <f t="shared" si="3"/>
        <v>Single-fuel</v>
      </c>
      <c r="K21" s="1087" t="str">
        <f t="shared" si="3"/>
        <v>Dual-Fuel</v>
      </c>
      <c r="L21" s="1087" t="str">
        <f t="shared" si="3"/>
        <v>Single-fuel</v>
      </c>
      <c r="M21" s="1088" t="str">
        <f t="shared" si="3"/>
        <v>Single-fuel</v>
      </c>
      <c r="N21" s="994" t="str">
        <f>INDEX($F$11:$F$16,MATCH(N20,$B$11:$B$16,0))</f>
        <v>Diesel</v>
      </c>
      <c r="O21" s="995" t="str">
        <f t="shared" ref="O21:S21" si="4">INDEX($F$11:$F$16,MATCH(RIGHT(O20),$B$11:$B$16,0))</f>
        <v>Diesel</v>
      </c>
      <c r="P21" s="995" t="str">
        <f t="shared" si="4"/>
        <v>Diesel</v>
      </c>
      <c r="Q21" s="995" t="str">
        <f t="shared" si="4"/>
        <v>Diesel</v>
      </c>
      <c r="R21" s="995" t="str">
        <f t="shared" si="4"/>
        <v>Electricity</v>
      </c>
      <c r="S21" s="996" t="str">
        <f t="shared" si="4"/>
        <v>Hydrogen</v>
      </c>
      <c r="T21" s="1581" t="s">
        <v>117</v>
      </c>
      <c r="U21" s="1582"/>
      <c r="V21" s="1582"/>
      <c r="W21" s="1582"/>
      <c r="X21" s="1583"/>
      <c r="Y21" s="1048" t="str">
        <f>INDEX($F$11:$F$16,MATCH(Y20,$B$11:$B$16,0))</f>
        <v>Diesel</v>
      </c>
      <c r="Z21" s="1049" t="str">
        <f t="shared" ref="Z21:AC21" si="5">INDEX($F$11:$F$16,MATCH(Z20,$B$11:$B$16,0))</f>
        <v>Diesel</v>
      </c>
      <c r="AA21" s="1049" t="str">
        <f t="shared" si="5"/>
        <v>Diesel</v>
      </c>
      <c r="AB21" s="1049" t="str">
        <f t="shared" si="5"/>
        <v>Electricity</v>
      </c>
      <c r="AC21" s="1050" t="str">
        <f t="shared" si="5"/>
        <v>Hydrogen</v>
      </c>
      <c r="AD21" s="1051">
        <f>INDEX($L$11:$L$16,MATCH(AD20,$B$11:$B$16,0))</f>
        <v>5000</v>
      </c>
      <c r="AE21" s="1020">
        <f>INDEX($L$11:$L$16,MATCH(AE20,$B$11:$B$16,0))</f>
        <v>5000</v>
      </c>
      <c r="AF21" s="1020">
        <f>INDEX($L$11:$L$16,MATCH(AF20,$B$11:$B$16,0))</f>
        <v>5000</v>
      </c>
      <c r="AG21" s="1020">
        <f>INDEX($L$11:$L$16,MATCH(AG20,$B$11:$B$16,0))</f>
        <v>5000</v>
      </c>
      <c r="AH21" s="1021">
        <f>INDEX($L$11:$L$16,MATCH(AH20,$B$11:$B$16,0))</f>
        <v>5000</v>
      </c>
      <c r="AI21" s="1053">
        <f>INDEX($J$11:$J$16,MATCH(AI20,$B$11:$B$16,0))</f>
        <v>0</v>
      </c>
      <c r="AJ21" s="1054">
        <f t="shared" ref="AJ21:AM21" si="6">INDEX($J$11:$J$16,MATCH(AJ20,$B$11:$B$16,0))</f>
        <v>0</v>
      </c>
      <c r="AK21" s="1054">
        <f t="shared" si="6"/>
        <v>0</v>
      </c>
      <c r="AL21" s="1054">
        <f t="shared" si="6"/>
        <v>0</v>
      </c>
      <c r="AM21" s="1055">
        <f t="shared" si="6"/>
        <v>0</v>
      </c>
      <c r="AN21" s="994" t="str">
        <f>INDEX($F$11:$F$16,MATCH(AN20,$B$11:$B$16,0))</f>
        <v>Diesel</v>
      </c>
      <c r="AO21" s="995" t="str">
        <f t="shared" ref="AO21" si="7">INDEX($F$11:$F$16,MATCH(AO20,$B$11:$B$16,0))</f>
        <v>Diesel</v>
      </c>
      <c r="AP21" s="995" t="str">
        <f t="shared" ref="AP21" si="8">INDEX($F$11:$F$16,MATCH(AP20,$B$11:$B$16,0))</f>
        <v>Diesel</v>
      </c>
      <c r="AQ21" s="995" t="str">
        <f t="shared" ref="AQ21" si="9">INDEX($F$11:$F$16,MATCH(AQ20,$B$11:$B$16,0))</f>
        <v>Electricity</v>
      </c>
      <c r="AR21" s="996" t="str">
        <f t="shared" ref="AR21" si="10">INDEX($F$11:$F$16,MATCH(AR20,$B$11:$B$16,0))</f>
        <v>Hydrogen</v>
      </c>
      <c r="AS21" s="1048" t="str">
        <f>INDEX($F$11:$F$16,MATCH(AS20,$B$11:$B$16,0))</f>
        <v>Diesel</v>
      </c>
      <c r="AT21" s="1049" t="str">
        <f t="shared" ref="AT21" si="11">INDEX($F$11:$F$16,MATCH(AT20,$B$11:$B$16,0))</f>
        <v>Diesel</v>
      </c>
      <c r="AU21" s="1049" t="str">
        <f t="shared" ref="AU21" si="12">INDEX($F$11:$F$16,MATCH(AU20,$B$11:$B$16,0))</f>
        <v>Diesel</v>
      </c>
      <c r="AV21" s="1049" t="str">
        <f t="shared" ref="AV21" si="13">INDEX($F$11:$F$16,MATCH(AV20,$B$11:$B$16,0))</f>
        <v>Electricity</v>
      </c>
      <c r="AW21" s="1050" t="str">
        <f t="shared" ref="AW21" si="14">INDEX($F$11:$F$16,MATCH(AW20,$B$11:$B$16,0))</f>
        <v>Hydrogen</v>
      </c>
      <c r="AX21" s="1048" t="str">
        <f>INDEX($F$11:$F$16,MATCH(AX20,$B$11:$B$16,0))</f>
        <v>Diesel</v>
      </c>
      <c r="AY21" s="1049" t="str">
        <f t="shared" ref="AY21" si="15">INDEX($F$11:$F$16,MATCH(AY20,$B$11:$B$16,0))</f>
        <v>Diesel</v>
      </c>
      <c r="AZ21" s="1049" t="str">
        <f t="shared" ref="AZ21" si="16">INDEX($F$11:$F$16,MATCH(AZ20,$B$11:$B$16,0))</f>
        <v>Diesel</v>
      </c>
      <c r="BA21" s="1049" t="str">
        <f t="shared" ref="BA21" si="17">INDEX($F$11:$F$16,MATCH(BA20,$B$11:$B$16,0))</f>
        <v>Electricity</v>
      </c>
      <c r="BB21" s="1050" t="str">
        <f t="shared" ref="BB21" si="18">INDEX($F$11:$F$16,MATCH(BB20,$B$11:$B$16,0))</f>
        <v>Hydrogen</v>
      </c>
      <c r="BC21" s="1059" t="str">
        <f>INDEX($F$11:$F$16,MATCH(BC20,$B$11:$B$16,0))</f>
        <v>Diesel</v>
      </c>
      <c r="BD21" s="1049" t="str">
        <f t="shared" ref="BD21" si="19">INDEX($F$11:$F$16,MATCH(BD20,$B$11:$B$16,0))</f>
        <v>Diesel</v>
      </c>
      <c r="BE21" s="1049" t="str">
        <f t="shared" ref="BE21" si="20">INDEX($F$11:$F$16,MATCH(BE20,$B$11:$B$16,0))</f>
        <v>Diesel</v>
      </c>
      <c r="BF21" s="1049" t="str">
        <f t="shared" ref="BF21" si="21">INDEX($F$11:$F$16,MATCH(BF20,$B$11:$B$16,0))</f>
        <v>Diesel</v>
      </c>
      <c r="BG21" s="1049" t="str">
        <f t="shared" ref="BG21:BH21" si="22">INDEX($F$11:$F$16,MATCH(BG20,$B$11:$B$16,0))</f>
        <v>Electricity</v>
      </c>
      <c r="BH21" s="1050" t="str">
        <f t="shared" si="22"/>
        <v>Hydrogen</v>
      </c>
    </row>
    <row r="22" spans="1:60" x14ac:dyDescent="0.2">
      <c r="A22" s="272"/>
      <c r="B22" s="1092"/>
      <c r="C22" s="1093"/>
      <c r="D22" s="1093"/>
      <c r="E22" s="1093"/>
      <c r="F22" s="1093"/>
      <c r="G22" s="1094"/>
      <c r="H22" s="1086"/>
      <c r="I22" s="1087"/>
      <c r="J22" s="1087"/>
      <c r="K22" s="1087"/>
      <c r="L22" s="1087"/>
      <c r="M22" s="1088"/>
      <c r="N22" s="1040"/>
      <c r="O22" s="1009"/>
      <c r="P22" s="1009"/>
      <c r="Q22" s="1009"/>
      <c r="R22" s="1009"/>
      <c r="S22" s="1010"/>
      <c r="T22" s="1003">
        <f>Q12</f>
        <v>0</v>
      </c>
      <c r="U22" s="1004">
        <f>Q13</f>
        <v>0</v>
      </c>
      <c r="V22" s="1046">
        <f>INDEX($Q$11:$Q$16,MATCH(V20,$B$11:$B$16,0))</f>
        <v>0</v>
      </c>
      <c r="W22" s="1004">
        <f>INDEX($Q$11:$Q$16,MATCH(W20,$B$11:$B$16,0))</f>
        <v>0</v>
      </c>
      <c r="X22" s="1005">
        <f>INDEX($Q$11:$Q$16,MATCH(X20,$B$11:$B$16,0))</f>
        <v>0</v>
      </c>
      <c r="Y22" s="1011" t="b">
        <f>INDEX($H$11:$H$16,MATCH(Y20,$B$11:$B$16,0))</f>
        <v>0</v>
      </c>
      <c r="Z22" s="1012" t="b">
        <f t="shared" ref="Z22:AC22" si="23">INDEX($H$11:$H$16,MATCH(Z20,$B$11:$B$16,0))</f>
        <v>0</v>
      </c>
      <c r="AA22" s="1012" t="b">
        <f t="shared" si="23"/>
        <v>0</v>
      </c>
      <c r="AB22" s="1012" t="b">
        <f t="shared" si="23"/>
        <v>1</v>
      </c>
      <c r="AC22" s="1013" t="b">
        <f t="shared" si="23"/>
        <v>0</v>
      </c>
      <c r="AD22" s="1051">
        <f>INDEX($M$11:$M$16,MATCH(AD20,$B$11:$B$16,0))</f>
        <v>100</v>
      </c>
      <c r="AE22" s="1020">
        <f>INDEX($M$11:$M$16,MATCH(AE20,$B$11:$B$16,0))</f>
        <v>100</v>
      </c>
      <c r="AF22" s="1020">
        <f>INDEX($M$11:$M$16,MATCH(AF20,$B$11:$B$16,0))</f>
        <v>100</v>
      </c>
      <c r="AG22" s="1020">
        <f>INDEX($M$11:$M$16,MATCH(AG20,$B$11:$B$16,0))</f>
        <v>100</v>
      </c>
      <c r="AH22" s="1021">
        <f>INDEX($M$11:$M$16,MATCH(AH20,$B$11:$B$16,0))</f>
        <v>100</v>
      </c>
      <c r="AI22" s="1053">
        <f>INDEX($K$11:$K$16,MATCH(AI20,$B$11:$B$16,0))</f>
        <v>0.5</v>
      </c>
      <c r="AJ22" s="1054">
        <f t="shared" ref="AJ22:AM22" si="24">INDEX($K$11:$K$16,MATCH(AJ20,$B$11:$B$16,0))</f>
        <v>0.5</v>
      </c>
      <c r="AK22" s="1054">
        <f t="shared" si="24"/>
        <v>0.5</v>
      </c>
      <c r="AL22" s="1054">
        <f t="shared" si="24"/>
        <v>0.5</v>
      </c>
      <c r="AM22" s="1055">
        <f t="shared" si="24"/>
        <v>0.5</v>
      </c>
      <c r="AN22" s="994"/>
      <c r="AO22" s="995"/>
      <c r="AP22" s="995"/>
      <c r="AQ22" s="995"/>
      <c r="AR22" s="996"/>
      <c r="AS22" s="1011"/>
      <c r="AT22" s="1012"/>
      <c r="AU22" s="1012"/>
      <c r="AV22" s="1012"/>
      <c r="AW22" s="1013"/>
      <c r="AX22" s="1011"/>
      <c r="AY22" s="1012"/>
      <c r="AZ22" s="1012"/>
      <c r="BA22" s="1012"/>
      <c r="BB22" s="1013"/>
      <c r="BC22" s="1011"/>
      <c r="BD22" s="1012"/>
      <c r="BE22" s="1012"/>
      <c r="BF22" s="1012"/>
      <c r="BG22" s="1012"/>
      <c r="BH22" s="1013"/>
    </row>
    <row r="23" spans="1:60" ht="15" thickBot="1" x14ac:dyDescent="0.25">
      <c r="A23" s="774"/>
      <c r="B23" s="1095"/>
      <c r="C23" s="1096"/>
      <c r="D23" s="1096"/>
      <c r="E23" s="1096"/>
      <c r="F23" s="1096"/>
      <c r="G23" s="1097"/>
      <c r="H23" s="1089"/>
      <c r="I23" s="1090"/>
      <c r="J23" s="1090"/>
      <c r="K23" s="1090"/>
      <c r="L23" s="1090"/>
      <c r="M23" s="1091"/>
      <c r="N23" s="1041"/>
      <c r="O23" s="1042"/>
      <c r="P23" s="1042"/>
      <c r="Q23" s="1042"/>
      <c r="R23" s="1042"/>
      <c r="S23" s="1043"/>
      <c r="T23" s="1006"/>
      <c r="U23" s="1007"/>
      <c r="V23" s="1047"/>
      <c r="W23" s="1007"/>
      <c r="X23" s="1008"/>
      <c r="Y23" s="1014"/>
      <c r="Z23" s="1015"/>
      <c r="AA23" s="1015"/>
      <c r="AB23" s="1015"/>
      <c r="AC23" s="1016"/>
      <c r="AD23" s="1052"/>
      <c r="AE23" s="1023"/>
      <c r="AF23" s="1023"/>
      <c r="AG23" s="1023"/>
      <c r="AH23" s="1024"/>
      <c r="AI23" s="1056">
        <f>INDEX($I$11:$I$16,MATCH(AI20,$B$11:$B$16,0))</f>
        <v>2020</v>
      </c>
      <c r="AJ23" s="1057">
        <f t="shared" ref="AJ23:AM23" si="25">INDEX($I$11:$I$16,MATCH(AJ20,$B$11:$B$16,0))</f>
        <v>2020</v>
      </c>
      <c r="AK23" s="1057">
        <f t="shared" si="25"/>
        <v>2020</v>
      </c>
      <c r="AL23" s="1057">
        <f t="shared" si="25"/>
        <v>2020</v>
      </c>
      <c r="AM23" s="1058">
        <f t="shared" si="25"/>
        <v>2020</v>
      </c>
      <c r="AN23" s="1022"/>
      <c r="AO23" s="1025"/>
      <c r="AP23" s="1025"/>
      <c r="AQ23" s="1025"/>
      <c r="AR23" s="1026"/>
      <c r="AS23" s="1014"/>
      <c r="AT23" s="1015"/>
      <c r="AU23" s="1015"/>
      <c r="AV23" s="1015"/>
      <c r="AW23" s="1016"/>
      <c r="AX23" s="1014"/>
      <c r="AY23" s="1015"/>
      <c r="AZ23" s="1015"/>
      <c r="BA23" s="1015"/>
      <c r="BB23" s="1016"/>
      <c r="BC23" s="1014"/>
      <c r="BD23" s="1015"/>
      <c r="BE23" s="1015"/>
      <c r="BF23" s="1015"/>
      <c r="BG23" s="1015"/>
      <c r="BH23" s="1016"/>
    </row>
    <row r="24" spans="1:60" ht="15" thickTop="1" x14ac:dyDescent="0.2">
      <c r="A24" s="609">
        <v>2007</v>
      </c>
      <c r="B24" s="809">
        <f t="shared" ref="B24:G33" si="26">ROUND(INDEX(COST_Cls2,$A24-($A$24-1),MATCH(B$20,TECHOPTS_Cls2,0)),2)</f>
        <v>136900</v>
      </c>
      <c r="C24" s="809">
        <f t="shared" si="26"/>
        <v>1000000</v>
      </c>
      <c r="D24" s="809">
        <f t="shared" si="26"/>
        <v>1000000</v>
      </c>
      <c r="E24" s="809">
        <f t="shared" si="26"/>
        <v>1000000</v>
      </c>
      <c r="F24" s="809">
        <f t="shared" si="26"/>
        <v>1000000</v>
      </c>
      <c r="G24" s="810">
        <f t="shared" si="26"/>
        <v>1000000</v>
      </c>
      <c r="H24" s="972">
        <f t="shared" ref="H24:M33" si="27">IF(H$21="Single-fuel",1,1-MIN(INDEX(CDRANGE_CLS2,$A24-($A$24-1),MATCH(H$20,TECHOPTS_Cls2,0))*OPDAYS_Cls2/$D$6,1))</f>
        <v>1</v>
      </c>
      <c r="I24" s="973">
        <f t="shared" si="27"/>
        <v>1</v>
      </c>
      <c r="J24" s="973">
        <f t="shared" si="27"/>
        <v>1</v>
      </c>
      <c r="K24" s="973">
        <f t="shared" si="27"/>
        <v>1</v>
      </c>
      <c r="L24" s="973">
        <f t="shared" si="27"/>
        <v>1</v>
      </c>
      <c r="M24" s="974">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7848.7604053474406</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43034.780126912701</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163282.73320612666</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190086.28115665101</v>
      </c>
      <c r="T24" s="275">
        <f t="shared" ref="T24:T67" si="34">$N24-O24+T$22</f>
        <v>-35186.019721565259</v>
      </c>
      <c r="U24" s="276">
        <f t="shared" ref="U24:U67" si="35">$N24-P24+U$22</f>
        <v>-35186.019721565259</v>
      </c>
      <c r="V24" s="276">
        <f t="shared" ref="V24:V67" si="36">$N24-Q24+V$22</f>
        <v>-35186.019721565259</v>
      </c>
      <c r="W24" s="276">
        <f t="shared" ref="W24:W67" si="37">$N24-R24+W$22</f>
        <v>-155433.97280077921</v>
      </c>
      <c r="X24" s="278">
        <f t="shared" ref="X24:X67" si="38">$N24-S24+X$22</f>
        <v>-182237.52075130356</v>
      </c>
      <c r="Y24" s="279">
        <f ca="1">IF(AND(Y$22=TRUE,INDEX(CDRANGE_CLS2,MATCH($A24,$A$24:$A$67,0),MATCH(Y$20,$B$20:$G$20,0))&lt;$D$6/OPDAYS_Cls2),86,payback(C24,T24,disc_rate/12,85))</f>
        <v>86</v>
      </c>
      <c r="Z24" s="280">
        <f ca="1">IF(AND(Z$22=TRUE,INDEX(CDRANGE_CLS2,MATCH($A24,$A$24:$A$67,0),MATCH(Z$20,$B$20:$G$20,0))&lt;$D$6/OPDAYS_Cls2),86,payback(D24,U24,disc_rate/12,85))</f>
        <v>86</v>
      </c>
      <c r="AA24" s="280">
        <f ca="1">IF(AND(AA$22=TRUE,INDEX(CDRANGE_CLS2,MATCH($A24,$A$24:$A$67,0),MATCH(AA$20,$B$20:$G$20,0))&lt;$D$6/OPDAYS_Cls2),86,payback(E24,V24,disc_rate/12,85))</f>
        <v>86</v>
      </c>
      <c r="AB24" s="280">
        <f>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ca="1" si="52">MIN(1,MAX(AF24,IF(AA24&gt;85,0,(AK24/0.5)*VLOOKUP(AA24,AdoptDec,$AU$18,0))))</f>
        <v>0</v>
      </c>
      <c r="AV24" s="283">
        <f t="shared" ref="AV24:AV67"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ca="1" si="57">MIN(AU24*AP24,1)</f>
        <v>0</v>
      </c>
      <c r="BA24" s="283">
        <f t="shared" ref="BA24:BB24"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136900</v>
      </c>
      <c r="C25" s="812">
        <f t="shared" si="26"/>
        <v>1000000</v>
      </c>
      <c r="D25" s="812">
        <f t="shared" si="26"/>
        <v>1000000</v>
      </c>
      <c r="E25" s="812">
        <f t="shared" si="26"/>
        <v>1000000</v>
      </c>
      <c r="F25" s="812">
        <f t="shared" si="26"/>
        <v>1000000</v>
      </c>
      <c r="G25" s="813">
        <f t="shared" si="26"/>
        <v>1000000</v>
      </c>
      <c r="H25" s="975">
        <f t="shared" si="27"/>
        <v>1</v>
      </c>
      <c r="I25" s="976">
        <f t="shared" si="27"/>
        <v>1</v>
      </c>
      <c r="J25" s="976">
        <f t="shared" si="27"/>
        <v>1</v>
      </c>
      <c r="K25" s="976">
        <f t="shared" si="27"/>
        <v>1</v>
      </c>
      <c r="L25" s="976">
        <f t="shared" si="27"/>
        <v>1</v>
      </c>
      <c r="M25" s="977">
        <f t="shared" si="27"/>
        <v>1</v>
      </c>
      <c r="N25" s="289">
        <f t="shared" si="28"/>
        <v>10743.105857632985</v>
      </c>
      <c r="O25" s="290">
        <f t="shared" si="29"/>
        <v>58904.486133682345</v>
      </c>
      <c r="P25" s="290">
        <f t="shared" si="30"/>
        <v>58904.486133682345</v>
      </c>
      <c r="Q25" s="290">
        <f t="shared" si="31"/>
        <v>58904.486133682345</v>
      </c>
      <c r="R25" s="290">
        <f t="shared" si="32"/>
        <v>212071.67021326753</v>
      </c>
      <c r="S25" s="292">
        <f t="shared" si="33"/>
        <v>190086.28115665101</v>
      </c>
      <c r="T25" s="289">
        <f t="shared" si="34"/>
        <v>-48161.380276049356</v>
      </c>
      <c r="U25" s="290">
        <f t="shared" si="35"/>
        <v>-48161.380276049356</v>
      </c>
      <c r="V25" s="290">
        <f t="shared" si="36"/>
        <v>-48161.380276049356</v>
      </c>
      <c r="W25" s="290">
        <f t="shared" si="37"/>
        <v>-201328.56435563453</v>
      </c>
      <c r="X25" s="292">
        <f t="shared" si="38"/>
        <v>-179343.17529901801</v>
      </c>
      <c r="Y25" s="293">
        <f ca="1">IF(AND(Y$22=TRUE,INDEX(CDRANGE_CLS2,MATCH($A25,$A$24:$A$67,0),MATCH(Y$20,$B$20:$G$20,0))&lt;$D$6/OPDAYS_Cls2),86,payback(C25,T25,disc_rate/12,85))</f>
        <v>86</v>
      </c>
      <c r="Z25" s="294">
        <f ca="1">IF(AND(Z$22=TRUE,INDEX(CDRANGE_CLS2,MATCH($A25,$A$24:$A$67,0),MATCH(Z$20,$B$20:$G$20,0))&lt;$D$6/OPDAYS_Cls2),86,payback(D25,U25,disc_rate/12,85))</f>
        <v>86</v>
      </c>
      <c r="AA25" s="294">
        <f ca="1">IF(AND(AA$22=TRUE,INDEX(CDRANGE_CLS2,MATCH($A25,$A$24:$A$67,0),MATCH(AA$20,$B$20:$G$20,0))&lt;$D$6/OPDAYS_Cls2),86,payback(E25,V25,disc_rate/12,85))</f>
        <v>86</v>
      </c>
      <c r="AB25" s="294">
        <f>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ca="1" si="52"/>
        <v>0</v>
      </c>
      <c r="AV25" s="283">
        <f t="shared" si="53"/>
        <v>0</v>
      </c>
      <c r="AW25" s="284">
        <f t="shared" ca="1" si="54"/>
        <v>0</v>
      </c>
      <c r="AX25" s="296">
        <f t="shared" ca="1" si="55"/>
        <v>0</v>
      </c>
      <c r="AY25" s="297">
        <f t="shared" ca="1" si="56"/>
        <v>0</v>
      </c>
      <c r="AZ25" s="297">
        <f t="shared" ca="1" si="57"/>
        <v>0</v>
      </c>
      <c r="BA25" s="283">
        <f t="shared" ref="BA25:BA67"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136900</v>
      </c>
      <c r="C26" s="812">
        <f t="shared" si="26"/>
        <v>1000000</v>
      </c>
      <c r="D26" s="812">
        <f t="shared" si="26"/>
        <v>1000000</v>
      </c>
      <c r="E26" s="812">
        <f t="shared" si="26"/>
        <v>1000000</v>
      </c>
      <c r="F26" s="812">
        <f t="shared" si="26"/>
        <v>1000000</v>
      </c>
      <c r="G26" s="813">
        <f t="shared" si="26"/>
        <v>1000000</v>
      </c>
      <c r="H26" s="975">
        <f t="shared" si="27"/>
        <v>1</v>
      </c>
      <c r="I26" s="976">
        <f t="shared" si="27"/>
        <v>1</v>
      </c>
      <c r="J26" s="976">
        <f t="shared" si="27"/>
        <v>1</v>
      </c>
      <c r="K26" s="976">
        <f t="shared" si="27"/>
        <v>1</v>
      </c>
      <c r="L26" s="976">
        <f t="shared" si="27"/>
        <v>1</v>
      </c>
      <c r="M26" s="977">
        <f t="shared" si="27"/>
        <v>1</v>
      </c>
      <c r="N26" s="289">
        <f t="shared" si="28"/>
        <v>6943.917370564538</v>
      </c>
      <c r="O26" s="290">
        <f t="shared" si="29"/>
        <v>38073.522674752407</v>
      </c>
      <c r="P26" s="290">
        <f t="shared" si="30"/>
        <v>38073.522674752407</v>
      </c>
      <c r="Q26" s="290">
        <f t="shared" si="31"/>
        <v>38073.522674752407</v>
      </c>
      <c r="R26" s="290">
        <f t="shared" si="32"/>
        <v>317800.49753746408</v>
      </c>
      <c r="S26" s="292">
        <f t="shared" si="33"/>
        <v>190086.28115665101</v>
      </c>
      <c r="T26" s="289">
        <f t="shared" si="34"/>
        <v>-31129.605304187869</v>
      </c>
      <c r="U26" s="290">
        <f t="shared" si="35"/>
        <v>-31129.605304187869</v>
      </c>
      <c r="V26" s="290">
        <f t="shared" si="36"/>
        <v>-31129.605304187869</v>
      </c>
      <c r="W26" s="290">
        <f t="shared" si="37"/>
        <v>-310856.58016689954</v>
      </c>
      <c r="X26" s="292">
        <f t="shared" si="38"/>
        <v>-183142.36378608647</v>
      </c>
      <c r="Y26" s="293">
        <f ca="1">IF(AND(Y$22=TRUE,INDEX(CDRANGE_CLS2,MATCH($A26,$A$24:$A$67,0),MATCH(Y$20,$B$20:$G$20,0))&lt;$D$6/OPDAYS_Cls2),86,payback(C26,T26,disc_rate/12,85))</f>
        <v>86</v>
      </c>
      <c r="Z26" s="294">
        <f ca="1">IF(AND(Z$22=TRUE,INDEX(CDRANGE_CLS2,MATCH($A26,$A$24:$A$67,0),MATCH(Z$20,$B$20:$G$20,0))&lt;$D$6/OPDAYS_Cls2),86,payback(D26,U26,disc_rate/12,85))</f>
        <v>86</v>
      </c>
      <c r="AA26" s="294">
        <f ca="1">IF(AND(AA$22=TRUE,INDEX(CDRANGE_CLS2,MATCH($A26,$A$24:$A$67,0),MATCH(AA$20,$B$20:$G$20,0))&lt;$D$6/OPDAYS_Cls2),86,payback(E26,V26,disc_rate/12,85))</f>
        <v>86</v>
      </c>
      <c r="AB26" s="294">
        <f>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ca="1" si="52"/>
        <v>0</v>
      </c>
      <c r="AV26" s="283">
        <f t="shared" si="53"/>
        <v>0</v>
      </c>
      <c r="AW26" s="284">
        <f t="shared" ca="1" si="54"/>
        <v>0</v>
      </c>
      <c r="AX26" s="296">
        <f t="shared" ca="1" si="55"/>
        <v>0</v>
      </c>
      <c r="AY26" s="297">
        <f t="shared" ca="1" si="56"/>
        <v>0</v>
      </c>
      <c r="AZ26" s="297">
        <f t="shared" ca="1" si="57"/>
        <v>0</v>
      </c>
      <c r="BA26" s="283">
        <f t="shared"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4">
        <f t="shared" si="26"/>
        <v>136900</v>
      </c>
      <c r="C27" s="815">
        <f t="shared" si="26"/>
        <v>1000000</v>
      </c>
      <c r="D27" s="815">
        <f t="shared" si="26"/>
        <v>1000000</v>
      </c>
      <c r="E27" s="815">
        <f t="shared" si="26"/>
        <v>1000000</v>
      </c>
      <c r="F27" s="815">
        <f t="shared" si="26"/>
        <v>1000000</v>
      </c>
      <c r="G27" s="816">
        <f t="shared" si="26"/>
        <v>1000000</v>
      </c>
      <c r="H27" s="978">
        <f t="shared" si="27"/>
        <v>1</v>
      </c>
      <c r="I27" s="979">
        <f t="shared" si="27"/>
        <v>1</v>
      </c>
      <c r="J27" s="979">
        <f t="shared" si="27"/>
        <v>1</v>
      </c>
      <c r="K27" s="979">
        <f t="shared" si="27"/>
        <v>1</v>
      </c>
      <c r="L27" s="979">
        <f t="shared" si="27"/>
        <v>1</v>
      </c>
      <c r="M27" s="980">
        <f t="shared" si="27"/>
        <v>1</v>
      </c>
      <c r="N27" s="303">
        <f t="shared" si="28"/>
        <v>8501.4674780623336</v>
      </c>
      <c r="O27" s="304">
        <f t="shared" si="29"/>
        <v>46935.908245807492</v>
      </c>
      <c r="P27" s="304">
        <f t="shared" si="30"/>
        <v>46935.908245807492</v>
      </c>
      <c r="Q27" s="304">
        <f t="shared" si="31"/>
        <v>46935.908245807492</v>
      </c>
      <c r="R27" s="304">
        <f t="shared" si="32"/>
        <v>228550.91432391098</v>
      </c>
      <c r="S27" s="306">
        <f t="shared" si="33"/>
        <v>190086.28115665101</v>
      </c>
      <c r="T27" s="303">
        <f t="shared" si="34"/>
        <v>-38434.44076774516</v>
      </c>
      <c r="U27" s="304">
        <f t="shared" si="35"/>
        <v>-38434.44076774516</v>
      </c>
      <c r="V27" s="304">
        <f t="shared" si="36"/>
        <v>-38434.44076774516</v>
      </c>
      <c r="W27" s="304">
        <f t="shared" si="37"/>
        <v>-220049.44684584864</v>
      </c>
      <c r="X27" s="306">
        <f t="shared" si="38"/>
        <v>-181584.81367858866</v>
      </c>
      <c r="Y27" s="307">
        <f ca="1">IF(AND(Y$22=TRUE,INDEX(CDRANGE_CLS2,MATCH($A27,$A$24:$A$67,0),MATCH(Y$20,$B$20:$G$20,0))&lt;$D$6/OPDAYS_Cls2),86,payback(C27,T27,disc_rate/12,85))</f>
        <v>86</v>
      </c>
      <c r="Z27" s="308">
        <f ca="1">IF(AND(Z$22=TRUE,INDEX(CDRANGE_CLS2,MATCH($A27,$A$24:$A$67,0),MATCH(Z$20,$B$20:$G$20,0))&lt;$D$6/OPDAYS_Cls2),86,payback(D27,U27,disc_rate/12,85))</f>
        <v>86</v>
      </c>
      <c r="AA27" s="308">
        <f ca="1">IF(AND(AA$22=TRUE,INDEX(CDRANGE_CLS2,MATCH($A27,$A$24:$A$67,0),MATCH(AA$20,$B$20:$G$20,0))&lt;$D$6/OPDAYS_Cls2),86,payback(E27,V27,disc_rate/12,85))</f>
        <v>86</v>
      </c>
      <c r="AB27" s="308">
        <f>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ca="1" si="52"/>
        <v>0</v>
      </c>
      <c r="AV27" s="320">
        <f t="shared" si="53"/>
        <v>0</v>
      </c>
      <c r="AW27" s="321">
        <f t="shared" ca="1" si="54"/>
        <v>0</v>
      </c>
      <c r="AX27" s="310">
        <f t="shared" ca="1" si="55"/>
        <v>0</v>
      </c>
      <c r="AY27" s="311">
        <f t="shared" ca="1" si="56"/>
        <v>0</v>
      </c>
      <c r="AZ27" s="311">
        <f t="shared" ca="1" si="57"/>
        <v>0</v>
      </c>
      <c r="BA27" s="311">
        <f t="shared"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136900</v>
      </c>
      <c r="C28" s="818">
        <f t="shared" si="26"/>
        <v>1000000</v>
      </c>
      <c r="D28" s="818">
        <f t="shared" si="26"/>
        <v>1000000</v>
      </c>
      <c r="E28" s="818">
        <f t="shared" si="26"/>
        <v>1000000</v>
      </c>
      <c r="F28" s="818">
        <f t="shared" si="26"/>
        <v>1000000</v>
      </c>
      <c r="G28" s="819">
        <f t="shared" si="26"/>
        <v>1000000</v>
      </c>
      <c r="H28" s="981">
        <f t="shared" si="27"/>
        <v>1</v>
      </c>
      <c r="I28" s="982">
        <f t="shared" si="27"/>
        <v>1</v>
      </c>
      <c r="J28" s="982">
        <f t="shared" si="27"/>
        <v>1</v>
      </c>
      <c r="K28" s="982">
        <f t="shared" si="27"/>
        <v>1</v>
      </c>
      <c r="L28" s="982">
        <f t="shared" si="27"/>
        <v>1</v>
      </c>
      <c r="M28" s="983">
        <f t="shared" si="27"/>
        <v>1</v>
      </c>
      <c r="N28" s="275">
        <f t="shared" si="28"/>
        <v>11019.107932597239</v>
      </c>
      <c r="O28" s="276">
        <f t="shared" si="29"/>
        <v>62135.793122563649</v>
      </c>
      <c r="P28" s="276">
        <f t="shared" si="30"/>
        <v>62135.793122563649</v>
      </c>
      <c r="Q28" s="276">
        <f t="shared" si="31"/>
        <v>62135.793122563649</v>
      </c>
      <c r="R28" s="276">
        <f t="shared" si="32"/>
        <v>180550.88145288127</v>
      </c>
      <c r="S28" s="278">
        <f t="shared" si="33"/>
        <v>190086.28115665101</v>
      </c>
      <c r="T28" s="275">
        <f t="shared" si="34"/>
        <v>-51116.685189966411</v>
      </c>
      <c r="U28" s="276">
        <f t="shared" si="35"/>
        <v>-51116.685189966411</v>
      </c>
      <c r="V28" s="276">
        <f t="shared" si="36"/>
        <v>-51116.685189966411</v>
      </c>
      <c r="W28" s="276">
        <f t="shared" si="37"/>
        <v>-169531.77352028404</v>
      </c>
      <c r="X28" s="278">
        <f t="shared" si="38"/>
        <v>-179067.17322405375</v>
      </c>
      <c r="Y28" s="279">
        <f ca="1">IF(AND(Y$22=TRUE,INDEX(CDRANGE_CLS2,MATCH($A28,$A$24:$A$67,0),MATCH(Y$20,$B$20:$G$20,0))&lt;$D$6/OPDAYS_Cls2),86,payback(C28,T28,disc_rate/12,85))</f>
        <v>86</v>
      </c>
      <c r="Z28" s="280">
        <f ca="1">IF(AND(Z$22=TRUE,INDEX(CDRANGE_CLS2,MATCH($A28,$A$24:$A$67,0),MATCH(Z$20,$B$20:$G$20,0))&lt;$D$6/OPDAYS_Cls2),86,payback(D28,U28,disc_rate/12,85))</f>
        <v>86</v>
      </c>
      <c r="AA28" s="280">
        <f ca="1">IF(AND(AA$22=TRUE,INDEX(CDRANGE_CLS2,MATCH($A28,$A$24:$A$67,0),MATCH(AA$20,$B$20:$G$20,0))&lt;$D$6/OPDAYS_Cls2),86,payback(E28,V28,disc_rate/12,85))</f>
        <v>86</v>
      </c>
      <c r="AB28" s="280">
        <f>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ca="1" si="52"/>
        <v>0</v>
      </c>
      <c r="AV28" s="283">
        <f t="shared" si="53"/>
        <v>0</v>
      </c>
      <c r="AW28" s="284">
        <f t="shared" ca="1" si="54"/>
        <v>0</v>
      </c>
      <c r="AX28" s="282">
        <f t="shared" ca="1" si="55"/>
        <v>0</v>
      </c>
      <c r="AY28" s="283">
        <f t="shared" ca="1" si="56"/>
        <v>0</v>
      </c>
      <c r="AZ28" s="283">
        <f t="shared" ca="1" si="57"/>
        <v>0</v>
      </c>
      <c r="BA28" s="283">
        <f t="shared"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136900</v>
      </c>
      <c r="C29" s="821">
        <f t="shared" si="26"/>
        <v>1000000</v>
      </c>
      <c r="D29" s="821">
        <f t="shared" si="26"/>
        <v>1000000</v>
      </c>
      <c r="E29" s="821">
        <f t="shared" si="26"/>
        <v>1000000</v>
      </c>
      <c r="F29" s="821">
        <f t="shared" si="26"/>
        <v>1000000</v>
      </c>
      <c r="G29" s="822">
        <f t="shared" si="26"/>
        <v>1000000</v>
      </c>
      <c r="H29" s="984">
        <f t="shared" si="27"/>
        <v>1</v>
      </c>
      <c r="I29" s="985">
        <f t="shared" si="27"/>
        <v>1</v>
      </c>
      <c r="J29" s="985">
        <f t="shared" si="27"/>
        <v>1</v>
      </c>
      <c r="K29" s="985">
        <f t="shared" si="27"/>
        <v>1</v>
      </c>
      <c r="L29" s="985">
        <f t="shared" si="27"/>
        <v>1</v>
      </c>
      <c r="M29" s="986">
        <f t="shared" si="27"/>
        <v>1</v>
      </c>
      <c r="N29" s="289">
        <f t="shared" si="28"/>
        <v>11529.985542406041</v>
      </c>
      <c r="O29" s="290">
        <f t="shared" si="29"/>
        <v>65536.094100928531</v>
      </c>
      <c r="P29" s="290">
        <f t="shared" si="30"/>
        <v>65536.094100928531</v>
      </c>
      <c r="Q29" s="290">
        <f t="shared" si="31"/>
        <v>65536.094100928531</v>
      </c>
      <c r="R29" s="290">
        <f t="shared" si="32"/>
        <v>154327.28940737376</v>
      </c>
      <c r="S29" s="292">
        <f t="shared" si="33"/>
        <v>190086.28115665101</v>
      </c>
      <c r="T29" s="289">
        <f t="shared" si="34"/>
        <v>-54006.108558522494</v>
      </c>
      <c r="U29" s="290">
        <f t="shared" si="35"/>
        <v>-54006.108558522494</v>
      </c>
      <c r="V29" s="290">
        <f t="shared" si="36"/>
        <v>-54006.108558522494</v>
      </c>
      <c r="W29" s="290">
        <f t="shared" si="37"/>
        <v>-142797.30386496772</v>
      </c>
      <c r="X29" s="292">
        <f t="shared" si="38"/>
        <v>-178556.29561424497</v>
      </c>
      <c r="Y29" s="293">
        <f ca="1">IF(AND(Y$22=TRUE,INDEX(CDRANGE_CLS2,MATCH($A29,$A$24:$A$67,0),MATCH(Y$20,$B$20:$G$20,0))&lt;$D$6/OPDAYS_Cls2),86,payback(C29,T29,disc_rate/12,85))</f>
        <v>86</v>
      </c>
      <c r="Z29" s="294">
        <f ca="1">IF(AND(Z$22=TRUE,INDEX(CDRANGE_CLS2,MATCH($A29,$A$24:$A$67,0),MATCH(Z$20,$B$20:$G$20,0))&lt;$D$6/OPDAYS_Cls2),86,payback(D29,U29,disc_rate/12,85))</f>
        <v>86</v>
      </c>
      <c r="AA29" s="294">
        <f ca="1">IF(AND(AA$22=TRUE,INDEX(CDRANGE_CLS2,MATCH($A29,$A$24:$A$67,0),MATCH(AA$20,$B$20:$G$20,0))&lt;$D$6/OPDAYS_Cls2),86,payback(E29,V29,disc_rate/12,85))</f>
        <v>86</v>
      </c>
      <c r="AB29" s="294">
        <f>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ca="1" si="52"/>
        <v>0</v>
      </c>
      <c r="AV29" s="283">
        <f t="shared" si="53"/>
        <v>0</v>
      </c>
      <c r="AW29" s="284">
        <f t="shared" ca="1" si="54"/>
        <v>0</v>
      </c>
      <c r="AX29" s="296">
        <f t="shared" ca="1" si="55"/>
        <v>0</v>
      </c>
      <c r="AY29" s="297">
        <f t="shared" ca="1" si="56"/>
        <v>0</v>
      </c>
      <c r="AZ29" s="297">
        <f t="shared" ca="1" si="57"/>
        <v>0</v>
      </c>
      <c r="BA29" s="283">
        <f t="shared"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136900</v>
      </c>
      <c r="C30" s="821">
        <f t="shared" si="26"/>
        <v>1000000</v>
      </c>
      <c r="D30" s="821">
        <f t="shared" si="26"/>
        <v>1000000</v>
      </c>
      <c r="E30" s="821">
        <f t="shared" si="26"/>
        <v>1000000</v>
      </c>
      <c r="F30" s="821">
        <f t="shared" si="26"/>
        <v>1000000</v>
      </c>
      <c r="G30" s="822">
        <f t="shared" si="26"/>
        <v>1000000</v>
      </c>
      <c r="H30" s="984">
        <f t="shared" si="27"/>
        <v>1</v>
      </c>
      <c r="I30" s="985">
        <f t="shared" si="27"/>
        <v>1</v>
      </c>
      <c r="J30" s="985">
        <f t="shared" si="27"/>
        <v>1</v>
      </c>
      <c r="K30" s="985">
        <f t="shared" si="27"/>
        <v>1</v>
      </c>
      <c r="L30" s="985">
        <f t="shared" si="27"/>
        <v>1</v>
      </c>
      <c r="M30" s="986">
        <f t="shared" si="27"/>
        <v>1</v>
      </c>
      <c r="N30" s="289">
        <f t="shared" si="28"/>
        <v>11382.955567247591</v>
      </c>
      <c r="O30" s="290">
        <f t="shared" si="29"/>
        <v>65728.783480081052</v>
      </c>
      <c r="P30" s="290">
        <f t="shared" si="30"/>
        <v>65728.783480081052</v>
      </c>
      <c r="Q30" s="290">
        <f t="shared" si="31"/>
        <v>65728.783480081052</v>
      </c>
      <c r="R30" s="290">
        <f t="shared" si="32"/>
        <v>158190.65391351801</v>
      </c>
      <c r="S30" s="292">
        <f t="shared" si="33"/>
        <v>190086.28115665101</v>
      </c>
      <c r="T30" s="289">
        <f t="shared" si="34"/>
        <v>-54345.827912833462</v>
      </c>
      <c r="U30" s="290">
        <f t="shared" si="35"/>
        <v>-54345.827912833462</v>
      </c>
      <c r="V30" s="290">
        <f t="shared" si="36"/>
        <v>-54345.827912833462</v>
      </c>
      <c r="W30" s="290">
        <f t="shared" si="37"/>
        <v>-146807.69834627042</v>
      </c>
      <c r="X30" s="292">
        <f t="shared" si="38"/>
        <v>-178703.32558940342</v>
      </c>
      <c r="Y30" s="293">
        <f ca="1">IF(AND(Y$22=TRUE,INDEX(CDRANGE_CLS2,MATCH($A30,$A$24:$A$67,0),MATCH(Y$20,$B$20:$G$20,0))&lt;$D$6/OPDAYS_Cls2),86,payback(C30,T30,disc_rate/12,85))</f>
        <v>86</v>
      </c>
      <c r="Z30" s="294">
        <f ca="1">IF(AND(Z$22=TRUE,INDEX(CDRANGE_CLS2,MATCH($A30,$A$24:$A$67,0),MATCH(Z$20,$B$20:$G$20,0))&lt;$D$6/OPDAYS_Cls2),86,payback(D30,U30,disc_rate/12,85))</f>
        <v>86</v>
      </c>
      <c r="AA30" s="294">
        <f ca="1">IF(AND(AA$22=TRUE,INDEX(CDRANGE_CLS2,MATCH($A30,$A$24:$A$67,0),MATCH(AA$20,$B$20:$G$20,0))&lt;$D$6/OPDAYS_Cls2),86,payback(E30,V30,disc_rate/12,85))</f>
        <v>86</v>
      </c>
      <c r="AB30" s="294">
        <f>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ca="1" si="52"/>
        <v>0</v>
      </c>
      <c r="AV30" s="283">
        <f t="shared" si="53"/>
        <v>0</v>
      </c>
      <c r="AW30" s="284">
        <f t="shared" ca="1" si="54"/>
        <v>0</v>
      </c>
      <c r="AX30" s="296">
        <f t="shared" ca="1" si="55"/>
        <v>0</v>
      </c>
      <c r="AY30" s="297">
        <f t="shared" ca="1" si="56"/>
        <v>0</v>
      </c>
      <c r="AZ30" s="297">
        <f t="shared" ca="1" si="57"/>
        <v>0</v>
      </c>
      <c r="BA30" s="283">
        <f t="shared"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136900</v>
      </c>
      <c r="C31" s="821">
        <f t="shared" si="26"/>
        <v>1000000</v>
      </c>
      <c r="D31" s="821">
        <f t="shared" si="26"/>
        <v>1000000</v>
      </c>
      <c r="E31" s="821">
        <f t="shared" si="26"/>
        <v>1000000</v>
      </c>
      <c r="F31" s="821">
        <f t="shared" si="26"/>
        <v>1000000</v>
      </c>
      <c r="G31" s="822">
        <f t="shared" si="26"/>
        <v>1000000</v>
      </c>
      <c r="H31" s="984">
        <f t="shared" si="27"/>
        <v>1</v>
      </c>
      <c r="I31" s="985">
        <f t="shared" si="27"/>
        <v>1</v>
      </c>
      <c r="J31" s="985">
        <f t="shared" si="27"/>
        <v>1</v>
      </c>
      <c r="K31" s="985">
        <f t="shared" si="27"/>
        <v>1</v>
      </c>
      <c r="L31" s="985">
        <f t="shared" si="27"/>
        <v>1</v>
      </c>
      <c r="M31" s="986">
        <f t="shared" si="27"/>
        <v>1</v>
      </c>
      <c r="N31" s="289">
        <f t="shared" si="28"/>
        <v>11117.848665517491</v>
      </c>
      <c r="O31" s="290">
        <f t="shared" si="29"/>
        <v>65138.804843422527</v>
      </c>
      <c r="P31" s="290">
        <f t="shared" si="30"/>
        <v>65138.804843422527</v>
      </c>
      <c r="Q31" s="290">
        <f t="shared" si="31"/>
        <v>65138.804843422527</v>
      </c>
      <c r="R31" s="290">
        <f t="shared" si="32"/>
        <v>164185.43047193429</v>
      </c>
      <c r="S31" s="292">
        <f t="shared" si="33"/>
        <v>190086.28115665101</v>
      </c>
      <c r="T31" s="289">
        <f t="shared" si="34"/>
        <v>-54020.956177905035</v>
      </c>
      <c r="U31" s="290">
        <f t="shared" si="35"/>
        <v>-54020.956177905035</v>
      </c>
      <c r="V31" s="290">
        <f t="shared" si="36"/>
        <v>-54020.956177905035</v>
      </c>
      <c r="W31" s="290">
        <f t="shared" si="37"/>
        <v>-153067.5818064168</v>
      </c>
      <c r="X31" s="292">
        <f t="shared" si="38"/>
        <v>-178968.43249113351</v>
      </c>
      <c r="Y31" s="293">
        <f ca="1">IF(AND(Y$22=TRUE,INDEX(CDRANGE_CLS2,MATCH($A31,$A$24:$A$67,0),MATCH(Y$20,$B$20:$G$20,0))&lt;$D$6/OPDAYS_Cls2),86,payback(C31,T31,disc_rate/12,85))</f>
        <v>86</v>
      </c>
      <c r="Z31" s="294">
        <f ca="1">IF(AND(Z$22=TRUE,INDEX(CDRANGE_CLS2,MATCH($A31,$A$24:$A$67,0),MATCH(Z$20,$B$20:$G$20,0))&lt;$D$6/OPDAYS_Cls2),86,payback(D31,U31,disc_rate/12,85))</f>
        <v>86</v>
      </c>
      <c r="AA31" s="294">
        <f ca="1">IF(AND(AA$22=TRUE,INDEX(CDRANGE_CLS2,MATCH($A31,$A$24:$A$67,0),MATCH(AA$20,$B$20:$G$20,0))&lt;$D$6/OPDAYS_Cls2),86,payback(E31,V31,disc_rate/12,85))</f>
        <v>86</v>
      </c>
      <c r="AB31" s="294">
        <f>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ca="1" si="52"/>
        <v>0</v>
      </c>
      <c r="AV31" s="283">
        <f t="shared" si="53"/>
        <v>0</v>
      </c>
      <c r="AW31" s="284">
        <f t="shared" ca="1" si="54"/>
        <v>0</v>
      </c>
      <c r="AX31" s="296">
        <f t="shared" ca="1" si="55"/>
        <v>0</v>
      </c>
      <c r="AY31" s="297">
        <f t="shared" ca="1" si="56"/>
        <v>0</v>
      </c>
      <c r="AZ31" s="297">
        <f t="shared" ca="1" si="57"/>
        <v>0</v>
      </c>
      <c r="BA31" s="283">
        <f t="shared"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3">
        <f t="shared" si="26"/>
        <v>136900</v>
      </c>
      <c r="C32" s="824">
        <f t="shared" si="26"/>
        <v>1000000</v>
      </c>
      <c r="D32" s="824">
        <f t="shared" si="26"/>
        <v>1000000</v>
      </c>
      <c r="E32" s="824">
        <f t="shared" si="26"/>
        <v>1000000</v>
      </c>
      <c r="F32" s="824">
        <f t="shared" si="26"/>
        <v>1000000</v>
      </c>
      <c r="G32" s="825">
        <f t="shared" si="26"/>
        <v>1000000</v>
      </c>
      <c r="H32" s="978">
        <f t="shared" si="27"/>
        <v>1</v>
      </c>
      <c r="I32" s="979">
        <f t="shared" si="27"/>
        <v>1</v>
      </c>
      <c r="J32" s="979">
        <f t="shared" si="27"/>
        <v>1</v>
      </c>
      <c r="K32" s="979">
        <f t="shared" si="27"/>
        <v>1</v>
      </c>
      <c r="L32" s="979">
        <f t="shared" si="27"/>
        <v>1</v>
      </c>
      <c r="M32" s="980">
        <f t="shared" si="27"/>
        <v>1</v>
      </c>
      <c r="N32" s="303">
        <f t="shared" si="28"/>
        <v>7684.4411381369355</v>
      </c>
      <c r="O32" s="304">
        <f t="shared" si="29"/>
        <v>46159.989605920513</v>
      </c>
      <c r="P32" s="304">
        <f t="shared" si="30"/>
        <v>46159.989605920513</v>
      </c>
      <c r="Q32" s="304">
        <f t="shared" si="31"/>
        <v>46159.989605920513</v>
      </c>
      <c r="R32" s="304">
        <f t="shared" si="32"/>
        <v>150432.47159040737</v>
      </c>
      <c r="S32" s="306">
        <f t="shared" si="33"/>
        <v>274186.44574510067</v>
      </c>
      <c r="T32" s="303">
        <f t="shared" si="34"/>
        <v>-38475.548467783578</v>
      </c>
      <c r="U32" s="304">
        <f t="shared" si="35"/>
        <v>-38475.548467783578</v>
      </c>
      <c r="V32" s="304">
        <f t="shared" si="36"/>
        <v>-38475.548467783578</v>
      </c>
      <c r="W32" s="304">
        <f t="shared" si="37"/>
        <v>-142748.03045227044</v>
      </c>
      <c r="X32" s="306">
        <f t="shared" si="38"/>
        <v>-266502.00460696372</v>
      </c>
      <c r="Y32" s="307">
        <f ca="1">IF(AND(Y$22=TRUE,INDEX(CDRANGE_CLS2,MATCH($A32,$A$24:$A$67,0),MATCH(Y$20,$B$20:$G$20,0))&lt;$D$6/OPDAYS_Cls2),86,payback(C32,T32,disc_rate/12,85))</f>
        <v>86</v>
      </c>
      <c r="Z32" s="308">
        <f ca="1">IF(AND(Z$22=TRUE,INDEX(CDRANGE_CLS2,MATCH($A32,$A$24:$A$67,0),MATCH(Z$20,$B$20:$G$20,0))&lt;$D$6/OPDAYS_Cls2),86,payback(D32,U32,disc_rate/12,85))</f>
        <v>86</v>
      </c>
      <c r="AA32" s="308">
        <f ca="1">IF(AND(AA$22=TRUE,INDEX(CDRANGE_CLS2,MATCH($A32,$A$24:$A$67,0),MATCH(AA$20,$B$20:$G$20,0))&lt;$D$6/OPDAYS_Cls2),86,payback(E32,V32,disc_rate/12,85))</f>
        <v>86</v>
      </c>
      <c r="AB32" s="308">
        <f>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ca="1" si="52"/>
        <v>0</v>
      </c>
      <c r="AV32" s="831">
        <f t="shared" si="53"/>
        <v>0</v>
      </c>
      <c r="AW32" s="832">
        <f t="shared" ca="1" si="54"/>
        <v>0</v>
      </c>
      <c r="AX32" s="310">
        <f t="shared" ca="1" si="55"/>
        <v>0</v>
      </c>
      <c r="AY32" s="311">
        <f t="shared" ca="1" si="56"/>
        <v>0</v>
      </c>
      <c r="AZ32" s="311">
        <f t="shared" ca="1" si="57"/>
        <v>0</v>
      </c>
      <c r="BA32" s="311">
        <f t="shared"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136900</v>
      </c>
      <c r="C33" s="827">
        <f t="shared" si="26"/>
        <v>1000000</v>
      </c>
      <c r="D33" s="827">
        <f t="shared" si="26"/>
        <v>1000000</v>
      </c>
      <c r="E33" s="827">
        <f t="shared" si="26"/>
        <v>1000000</v>
      </c>
      <c r="F33" s="827">
        <f t="shared" si="26"/>
        <v>1000000</v>
      </c>
      <c r="G33" s="828">
        <f t="shared" si="26"/>
        <v>1000000</v>
      </c>
      <c r="H33" s="981">
        <f t="shared" si="27"/>
        <v>1</v>
      </c>
      <c r="I33" s="982">
        <f t="shared" si="27"/>
        <v>1</v>
      </c>
      <c r="J33" s="982">
        <f t="shared" si="27"/>
        <v>1</v>
      </c>
      <c r="K33" s="982">
        <f t="shared" si="27"/>
        <v>1</v>
      </c>
      <c r="L33" s="982">
        <f t="shared" si="27"/>
        <v>1</v>
      </c>
      <c r="M33" s="983">
        <f t="shared" si="27"/>
        <v>1</v>
      </c>
      <c r="N33" s="275">
        <f t="shared" si="28"/>
        <v>6483.5034791606613</v>
      </c>
      <c r="O33" s="276">
        <f t="shared" si="29"/>
        <v>39783.19988851255</v>
      </c>
      <c r="P33" s="276">
        <f t="shared" si="30"/>
        <v>39783.19988851255</v>
      </c>
      <c r="Q33" s="276">
        <f t="shared" si="31"/>
        <v>39783.19988851255</v>
      </c>
      <c r="R33" s="276">
        <f t="shared" si="32"/>
        <v>147370.93947497665</v>
      </c>
      <c r="S33" s="278">
        <f t="shared" si="33"/>
        <v>274186.44574510067</v>
      </c>
      <c r="T33" s="275">
        <f t="shared" si="34"/>
        <v>-33299.696409351891</v>
      </c>
      <c r="U33" s="276">
        <f t="shared" si="35"/>
        <v>-33299.696409351891</v>
      </c>
      <c r="V33" s="276">
        <f t="shared" si="36"/>
        <v>-33299.696409351891</v>
      </c>
      <c r="W33" s="276">
        <f t="shared" si="37"/>
        <v>-140887.43599581599</v>
      </c>
      <c r="X33" s="278">
        <f t="shared" si="38"/>
        <v>-267702.94226594002</v>
      </c>
      <c r="Y33" s="279">
        <f ca="1">IF(AND(Y$22=TRUE,INDEX(CDRANGE_CLS2,MATCH($A33,$A$24:$A$67,0),MATCH(Y$20,$B$20:$G$20,0))&lt;$D$6/OPDAYS_Cls2),86,payback(C33,T33,disc_rate/12,85))</f>
        <v>86</v>
      </c>
      <c r="Z33" s="280">
        <f ca="1">IF(AND(Z$22=TRUE,INDEX(CDRANGE_CLS2,MATCH($A33,$A$24:$A$67,0),MATCH(Z$20,$B$20:$G$20,0))&lt;$D$6/OPDAYS_Cls2),86,payback(D33,U33,disc_rate/12,85))</f>
        <v>86</v>
      </c>
      <c r="AA33" s="280">
        <f ca="1">IF(AND(AA$22=TRUE,INDEX(CDRANGE_CLS2,MATCH($A33,$A$24:$A$67,0),MATCH(AA$20,$B$20:$G$20,0))&lt;$D$6/OPDAYS_Cls2),86,payback(E33,V33,disc_rate/12,85))</f>
        <v>86</v>
      </c>
      <c r="AB33" s="280">
        <f>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ca="1" si="52"/>
        <v>0</v>
      </c>
      <c r="AV33" s="638">
        <f t="shared" si="53"/>
        <v>0</v>
      </c>
      <c r="AW33" s="639">
        <f t="shared" ca="1" si="54"/>
        <v>0</v>
      </c>
      <c r="AX33" s="282">
        <f t="shared" ca="1" si="55"/>
        <v>0</v>
      </c>
      <c r="AY33" s="283">
        <f t="shared" ca="1" si="56"/>
        <v>0</v>
      </c>
      <c r="AZ33" s="283">
        <f t="shared" ca="1" si="57"/>
        <v>0</v>
      </c>
      <c r="BA33" s="283">
        <f t="shared"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136900</v>
      </c>
      <c r="C34" s="821">
        <f t="shared" si="69"/>
        <v>1000000</v>
      </c>
      <c r="D34" s="821">
        <f t="shared" si="69"/>
        <v>1000000</v>
      </c>
      <c r="E34" s="821">
        <f t="shared" si="69"/>
        <v>1000000</v>
      </c>
      <c r="F34" s="821">
        <f t="shared" si="69"/>
        <v>1000000</v>
      </c>
      <c r="G34" s="822">
        <f t="shared" si="69"/>
        <v>1000000</v>
      </c>
      <c r="H34" s="984">
        <f t="shared" ref="H34:M43" si="70">IF(H$21="Single-fuel",1,1-MIN(INDEX(CDRANGE_CLS2,$A34-($A$24-1),MATCH(H$20,TECHOPTS_Cls2,0))*OPDAYS_Cls2/$D$6,1))</f>
        <v>1</v>
      </c>
      <c r="I34" s="985">
        <f t="shared" si="70"/>
        <v>1</v>
      </c>
      <c r="J34" s="985">
        <f t="shared" si="70"/>
        <v>1</v>
      </c>
      <c r="K34" s="985">
        <f t="shared" si="70"/>
        <v>1</v>
      </c>
      <c r="L34" s="985">
        <f t="shared" si="70"/>
        <v>1</v>
      </c>
      <c r="M34" s="986">
        <f t="shared" si="70"/>
        <v>1</v>
      </c>
      <c r="N34" s="289">
        <f t="shared" si="28"/>
        <v>7404.0793510607273</v>
      </c>
      <c r="O34" s="290">
        <f t="shared" si="29"/>
        <v>46733.985229121143</v>
      </c>
      <c r="P34" s="290">
        <f t="shared" si="30"/>
        <v>46733.985229121143</v>
      </c>
      <c r="Q34" s="290">
        <f t="shared" si="31"/>
        <v>46733.985229121143</v>
      </c>
      <c r="R34" s="290">
        <f t="shared" si="32"/>
        <v>148473.15736143693</v>
      </c>
      <c r="S34" s="292">
        <f t="shared" si="33"/>
        <v>274186.44574510067</v>
      </c>
      <c r="T34" s="289">
        <f t="shared" si="34"/>
        <v>-39329.905878060417</v>
      </c>
      <c r="U34" s="290">
        <f t="shared" si="35"/>
        <v>-39329.905878060417</v>
      </c>
      <c r="V34" s="290">
        <f t="shared" si="36"/>
        <v>-39329.905878060417</v>
      </c>
      <c r="W34" s="290">
        <f t="shared" si="37"/>
        <v>-141069.07801037619</v>
      </c>
      <c r="X34" s="292">
        <f t="shared" si="38"/>
        <v>-266782.36639403994</v>
      </c>
      <c r="Y34" s="293">
        <f ca="1">IF(AND(Y$22=TRUE,INDEX(CDRANGE_CLS2,MATCH($A34,$A$24:$A$67,0),MATCH(Y$20,$B$20:$G$20,0))&lt;$D$6/OPDAYS_Cls2),86,payback(C34,T34,disc_rate/12,85))</f>
        <v>86</v>
      </c>
      <c r="Z34" s="294">
        <f ca="1">IF(AND(Z$22=TRUE,INDEX(CDRANGE_CLS2,MATCH($A34,$A$24:$A$67,0),MATCH(Z$20,$B$20:$G$20,0))&lt;$D$6/OPDAYS_Cls2),86,payback(D34,U34,disc_rate/12,85))</f>
        <v>86</v>
      </c>
      <c r="AA34" s="294">
        <f ca="1">IF(AND(AA$22=TRUE,INDEX(CDRANGE_CLS2,MATCH($A34,$A$24:$A$67,0),MATCH(AA$20,$B$20:$G$20,0))&lt;$D$6/OPDAYS_Cls2),86,payback(E34,V34,disc_rate/12,85))</f>
        <v>86</v>
      </c>
      <c r="AB34" s="294">
        <f>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ca="1" si="52"/>
        <v>0</v>
      </c>
      <c r="AV34" s="283">
        <f t="shared" si="53"/>
        <v>0</v>
      </c>
      <c r="AW34" s="284">
        <f t="shared" ca="1" si="54"/>
        <v>0</v>
      </c>
      <c r="AX34" s="296">
        <f t="shared" ca="1" si="55"/>
        <v>0</v>
      </c>
      <c r="AY34" s="297">
        <f t="shared" ca="1" si="56"/>
        <v>0</v>
      </c>
      <c r="AZ34" s="297">
        <f t="shared" ca="1" si="57"/>
        <v>0</v>
      </c>
      <c r="BA34" s="283">
        <f t="shared"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136900</v>
      </c>
      <c r="C35" s="821">
        <f t="shared" si="69"/>
        <v>1000000</v>
      </c>
      <c r="D35" s="821">
        <f t="shared" si="69"/>
        <v>1000000</v>
      </c>
      <c r="E35" s="821">
        <f t="shared" si="69"/>
        <v>1000000</v>
      </c>
      <c r="F35" s="821">
        <f t="shared" si="69"/>
        <v>1000000</v>
      </c>
      <c r="G35" s="822">
        <f t="shared" si="69"/>
        <v>1000000</v>
      </c>
      <c r="H35" s="984">
        <f t="shared" si="70"/>
        <v>1</v>
      </c>
      <c r="I35" s="985">
        <f t="shared" si="70"/>
        <v>1</v>
      </c>
      <c r="J35" s="985">
        <f t="shared" si="70"/>
        <v>1</v>
      </c>
      <c r="K35" s="985">
        <f t="shared" si="70"/>
        <v>1</v>
      </c>
      <c r="L35" s="985">
        <f t="shared" si="70"/>
        <v>1</v>
      </c>
      <c r="M35" s="986">
        <f t="shared" si="70"/>
        <v>1</v>
      </c>
      <c r="N35" s="289">
        <f t="shared" si="28"/>
        <v>8845.4191327210337</v>
      </c>
      <c r="O35" s="290">
        <f t="shared" si="29"/>
        <v>57411.609593215391</v>
      </c>
      <c r="P35" s="290">
        <f t="shared" si="30"/>
        <v>57411.609593215391</v>
      </c>
      <c r="Q35" s="290">
        <f t="shared" si="31"/>
        <v>57411.609593215391</v>
      </c>
      <c r="R35" s="290">
        <f t="shared" si="32"/>
        <v>169829.87888097219</v>
      </c>
      <c r="S35" s="292">
        <f t="shared" si="33"/>
        <v>274186.44574510067</v>
      </c>
      <c r="T35" s="289">
        <f t="shared" si="34"/>
        <v>-48566.190460494356</v>
      </c>
      <c r="U35" s="290">
        <f t="shared" si="35"/>
        <v>-48566.190460494356</v>
      </c>
      <c r="V35" s="290">
        <f t="shared" si="36"/>
        <v>-48566.190460494356</v>
      </c>
      <c r="W35" s="290">
        <f t="shared" si="37"/>
        <v>-160984.45974825116</v>
      </c>
      <c r="X35" s="292">
        <f t="shared" si="38"/>
        <v>-265341.02661237965</v>
      </c>
      <c r="Y35" s="293">
        <f ca="1">IF(AND(Y$22=TRUE,INDEX(CDRANGE_CLS2,MATCH($A35,$A$24:$A$67,0),MATCH(Y$20,$B$20:$G$20,0))&lt;$D$6/OPDAYS_Cls2),86,payback(C35,T35,disc_rate/12,85))</f>
        <v>86</v>
      </c>
      <c r="Z35" s="294">
        <f ca="1">IF(AND(Z$22=TRUE,INDEX(CDRANGE_CLS2,MATCH($A35,$A$24:$A$67,0),MATCH(Z$20,$B$20:$G$20,0))&lt;$D$6/OPDAYS_Cls2),86,payback(D35,U35,disc_rate/12,85))</f>
        <v>86</v>
      </c>
      <c r="AA35" s="294">
        <f ca="1">IF(AND(AA$22=TRUE,INDEX(CDRANGE_CLS2,MATCH($A35,$A$24:$A$67,0),MATCH(AA$20,$B$20:$G$20,0))&lt;$D$6/OPDAYS_Cls2),86,payback(E35,V35,disc_rate/12,85))</f>
        <v>86</v>
      </c>
      <c r="AB35" s="294">
        <f>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ca="1" si="52"/>
        <v>0</v>
      </c>
      <c r="AV35" s="283">
        <f t="shared" si="53"/>
        <v>0</v>
      </c>
      <c r="AW35" s="284">
        <f t="shared" ca="1" si="54"/>
        <v>0</v>
      </c>
      <c r="AX35" s="296">
        <f t="shared" ca="1" si="55"/>
        <v>0</v>
      </c>
      <c r="AY35" s="297">
        <f t="shared" ca="1" si="56"/>
        <v>0</v>
      </c>
      <c r="AZ35" s="297">
        <f t="shared" ca="1" si="57"/>
        <v>0</v>
      </c>
      <c r="BA35" s="283">
        <f t="shared"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136900</v>
      </c>
      <c r="C36" s="821">
        <f t="shared" si="69"/>
        <v>1000000</v>
      </c>
      <c r="D36" s="821">
        <f t="shared" si="69"/>
        <v>1000000</v>
      </c>
      <c r="E36" s="821">
        <f t="shared" si="69"/>
        <v>1000000</v>
      </c>
      <c r="F36" s="821">
        <f t="shared" si="69"/>
        <v>1000000</v>
      </c>
      <c r="G36" s="822">
        <f t="shared" si="69"/>
        <v>1000000</v>
      </c>
      <c r="H36" s="984">
        <f t="shared" si="70"/>
        <v>1</v>
      </c>
      <c r="I36" s="985">
        <f t="shared" si="70"/>
        <v>1</v>
      </c>
      <c r="J36" s="985">
        <f t="shared" si="70"/>
        <v>1</v>
      </c>
      <c r="K36" s="985">
        <f t="shared" si="70"/>
        <v>1</v>
      </c>
      <c r="L36" s="985">
        <f t="shared" si="70"/>
        <v>1</v>
      </c>
      <c r="M36" s="986">
        <f t="shared" si="70"/>
        <v>1</v>
      </c>
      <c r="N36" s="289">
        <f t="shared" si="28"/>
        <v>8632.9644198474525</v>
      </c>
      <c r="O36" s="290">
        <f t="shared" si="29"/>
        <v>56403.689171752871</v>
      </c>
      <c r="P36" s="290">
        <f t="shared" si="30"/>
        <v>56403.689171752871</v>
      </c>
      <c r="Q36" s="290">
        <f t="shared" si="31"/>
        <v>56403.689171752871</v>
      </c>
      <c r="R36" s="290">
        <f t="shared" si="32"/>
        <v>169651.95466984273</v>
      </c>
      <c r="S36" s="292">
        <f t="shared" si="33"/>
        <v>274186.44574510067</v>
      </c>
      <c r="T36" s="289">
        <f t="shared" si="34"/>
        <v>-47770.724751905422</v>
      </c>
      <c r="U36" s="290">
        <f t="shared" si="35"/>
        <v>-47770.724751905422</v>
      </c>
      <c r="V36" s="290">
        <f t="shared" si="36"/>
        <v>-47770.724751905422</v>
      </c>
      <c r="W36" s="290">
        <f t="shared" si="37"/>
        <v>-161018.99024999529</v>
      </c>
      <c r="X36" s="292">
        <f t="shared" si="38"/>
        <v>-265553.4813252532</v>
      </c>
      <c r="Y36" s="293">
        <f ca="1">IF(AND(Y$22=TRUE,INDEX(CDRANGE_CLS2,MATCH($A36,$A$24:$A$67,0),MATCH(Y$20,$B$20:$G$20,0))&lt;$D$6/OPDAYS_Cls2),86,payback(C36,T36,disc_rate/12,85))</f>
        <v>86</v>
      </c>
      <c r="Z36" s="294">
        <f ca="1">IF(AND(Z$22=TRUE,INDEX(CDRANGE_CLS2,MATCH($A36,$A$24:$A$67,0),MATCH(Z$20,$B$20:$G$20,0))&lt;$D$6/OPDAYS_Cls2),86,payback(D36,U36,disc_rate/12,85))</f>
        <v>86</v>
      </c>
      <c r="AA36" s="294">
        <f ca="1">IF(AND(AA$22=TRUE,INDEX(CDRANGE_CLS2,MATCH($A36,$A$24:$A$67,0),MATCH(AA$20,$B$20:$G$20,0))&lt;$D$6/OPDAYS_Cls2),86,payback(E36,V36,disc_rate/12,85))</f>
        <v>86</v>
      </c>
      <c r="AB36" s="294">
        <f>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ca="1" si="52"/>
        <v>0</v>
      </c>
      <c r="AV36" s="283">
        <f t="shared" si="53"/>
        <v>0</v>
      </c>
      <c r="AW36" s="284">
        <f t="shared" ca="1" si="54"/>
        <v>0</v>
      </c>
      <c r="AX36" s="296">
        <f t="shared" ca="1" si="55"/>
        <v>0</v>
      </c>
      <c r="AY36" s="297">
        <f t="shared" ca="1" si="56"/>
        <v>0</v>
      </c>
      <c r="AZ36" s="297">
        <f t="shared" ca="1" si="57"/>
        <v>0</v>
      </c>
      <c r="BA36" s="283">
        <f t="shared"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4">
        <f t="shared" si="69"/>
        <v>136900</v>
      </c>
      <c r="C37" s="815">
        <f t="shared" si="69"/>
        <v>1000000</v>
      </c>
      <c r="D37" s="815">
        <f t="shared" si="69"/>
        <v>1000000</v>
      </c>
      <c r="E37" s="815">
        <f t="shared" si="69"/>
        <v>1000000</v>
      </c>
      <c r="F37" s="815">
        <f t="shared" si="69"/>
        <v>1000000</v>
      </c>
      <c r="G37" s="816">
        <f t="shared" si="69"/>
        <v>1000000</v>
      </c>
      <c r="H37" s="978">
        <f t="shared" si="70"/>
        <v>1</v>
      </c>
      <c r="I37" s="979">
        <f t="shared" si="70"/>
        <v>1</v>
      </c>
      <c r="J37" s="979">
        <f t="shared" si="70"/>
        <v>1</v>
      </c>
      <c r="K37" s="979">
        <f t="shared" si="70"/>
        <v>1</v>
      </c>
      <c r="L37" s="979">
        <f t="shared" si="70"/>
        <v>1</v>
      </c>
      <c r="M37" s="980">
        <f t="shared" si="70"/>
        <v>1</v>
      </c>
      <c r="N37" s="303">
        <f t="shared" si="28"/>
        <v>8257.4225146529334</v>
      </c>
      <c r="O37" s="304">
        <f t="shared" si="29"/>
        <v>54447.453948959454</v>
      </c>
      <c r="P37" s="304">
        <f t="shared" si="30"/>
        <v>54447.453948959454</v>
      </c>
      <c r="Q37" s="304">
        <f t="shared" si="31"/>
        <v>54447.453948959454</v>
      </c>
      <c r="R37" s="304">
        <f t="shared" si="32"/>
        <v>173020.17314701612</v>
      </c>
      <c r="S37" s="306">
        <f t="shared" si="33"/>
        <v>274186.44574510067</v>
      </c>
      <c r="T37" s="303">
        <f t="shared" si="34"/>
        <v>-46190.031434306518</v>
      </c>
      <c r="U37" s="304">
        <f t="shared" si="35"/>
        <v>-46190.031434306518</v>
      </c>
      <c r="V37" s="304">
        <f t="shared" si="36"/>
        <v>-46190.031434306518</v>
      </c>
      <c r="W37" s="304">
        <f t="shared" si="37"/>
        <v>-164762.7506323632</v>
      </c>
      <c r="X37" s="306">
        <f t="shared" si="38"/>
        <v>-265929.02323044772</v>
      </c>
      <c r="Y37" s="307">
        <f ca="1">IF(AND(Y$22=TRUE,INDEX(CDRANGE_CLS2,MATCH($A37,$A$24:$A$67,0),MATCH(Y$20,$B$20:$G$20,0))&lt;$D$6/OPDAYS_Cls2),86,payback(C37,T37,disc_rate/12,85))</f>
        <v>86</v>
      </c>
      <c r="Z37" s="308">
        <f ca="1">IF(AND(Z$22=TRUE,INDEX(CDRANGE_CLS2,MATCH($A37,$A$24:$A$67,0),MATCH(Z$20,$B$20:$G$20,0))&lt;$D$6/OPDAYS_Cls2),86,payback(D37,U37,disc_rate/12,85))</f>
        <v>86</v>
      </c>
      <c r="AA37" s="308">
        <f ca="1">IF(AND(AA$22=TRUE,INDEX(CDRANGE_CLS2,MATCH($A37,$A$24:$A$67,0),MATCH(AA$20,$B$20:$G$20,0))&lt;$D$6/OPDAYS_Cls2),86,payback(E37,V37,disc_rate/12,85))</f>
        <v>86</v>
      </c>
      <c r="AB37" s="308">
        <f>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ca="1" si="52"/>
        <v>0</v>
      </c>
      <c r="AV37" s="320">
        <f t="shared" si="53"/>
        <v>0</v>
      </c>
      <c r="AW37" s="321">
        <f t="shared" ca="1" si="54"/>
        <v>0</v>
      </c>
      <c r="AX37" s="310">
        <f t="shared" ca="1" si="55"/>
        <v>0</v>
      </c>
      <c r="AY37" s="311">
        <f t="shared" ca="1" si="56"/>
        <v>0</v>
      </c>
      <c r="AZ37" s="311">
        <f t="shared" ca="1" si="57"/>
        <v>0</v>
      </c>
      <c r="BA37" s="311">
        <f t="shared"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137205.79</v>
      </c>
      <c r="C38" s="818">
        <f t="shared" si="69"/>
        <v>1120.5899999999999</v>
      </c>
      <c r="D38" s="818">
        <f t="shared" si="69"/>
        <v>2646.16</v>
      </c>
      <c r="E38" s="818">
        <f t="shared" si="69"/>
        <v>197847.31</v>
      </c>
      <c r="F38" s="818">
        <f t="shared" si="69"/>
        <v>355973.77</v>
      </c>
      <c r="G38" s="819">
        <f t="shared" si="69"/>
        <v>167338.79999999999</v>
      </c>
      <c r="H38" s="981">
        <f t="shared" si="70"/>
        <v>1</v>
      </c>
      <c r="I38" s="982">
        <f t="shared" si="70"/>
        <v>1</v>
      </c>
      <c r="J38" s="982">
        <f t="shared" si="70"/>
        <v>1</v>
      </c>
      <c r="K38" s="982">
        <f t="shared" si="70"/>
        <v>0.84828067940018892</v>
      </c>
      <c r="L38" s="982">
        <f t="shared" si="70"/>
        <v>1</v>
      </c>
      <c r="M38" s="983">
        <f t="shared" si="70"/>
        <v>1</v>
      </c>
      <c r="N38" s="1343">
        <f t="shared" si="28"/>
        <v>8280.348588571791</v>
      </c>
      <c r="O38" s="1344">
        <f t="shared" si="29"/>
        <v>8114.6915537717559</v>
      </c>
      <c r="P38" s="1344">
        <f t="shared" si="30"/>
        <v>8109.0978662886137</v>
      </c>
      <c r="Q38" s="1344">
        <f t="shared" si="31"/>
        <v>10036.415984660865</v>
      </c>
      <c r="R38" s="1344">
        <f t="shared" si="32"/>
        <v>12378.605036150399</v>
      </c>
      <c r="S38" s="1345">
        <f t="shared" si="33"/>
        <v>39625.692959992324</v>
      </c>
      <c r="T38" s="1343">
        <f t="shared" si="34"/>
        <v>165.65703480003504</v>
      </c>
      <c r="U38" s="1344">
        <f t="shared" si="35"/>
        <v>171.25072228317731</v>
      </c>
      <c r="V38" s="1344">
        <f t="shared" si="36"/>
        <v>-1756.0673960890745</v>
      </c>
      <c r="W38" s="1344">
        <f t="shared" si="37"/>
        <v>-4098.2564475786075</v>
      </c>
      <c r="X38" s="278">
        <f t="shared" si="38"/>
        <v>-31345.344371420535</v>
      </c>
      <c r="Y38" s="279">
        <f ca="1">IF(AND(Y$22=TRUE,INDEX(CDRANGE_CLS2,MATCH($A38,$A$24:$A$67,0),MATCH(Y$20,$B$20:$G$20,0))&lt;$D$6/OPDAYS_Cls2),86,payback(C38,T38,disc_rate/12,85))</f>
        <v>7</v>
      </c>
      <c r="Z38" s="280">
        <f ca="1">IF(AND(Z$22=TRUE,INDEX(CDRANGE_CLS2,MATCH($A38,$A$24:$A$67,0),MATCH(Z$20,$B$20:$G$20,0))&lt;$D$6/OPDAYS_Cls2),86,payback(D38,U38,disc_rate/12,85))</f>
        <v>17</v>
      </c>
      <c r="AA38" s="280">
        <f ca="1">IF(AND(AA$22=TRUE,INDEX(CDRANGE_CLS2,MATCH($A38,$A$24:$A$67,0),MATCH(AA$20,$B$20:$G$20,0))&lt;$D$6/OPDAYS_Cls2),86,payback(E38,V38,disc_rate/12,85))</f>
        <v>86</v>
      </c>
      <c r="AB38" s="280">
        <f>IF(AND(AB$22=TRUE,INDEX(CDRANGE_CLS2,MATCH($A38,$A$24:$A$67,0),MATCH(AB$20,$B$20:$G$20,0))&lt;$D$6/OPDAYS_Cls2),86,payback(F38,W38,disc_rate/12,85))</f>
        <v>86</v>
      </c>
      <c r="AC38" s="281">
        <f ca="1">IF(AND(AC$22=TRUE,INDEX(CDRANGE_CLS2,MATCH($A38,$A$24:$A$67,0),MATCH(AC$20,$B$20:$G$20,0))&lt;$D$6/OPDAYS_Cls2),86,payback(G38,X38,disc_rate/12,85))</f>
        <v>86</v>
      </c>
      <c r="AD38" s="282">
        <f t="shared" si="39"/>
        <v>2.3711489310161437E-2</v>
      </c>
      <c r="AE38" s="283">
        <f t="shared" si="40"/>
        <v>2.2501954482207008E-2</v>
      </c>
      <c r="AF38" s="283">
        <f t="shared" si="41"/>
        <v>0</v>
      </c>
      <c r="AG38" s="283">
        <f t="shared" si="42"/>
        <v>0</v>
      </c>
      <c r="AH38" s="284">
        <f t="shared" si="43"/>
        <v>0</v>
      </c>
      <c r="AI38" s="285">
        <f t="shared" si="44"/>
        <v>2.3712936588783391E-2</v>
      </c>
      <c r="AJ38" s="286">
        <f t="shared" si="45"/>
        <v>2.3712936588783391E-2</v>
      </c>
      <c r="AK38" s="286">
        <f t="shared" si="46"/>
        <v>2.3712936588783391E-2</v>
      </c>
      <c r="AL38" s="286">
        <f t="shared" si="47"/>
        <v>1.4366941996126522E-3</v>
      </c>
      <c r="AM38" s="287">
        <f t="shared" si="48"/>
        <v>0</v>
      </c>
      <c r="AN38" s="643">
        <f t="shared" si="60"/>
        <v>0.99981472967093798</v>
      </c>
      <c r="AO38" s="641">
        <f t="shared" si="49"/>
        <v>0.99896733255778014</v>
      </c>
      <c r="AP38" s="641">
        <f t="shared" si="49"/>
        <v>3.1016833227346385E-3</v>
      </c>
      <c r="AQ38" s="641">
        <f t="shared" si="49"/>
        <v>7.5802584209583301E-9</v>
      </c>
      <c r="AR38" s="642">
        <f t="shared" si="49"/>
        <v>1.6052942907732071E-2</v>
      </c>
      <c r="AS38" s="282">
        <f t="shared" ca="1" si="50"/>
        <v>4.7270661830334203E-2</v>
      </c>
      <c r="AT38" s="283">
        <f t="shared" ca="1" si="51"/>
        <v>3.7100315361030492E-2</v>
      </c>
      <c r="AU38" s="283">
        <f t="shared" ca="1" si="52"/>
        <v>0</v>
      </c>
      <c r="AV38" s="283">
        <f t="shared" si="53"/>
        <v>0</v>
      </c>
      <c r="AW38" s="284">
        <f t="shared" ca="1" si="54"/>
        <v>0</v>
      </c>
      <c r="AX38" s="282">
        <f t="shared" ca="1" si="55"/>
        <v>4.7261903979261916E-2</v>
      </c>
      <c r="AY38" s="283">
        <f t="shared" ca="1" si="56"/>
        <v>3.7062003073261067E-2</v>
      </c>
      <c r="AZ38" s="283">
        <f t="shared" ca="1" si="57"/>
        <v>0</v>
      </c>
      <c r="BA38" s="283">
        <f t="shared" si="61"/>
        <v>0</v>
      </c>
      <c r="BB38" s="284">
        <f t="shared" ca="1" si="62"/>
        <v>0</v>
      </c>
      <c r="BC38" s="282">
        <f t="shared" ca="1" si="63"/>
        <v>0.95273809602073811</v>
      </c>
      <c r="BD38" s="283">
        <f t="shared" ca="1" si="64"/>
        <v>2.6489374672282111E-2</v>
      </c>
      <c r="BE38" s="283">
        <f t="shared" ca="1" si="65"/>
        <v>2.0772529306979801E-2</v>
      </c>
      <c r="BF38" s="283">
        <f t="shared" ca="1" si="66"/>
        <v>0</v>
      </c>
      <c r="BG38" s="283">
        <f t="shared" ca="1" si="67"/>
        <v>0</v>
      </c>
      <c r="BH38" s="284">
        <f t="shared" ca="1" si="68"/>
        <v>0</v>
      </c>
    </row>
    <row r="39" spans="1:60" x14ac:dyDescent="0.2">
      <c r="A39" s="317">
        <v>2022</v>
      </c>
      <c r="B39" s="820">
        <f t="shared" si="69"/>
        <v>137511.57999999999</v>
      </c>
      <c r="C39" s="821">
        <f t="shared" si="69"/>
        <v>2241.1799999999998</v>
      </c>
      <c r="D39" s="821">
        <f t="shared" si="69"/>
        <v>3521.06</v>
      </c>
      <c r="E39" s="821">
        <f t="shared" si="69"/>
        <v>166082.54999999999</v>
      </c>
      <c r="F39" s="821">
        <f t="shared" si="69"/>
        <v>298100.67</v>
      </c>
      <c r="G39" s="822">
        <f t="shared" si="69"/>
        <v>144302.41</v>
      </c>
      <c r="H39" s="984">
        <f t="shared" si="70"/>
        <v>1</v>
      </c>
      <c r="I39" s="985">
        <f t="shared" si="70"/>
        <v>1</v>
      </c>
      <c r="J39" s="985">
        <f t="shared" si="70"/>
        <v>1</v>
      </c>
      <c r="K39" s="985">
        <f t="shared" si="70"/>
        <v>0.84772039251442688</v>
      </c>
      <c r="L39" s="985">
        <f t="shared" si="70"/>
        <v>1</v>
      </c>
      <c r="M39" s="986">
        <f t="shared" si="70"/>
        <v>1</v>
      </c>
      <c r="N39" s="1346">
        <f t="shared" si="28"/>
        <v>8296.5961225612609</v>
      </c>
      <c r="O39" s="258">
        <f t="shared" si="29"/>
        <v>7976.8982181174488</v>
      </c>
      <c r="P39" s="258">
        <f t="shared" si="30"/>
        <v>7965.8177448841134</v>
      </c>
      <c r="Q39" s="258">
        <f t="shared" si="31"/>
        <v>9731.230413447036</v>
      </c>
      <c r="R39" s="258">
        <f t="shared" si="32"/>
        <v>12117.045725555026</v>
      </c>
      <c r="S39" s="1347">
        <f t="shared" si="33"/>
        <v>38285.56016618685</v>
      </c>
      <c r="T39" s="1346">
        <f t="shared" si="34"/>
        <v>319.69790444381215</v>
      </c>
      <c r="U39" s="258">
        <f t="shared" si="35"/>
        <v>330.77837767714755</v>
      </c>
      <c r="V39" s="258">
        <f t="shared" si="36"/>
        <v>-1434.634290885775</v>
      </c>
      <c r="W39" s="258">
        <f t="shared" si="37"/>
        <v>-3820.4496029937654</v>
      </c>
      <c r="X39" s="292">
        <f t="shared" si="38"/>
        <v>-29988.964043625587</v>
      </c>
      <c r="Y39" s="293">
        <f ca="1">IF(AND(Y$22=TRUE,INDEX(CDRANGE_CLS2,MATCH($A39,$A$24:$A$67,0),MATCH(Y$20,$B$20:$G$20,0))&lt;$D$6/OPDAYS_Cls2),86,payback(C39,T39,disc_rate/12,85))</f>
        <v>8</v>
      </c>
      <c r="Z39" s="294">
        <f ca="1">IF(AND(Z$22=TRUE,INDEX(CDRANGE_CLS2,MATCH($A39,$A$24:$A$67,0),MATCH(Z$20,$B$20:$G$20,0))&lt;$D$6/OPDAYS_Cls2),86,payback(D39,U39,disc_rate/12,85))</f>
        <v>12</v>
      </c>
      <c r="AA39" s="294">
        <f ca="1">IF(AND(AA$22=TRUE,INDEX(CDRANGE_CLS2,MATCH($A39,$A$24:$A$67,0),MATCH(AA$20,$B$20:$G$20,0))&lt;$D$6/OPDAYS_Cls2),86,payback(E39,V39,disc_rate/12,85))</f>
        <v>86</v>
      </c>
      <c r="AB39" s="294">
        <f>IF(AND(AB$22=TRUE,INDEX(CDRANGE_CLS2,MATCH($A39,$A$24:$A$67,0),MATCH(AB$20,$B$20:$G$20,0))&lt;$D$6/OPDAYS_Cls2),86,payback(F39,W39,disc_rate/12,85))</f>
        <v>86</v>
      </c>
      <c r="AC39" s="295">
        <f ca="1">IF(AND(AC$22=TRUE,INDEX(CDRANGE_CLS2,MATCH($A39,$A$24:$A$67,0),MATCH(AC$20,$B$20:$G$20,0))&lt;$D$6/OPDAYS_Cls2),86,payback(G39,X39,disc_rate/12,85))</f>
        <v>86</v>
      </c>
      <c r="AD39" s="296">
        <f t="shared" si="39"/>
        <v>5.8893908261703612E-2</v>
      </c>
      <c r="AE39" s="297">
        <f t="shared" si="40"/>
        <v>4.0244936052977236E-2</v>
      </c>
      <c r="AF39" s="297">
        <f t="shared" si="41"/>
        <v>0</v>
      </c>
      <c r="AG39" s="297">
        <f t="shared" si="42"/>
        <v>0</v>
      </c>
      <c r="AH39" s="298">
        <f t="shared" si="43"/>
        <v>0</v>
      </c>
      <c r="AI39" s="299">
        <f t="shared" si="44"/>
        <v>5.9601461011058773E-2</v>
      </c>
      <c r="AJ39" s="300">
        <f t="shared" si="45"/>
        <v>5.9601461011058773E-2</v>
      </c>
      <c r="AK39" s="300">
        <f t="shared" si="46"/>
        <v>5.9601461011058773E-2</v>
      </c>
      <c r="AL39" s="300">
        <f t="shared" si="47"/>
        <v>5.5824993187033227E-3</v>
      </c>
      <c r="AM39" s="301">
        <f t="shared" si="48"/>
        <v>0</v>
      </c>
      <c r="AN39" s="299">
        <f t="shared" si="60"/>
        <v>0.99926241475958566</v>
      </c>
      <c r="AO39" s="300">
        <f t="shared" si="49"/>
        <v>0.99818042320214884</v>
      </c>
      <c r="AP39" s="300">
        <f t="shared" si="49"/>
        <v>1.7387965919802295E-2</v>
      </c>
      <c r="AQ39" s="300">
        <f t="shared" si="49"/>
        <v>2.1414281323739459E-6</v>
      </c>
      <c r="AR39" s="598">
        <f t="shared" si="49"/>
        <v>4.6939020974193224E-2</v>
      </c>
      <c r="AS39" s="282">
        <f t="shared" ca="1" si="50"/>
        <v>0.11784996409069659</v>
      </c>
      <c r="AT39" s="283">
        <f t="shared" ca="1" si="51"/>
        <v>0.10976678991293028</v>
      </c>
      <c r="AU39" s="283">
        <f t="shared" ca="1" si="52"/>
        <v>0</v>
      </c>
      <c r="AV39" s="283">
        <f t="shared" si="53"/>
        <v>0</v>
      </c>
      <c r="AW39" s="284">
        <f t="shared" ca="1" si="54"/>
        <v>0</v>
      </c>
      <c r="AX39" s="296">
        <f t="shared" ca="1" si="55"/>
        <v>0.11776303969659993</v>
      </c>
      <c r="AY39" s="297">
        <f t="shared" ca="1" si="56"/>
        <v>0.10956706080883011</v>
      </c>
      <c r="AZ39" s="297">
        <f t="shared" ca="1" si="57"/>
        <v>0</v>
      </c>
      <c r="BA39" s="283">
        <f t="shared" si="61"/>
        <v>0</v>
      </c>
      <c r="BB39" s="284">
        <f t="shared" ca="1" si="62"/>
        <v>0</v>
      </c>
      <c r="BC39" s="282">
        <f t="shared" ca="1" si="63"/>
        <v>0.88223696030340004</v>
      </c>
      <c r="BD39" s="283">
        <f t="shared" ca="1" si="64"/>
        <v>6.1004387398543004E-2</v>
      </c>
      <c r="BE39" s="283">
        <f t="shared" ca="1" si="65"/>
        <v>5.6758652298056919E-2</v>
      </c>
      <c r="BF39" s="283">
        <f t="shared" ca="1" si="66"/>
        <v>0</v>
      </c>
      <c r="BG39" s="283">
        <f t="shared" ca="1" si="67"/>
        <v>0</v>
      </c>
      <c r="BH39" s="284">
        <f t="shared" ca="1" si="68"/>
        <v>0</v>
      </c>
    </row>
    <row r="40" spans="1:60" x14ac:dyDescent="0.2">
      <c r="A40" s="317">
        <v>2023</v>
      </c>
      <c r="B40" s="820">
        <f t="shared" si="69"/>
        <v>137817.37</v>
      </c>
      <c r="C40" s="821">
        <f t="shared" si="69"/>
        <v>3361.77</v>
      </c>
      <c r="D40" s="821">
        <f t="shared" si="69"/>
        <v>4395.95</v>
      </c>
      <c r="E40" s="821">
        <f t="shared" si="69"/>
        <v>134317.79999999999</v>
      </c>
      <c r="F40" s="821">
        <f t="shared" si="69"/>
        <v>240227.56</v>
      </c>
      <c r="G40" s="822">
        <f t="shared" si="69"/>
        <v>121266.01</v>
      </c>
      <c r="H40" s="984">
        <f t="shared" si="70"/>
        <v>1</v>
      </c>
      <c r="I40" s="985">
        <f t="shared" si="70"/>
        <v>1</v>
      </c>
      <c r="J40" s="985">
        <f t="shared" si="70"/>
        <v>1</v>
      </c>
      <c r="K40" s="985">
        <f t="shared" si="70"/>
        <v>0.84716010562866484</v>
      </c>
      <c r="L40" s="985">
        <f t="shared" si="70"/>
        <v>1</v>
      </c>
      <c r="M40" s="986">
        <f t="shared" si="70"/>
        <v>1</v>
      </c>
      <c r="N40" s="1346">
        <f t="shared" si="28"/>
        <v>8241.9967771600968</v>
      </c>
      <c r="O40" s="258">
        <f t="shared" si="29"/>
        <v>7782.5814417850152</v>
      </c>
      <c r="P40" s="258">
        <f t="shared" si="30"/>
        <v>7766.7200252378543</v>
      </c>
      <c r="Q40" s="258">
        <f t="shared" si="31"/>
        <v>9398.7399177526022</v>
      </c>
      <c r="R40" s="258">
        <f t="shared" si="32"/>
        <v>11937.273599743512</v>
      </c>
      <c r="S40" s="1347">
        <f t="shared" si="33"/>
        <v>33107.222823808588</v>
      </c>
      <c r="T40" s="1346">
        <f t="shared" si="34"/>
        <v>459.41533537508167</v>
      </c>
      <c r="U40" s="258">
        <f t="shared" si="35"/>
        <v>475.27675192224251</v>
      </c>
      <c r="V40" s="258">
        <f t="shared" si="36"/>
        <v>-1156.7431405925054</v>
      </c>
      <c r="W40" s="258">
        <f t="shared" si="37"/>
        <v>-3695.2768225834152</v>
      </c>
      <c r="X40" s="292">
        <f t="shared" si="38"/>
        <v>-24865.226046648491</v>
      </c>
      <c r="Y40" s="293">
        <f ca="1">IF(AND(Y$22=TRUE,INDEX(CDRANGE_CLS2,MATCH($A40,$A$24:$A$67,0),MATCH(Y$20,$B$20:$G$20,0))&lt;$D$6/OPDAYS_Cls2),86,payback(C40,T40,disc_rate/12,85))</f>
        <v>8</v>
      </c>
      <c r="Z40" s="294">
        <f ca="1">IF(AND(Z$22=TRUE,INDEX(CDRANGE_CLS2,MATCH($A40,$A$24:$A$67,0),MATCH(Z$20,$B$20:$G$20,0))&lt;$D$6/OPDAYS_Cls2),86,payback(D40,U40,disc_rate/12,85))</f>
        <v>10</v>
      </c>
      <c r="AA40" s="294">
        <f ca="1">IF(AND(AA$22=TRUE,INDEX(CDRANGE_CLS2,MATCH($A40,$A$24:$A$67,0),MATCH(AA$20,$B$20:$G$20,0))&lt;$D$6/OPDAYS_Cls2),86,payback(E40,V40,disc_rate/12,85))</f>
        <v>86</v>
      </c>
      <c r="AB40" s="294">
        <f>IF(AND(AB$22=TRUE,INDEX(CDRANGE_CLS2,MATCH($A40,$A$24:$A$67,0),MATCH(AB$20,$B$20:$G$20,0))&lt;$D$6/OPDAYS_Cls2),86,payback(F40,W40,disc_rate/12,85))</f>
        <v>86</v>
      </c>
      <c r="AC40" s="295">
        <f ca="1">IF(AND(AC$22=TRUE,INDEX(CDRANGE_CLS2,MATCH($A40,$A$24:$A$67,0),MATCH(AC$20,$B$20:$G$20,0))&lt;$D$6/OPDAYS_Cls2),86,payback(G40,X40,disc_rate/12,85))</f>
        <v>86</v>
      </c>
      <c r="AD40" s="296">
        <f t="shared" si="39"/>
        <v>0.10644090721024145</v>
      </c>
      <c r="AE40" s="297">
        <f t="shared" si="40"/>
        <v>2.0672957039593567E-2</v>
      </c>
      <c r="AF40" s="297">
        <f t="shared" si="41"/>
        <v>0</v>
      </c>
      <c r="AG40" s="297">
        <f t="shared" si="42"/>
        <v>0</v>
      </c>
      <c r="AH40" s="298">
        <f t="shared" si="43"/>
        <v>0</v>
      </c>
      <c r="AI40" s="299">
        <f t="shared" si="44"/>
        <v>0.13447071068499755</v>
      </c>
      <c r="AJ40" s="300">
        <f t="shared" si="45"/>
        <v>0.13447071068499755</v>
      </c>
      <c r="AK40" s="300">
        <f t="shared" si="46"/>
        <v>0.13447071068499755</v>
      </c>
      <c r="AL40" s="300">
        <f t="shared" si="47"/>
        <v>1.6345353345693502E-2</v>
      </c>
      <c r="AM40" s="301">
        <f t="shared" si="48"/>
        <v>0</v>
      </c>
      <c r="AN40" s="299">
        <f t="shared" si="60"/>
        <v>0.99834854508424764</v>
      </c>
      <c r="AO40" s="300">
        <f t="shared" si="60"/>
        <v>0.99717784069203363</v>
      </c>
      <c r="AP40" s="300">
        <f t="shared" si="60"/>
        <v>7.1468554786606964E-2</v>
      </c>
      <c r="AQ40" s="300">
        <f t="shared" si="60"/>
        <v>2.1608039479859009E-4</v>
      </c>
      <c r="AR40" s="598">
        <f t="shared" si="60"/>
        <v>0.11640960818605151</v>
      </c>
      <c r="AS40" s="282">
        <f t="shared" ca="1" si="50"/>
        <v>0.26588892548350462</v>
      </c>
      <c r="AT40" s="283">
        <f t="shared" ca="1" si="51"/>
        <v>0.25846090647897763</v>
      </c>
      <c r="AU40" s="283">
        <f t="shared" ca="1" si="52"/>
        <v>0</v>
      </c>
      <c r="AV40" s="283">
        <f t="shared" si="53"/>
        <v>0</v>
      </c>
      <c r="AW40" s="284">
        <f t="shared" ca="1" si="54"/>
        <v>0</v>
      </c>
      <c r="AX40" s="296">
        <f t="shared" ca="1" si="55"/>
        <v>0.26544982191047078</v>
      </c>
      <c r="AY40" s="297">
        <f t="shared" ca="1" si="56"/>
        <v>0.25773148862601253</v>
      </c>
      <c r="AZ40" s="297">
        <f t="shared" ca="1" si="57"/>
        <v>0</v>
      </c>
      <c r="BA40" s="283">
        <f t="shared" si="61"/>
        <v>0</v>
      </c>
      <c r="BB40" s="284">
        <f t="shared" ca="1" si="62"/>
        <v>0</v>
      </c>
      <c r="BC40" s="282">
        <f t="shared" ca="1" si="63"/>
        <v>0.73455017808952916</v>
      </c>
      <c r="BD40" s="283">
        <f t="shared" ca="1" si="64"/>
        <v>0.13468296082680303</v>
      </c>
      <c r="BE40" s="283">
        <f t="shared" ca="1" si="65"/>
        <v>0.13076686108366775</v>
      </c>
      <c r="BF40" s="283">
        <f t="shared" ca="1" si="66"/>
        <v>0</v>
      </c>
      <c r="BG40" s="283">
        <f t="shared" ca="1" si="67"/>
        <v>0</v>
      </c>
      <c r="BH40" s="284">
        <f t="shared" ca="1" si="68"/>
        <v>0</v>
      </c>
    </row>
    <row r="41" spans="1:60" x14ac:dyDescent="0.2">
      <c r="A41" s="317">
        <v>2024</v>
      </c>
      <c r="B41" s="820">
        <f t="shared" si="69"/>
        <v>138123.16</v>
      </c>
      <c r="C41" s="821">
        <f t="shared" si="69"/>
        <v>4482.3599999999997</v>
      </c>
      <c r="D41" s="821">
        <f t="shared" si="69"/>
        <v>5270.85</v>
      </c>
      <c r="E41" s="821">
        <f t="shared" si="69"/>
        <v>102553.04</v>
      </c>
      <c r="F41" s="821">
        <f t="shared" si="69"/>
        <v>182354.46</v>
      </c>
      <c r="G41" s="822">
        <f t="shared" si="69"/>
        <v>98229.62</v>
      </c>
      <c r="H41" s="984">
        <f t="shared" si="70"/>
        <v>1</v>
      </c>
      <c r="I41" s="985">
        <f t="shared" si="70"/>
        <v>1</v>
      </c>
      <c r="J41" s="985">
        <f t="shared" si="70"/>
        <v>1</v>
      </c>
      <c r="K41" s="985">
        <f t="shared" si="70"/>
        <v>0.8465998187429028</v>
      </c>
      <c r="L41" s="985">
        <f t="shared" si="70"/>
        <v>1</v>
      </c>
      <c r="M41" s="986">
        <f t="shared" si="70"/>
        <v>1</v>
      </c>
      <c r="N41" s="1346">
        <f t="shared" si="28"/>
        <v>8256.9105159683186</v>
      </c>
      <c r="O41" s="258">
        <f t="shared" si="29"/>
        <v>7664.3630898151041</v>
      </c>
      <c r="P41" s="258">
        <f t="shared" si="30"/>
        <v>7644.1165784140912</v>
      </c>
      <c r="Q41" s="258">
        <f t="shared" si="31"/>
        <v>9150.0573436319955</v>
      </c>
      <c r="R41" s="258">
        <f t="shared" si="32"/>
        <v>11708.618188121636</v>
      </c>
      <c r="S41" s="1347">
        <f t="shared" si="33"/>
        <v>23024.894056861878</v>
      </c>
      <c r="T41" s="1346">
        <f t="shared" si="34"/>
        <v>592.54742615321447</v>
      </c>
      <c r="U41" s="258">
        <f t="shared" si="35"/>
        <v>612.79393755422734</v>
      </c>
      <c r="V41" s="258">
        <f t="shared" si="36"/>
        <v>-893.14682766367696</v>
      </c>
      <c r="W41" s="258">
        <f t="shared" si="37"/>
        <v>-3451.7076721533176</v>
      </c>
      <c r="X41" s="292">
        <f t="shared" si="38"/>
        <v>-14767.98354089356</v>
      </c>
      <c r="Y41" s="293">
        <f ca="1">IF(AND(Y$22=TRUE,INDEX(CDRANGE_CLS2,MATCH($A41,$A$24:$A$67,0),MATCH(Y$20,$B$20:$G$20,0))&lt;$D$6/OPDAYS_Cls2),86,payback(C41,T41,disc_rate/12,85))</f>
        <v>8</v>
      </c>
      <c r="Z41" s="294">
        <f ca="1">IF(AND(Z$22=TRUE,INDEX(CDRANGE_CLS2,MATCH($A41,$A$24:$A$67,0),MATCH(Z$20,$B$20:$G$20,0))&lt;$D$6/OPDAYS_Cls2),86,payback(D41,U41,disc_rate/12,85))</f>
        <v>9</v>
      </c>
      <c r="AA41" s="294">
        <f ca="1">IF(AND(AA$22=TRUE,INDEX(CDRANGE_CLS2,MATCH($A41,$A$24:$A$67,0),MATCH(AA$20,$B$20:$G$20,0))&lt;$D$6/OPDAYS_Cls2),86,payback(E41,V41,disc_rate/12,85))</f>
        <v>86</v>
      </c>
      <c r="AB41" s="294">
        <f>IF(AND(AB$22=TRUE,INDEX(CDRANGE_CLS2,MATCH($A41,$A$24:$A$67,0),MATCH(AB$20,$B$20:$G$20,0))&lt;$D$6/OPDAYS_Cls2),86,payback(F41,W41,disc_rate/12,85))</f>
        <v>86</v>
      </c>
      <c r="AC41" s="295">
        <f ca="1">IF(AND(AC$22=TRUE,INDEX(CDRANGE_CLS2,MATCH($A41,$A$24:$A$67,0),MATCH(AC$20,$B$20:$G$20,0))&lt;$D$6/OPDAYS_Cls2),86,payback(G41,X41,disc_rate/12,85))</f>
        <v>86</v>
      </c>
      <c r="AD41" s="296">
        <f t="shared" si="39"/>
        <v>3.8433940250417631E-2</v>
      </c>
      <c r="AE41" s="297">
        <f t="shared" si="40"/>
        <v>0</v>
      </c>
      <c r="AF41" s="297">
        <f t="shared" si="41"/>
        <v>0</v>
      </c>
      <c r="AG41" s="297">
        <f t="shared" si="42"/>
        <v>0</v>
      </c>
      <c r="AH41" s="298">
        <f t="shared" si="43"/>
        <v>0</v>
      </c>
      <c r="AI41" s="299">
        <f t="shared" si="44"/>
        <v>0.25</v>
      </c>
      <c r="AJ41" s="300">
        <f t="shared" si="45"/>
        <v>0.25</v>
      </c>
      <c r="AK41" s="300">
        <f t="shared" si="46"/>
        <v>0.25</v>
      </c>
      <c r="AL41" s="300">
        <f t="shared" si="47"/>
        <v>3.861338448859282E-2</v>
      </c>
      <c r="AM41" s="301">
        <f t="shared" si="48"/>
        <v>0</v>
      </c>
      <c r="AN41" s="299">
        <f t="shared" si="60"/>
        <v>0.99707892385054442</v>
      </c>
      <c r="AO41" s="300">
        <f t="shared" si="60"/>
        <v>0.99596310249635522</v>
      </c>
      <c r="AP41" s="300">
        <f t="shared" si="60"/>
        <v>0.2162533755682291</v>
      </c>
      <c r="AQ41" s="300">
        <f t="shared" si="60"/>
        <v>7.8936770691019342E-3</v>
      </c>
      <c r="AR41" s="598">
        <f t="shared" si="60"/>
        <v>0.24538841639763576</v>
      </c>
      <c r="AS41" s="282">
        <f t="shared" ca="1" si="50"/>
        <v>0.49432498000690822</v>
      </c>
      <c r="AT41" s="283">
        <f t="shared" ca="1" si="51"/>
        <v>0.48829758585216049</v>
      </c>
      <c r="AU41" s="283">
        <f t="shared" ca="1" si="52"/>
        <v>0</v>
      </c>
      <c r="AV41" s="283">
        <f t="shared" si="53"/>
        <v>0</v>
      </c>
      <c r="AW41" s="284">
        <f t="shared" ca="1" si="54"/>
        <v>0</v>
      </c>
      <c r="AX41" s="296">
        <f t="shared" ca="1" si="55"/>
        <v>0.49288101909772991</v>
      </c>
      <c r="AY41" s="297">
        <f t="shared" ca="1" si="56"/>
        <v>0.48632637854679811</v>
      </c>
      <c r="AZ41" s="297">
        <f t="shared" ca="1" si="57"/>
        <v>0</v>
      </c>
      <c r="BA41" s="283">
        <f t="shared" si="61"/>
        <v>0</v>
      </c>
      <c r="BB41" s="284">
        <f t="shared" ca="1" si="62"/>
        <v>0</v>
      </c>
      <c r="BC41" s="282">
        <f t="shared" ca="1" si="63"/>
        <v>0.50711898090227003</v>
      </c>
      <c r="BD41" s="283">
        <f t="shared" ca="1" si="64"/>
        <v>0.24809013858676535</v>
      </c>
      <c r="BE41" s="283">
        <f t="shared" ca="1" si="65"/>
        <v>0.24479088051096456</v>
      </c>
      <c r="BF41" s="283">
        <f t="shared" ca="1" si="66"/>
        <v>0</v>
      </c>
      <c r="BG41" s="283">
        <f t="shared" ca="1" si="67"/>
        <v>0</v>
      </c>
      <c r="BH41" s="284">
        <f t="shared" ca="1" si="68"/>
        <v>0</v>
      </c>
    </row>
    <row r="42" spans="1:60" ht="15" thickBot="1" x14ac:dyDescent="0.25">
      <c r="A42" s="302">
        <v>2025</v>
      </c>
      <c r="B42" s="823">
        <f t="shared" si="69"/>
        <v>138428.95000000001</v>
      </c>
      <c r="C42" s="824">
        <f t="shared" si="69"/>
        <v>5602.95</v>
      </c>
      <c r="D42" s="824">
        <f t="shared" si="69"/>
        <v>6145.74</v>
      </c>
      <c r="E42" s="824">
        <f t="shared" si="69"/>
        <v>70788.28</v>
      </c>
      <c r="F42" s="824">
        <f t="shared" si="69"/>
        <v>124481.35</v>
      </c>
      <c r="G42" s="825">
        <f t="shared" si="69"/>
        <v>75193.23</v>
      </c>
      <c r="H42" s="978">
        <f t="shared" si="70"/>
        <v>1</v>
      </c>
      <c r="I42" s="979">
        <f t="shared" si="70"/>
        <v>1</v>
      </c>
      <c r="J42" s="979">
        <f t="shared" si="70"/>
        <v>1</v>
      </c>
      <c r="K42" s="979">
        <f t="shared" si="70"/>
        <v>0.84603953185714076</v>
      </c>
      <c r="L42" s="979">
        <f t="shared" si="70"/>
        <v>1</v>
      </c>
      <c r="M42" s="980">
        <f t="shared" si="70"/>
        <v>1</v>
      </c>
      <c r="N42" s="1348">
        <f t="shared" si="28"/>
        <v>8169.7959553785822</v>
      </c>
      <c r="O42" s="265">
        <f t="shared" si="29"/>
        <v>7461.3039093414027</v>
      </c>
      <c r="P42" s="265">
        <f t="shared" si="30"/>
        <v>7437.3948513908617</v>
      </c>
      <c r="Q42" s="265">
        <f t="shared" si="31"/>
        <v>8844.7070931600319</v>
      </c>
      <c r="R42" s="265">
        <f t="shared" si="32"/>
        <v>11571.141445315729</v>
      </c>
      <c r="S42" s="1349">
        <f t="shared" si="33"/>
        <v>17306.383953777051</v>
      </c>
      <c r="T42" s="1348">
        <f t="shared" si="34"/>
        <v>708.49204603717953</v>
      </c>
      <c r="U42" s="265">
        <f t="shared" si="35"/>
        <v>732.40110398772049</v>
      </c>
      <c r="V42" s="265">
        <f t="shared" si="36"/>
        <v>-674.91113778144972</v>
      </c>
      <c r="W42" s="265">
        <f t="shared" si="37"/>
        <v>-3401.3454899371463</v>
      </c>
      <c r="X42" s="306">
        <f t="shared" si="38"/>
        <v>-9136.5879983984687</v>
      </c>
      <c r="Y42" s="307">
        <f ca="1">IF(AND(Y$22=TRUE,INDEX(CDRANGE_CLS2,MATCH($A42,$A$24:$A$67,0),MATCH(Y$20,$B$20:$G$20,0))&lt;$D$6/OPDAYS_Cls2),86,payback(C42,T42,disc_rate/12,85))</f>
        <v>9</v>
      </c>
      <c r="Z42" s="308">
        <f ca="1">IF(AND(Z$22=TRUE,INDEX(CDRANGE_CLS2,MATCH($A42,$A$24:$A$67,0),MATCH(Z$20,$B$20:$G$20,0))&lt;$D$6/OPDAYS_Cls2),86,payback(D42,U42,disc_rate/12,85))</f>
        <v>9</v>
      </c>
      <c r="AA42" s="308">
        <f ca="1">IF(AND(AA$22=TRUE,INDEX(CDRANGE_CLS2,MATCH($A42,$A$24:$A$67,0),MATCH(AA$20,$B$20:$G$20,0))&lt;$D$6/OPDAYS_Cls2),86,payback(E42,V42,disc_rate/12,85))</f>
        <v>86</v>
      </c>
      <c r="AB42" s="308">
        <f>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0.36552928931500245</v>
      </c>
      <c r="AJ42" s="314">
        <f t="shared" si="45"/>
        <v>0.36552928931500245</v>
      </c>
      <c r="AK42" s="314">
        <f t="shared" si="46"/>
        <v>0.36552928931500245</v>
      </c>
      <c r="AL42" s="314">
        <f t="shared" si="47"/>
        <v>7.8022518418636222E-2</v>
      </c>
      <c r="AM42" s="315">
        <f t="shared" si="48"/>
        <v>5.848468161162576E-8</v>
      </c>
      <c r="AN42" s="313">
        <f t="shared" si="60"/>
        <v>0.99545964982910806</v>
      </c>
      <c r="AO42" s="314">
        <f t="shared" si="60"/>
        <v>0.99453986154045781</v>
      </c>
      <c r="AP42" s="314">
        <f t="shared" si="60"/>
        <v>0.48365464615396625</v>
      </c>
      <c r="AQ42" s="314">
        <f t="shared" si="60"/>
        <v>0.10579842087909286</v>
      </c>
      <c r="AR42" s="599">
        <f t="shared" si="60"/>
        <v>0.44060854292563045</v>
      </c>
      <c r="AS42" s="830">
        <f t="shared" ca="1" si="50"/>
        <v>0.71394827812308648</v>
      </c>
      <c r="AT42" s="831">
        <f t="shared" ca="1" si="51"/>
        <v>0.71394827812308648</v>
      </c>
      <c r="AU42" s="831">
        <f t="shared" ca="1" si="52"/>
        <v>0</v>
      </c>
      <c r="AV42" s="831">
        <f t="shared" si="53"/>
        <v>0</v>
      </c>
      <c r="AW42" s="832">
        <f t="shared" ca="1" si="54"/>
        <v>0</v>
      </c>
      <c r="AX42" s="310">
        <f t="shared" ca="1" si="55"/>
        <v>0.71070670293650229</v>
      </c>
      <c r="AY42" s="311">
        <f t="shared" ca="1" si="56"/>
        <v>0.71005002167158271</v>
      </c>
      <c r="AZ42" s="311">
        <f t="shared" ca="1" si="57"/>
        <v>0</v>
      </c>
      <c r="BA42" s="311">
        <f t="shared" si="61"/>
        <v>0</v>
      </c>
      <c r="BB42" s="312">
        <f t="shared" ca="1" si="62"/>
        <v>0</v>
      </c>
      <c r="BC42" s="310">
        <f t="shared" ca="1" si="63"/>
        <v>0.28929329706349782</v>
      </c>
      <c r="BD42" s="311">
        <f t="shared" ca="1" si="64"/>
        <v>0.35551759766486862</v>
      </c>
      <c r="BE42" s="311">
        <f t="shared" ca="1" si="65"/>
        <v>0.35518910527163361</v>
      </c>
      <c r="BF42" s="311">
        <f t="shared" ca="1" si="66"/>
        <v>0</v>
      </c>
      <c r="BG42" s="311">
        <f t="shared" ca="1" si="67"/>
        <v>0</v>
      </c>
      <c r="BH42" s="312">
        <f t="shared" ca="1" si="68"/>
        <v>0</v>
      </c>
    </row>
    <row r="43" spans="1:60" x14ac:dyDescent="0.2">
      <c r="A43" s="316">
        <v>2026</v>
      </c>
      <c r="B43" s="826">
        <f t="shared" si="69"/>
        <v>139088.32000000001</v>
      </c>
      <c r="C43" s="827">
        <f t="shared" si="69"/>
        <v>5829.52</v>
      </c>
      <c r="D43" s="827">
        <f t="shared" si="69"/>
        <v>6311.03</v>
      </c>
      <c r="E43" s="827">
        <f t="shared" si="69"/>
        <v>63439.25</v>
      </c>
      <c r="F43" s="827">
        <f t="shared" si="69"/>
        <v>111055.28</v>
      </c>
      <c r="G43" s="828">
        <f t="shared" si="69"/>
        <v>64934.81</v>
      </c>
      <c r="H43" s="981">
        <f t="shared" si="70"/>
        <v>1</v>
      </c>
      <c r="I43" s="982">
        <f t="shared" si="70"/>
        <v>1</v>
      </c>
      <c r="J43" s="982">
        <f t="shared" si="70"/>
        <v>1</v>
      </c>
      <c r="K43" s="982">
        <f t="shared" si="70"/>
        <v>0.84567612477810628</v>
      </c>
      <c r="L43" s="982">
        <f t="shared" si="70"/>
        <v>1</v>
      </c>
      <c r="M43" s="983">
        <f t="shared" si="70"/>
        <v>1</v>
      </c>
      <c r="N43" s="275">
        <f t="shared" si="28"/>
        <v>8152.8306306051591</v>
      </c>
      <c r="O43" s="276">
        <f t="shared" si="29"/>
        <v>7331.7185487555762</v>
      </c>
      <c r="P43" s="276">
        <f t="shared" si="30"/>
        <v>7304.3685727460406</v>
      </c>
      <c r="Q43" s="276">
        <f t="shared" si="31"/>
        <v>8610.4745046562257</v>
      </c>
      <c r="R43" s="276">
        <f t="shared" si="32"/>
        <v>11356.39292579231</v>
      </c>
      <c r="S43" s="278">
        <f t="shared" si="33"/>
        <v>15963.223229044512</v>
      </c>
      <c r="T43" s="275">
        <f t="shared" si="34"/>
        <v>821.11208184958286</v>
      </c>
      <c r="U43" s="276">
        <f t="shared" si="35"/>
        <v>848.46205785911843</v>
      </c>
      <c r="V43" s="276">
        <f t="shared" si="36"/>
        <v>-457.64387405106663</v>
      </c>
      <c r="W43" s="276">
        <f t="shared" si="37"/>
        <v>-3203.562295187151</v>
      </c>
      <c r="X43" s="278">
        <f t="shared" si="38"/>
        <v>-7810.3925984393527</v>
      </c>
      <c r="Y43" s="279">
        <f ca="1">IF(AND(Y$22=TRUE,INDEX(CDRANGE_CLS2,MATCH($A43,$A$24:$A$67,0),MATCH(Y$20,$B$20:$G$20,0))&lt;$D$6/OPDAYS_Cls2),86,payback(C43,T43,disc_rate/12,85))</f>
        <v>8</v>
      </c>
      <c r="Z43" s="280">
        <f ca="1">IF(AND(Z$22=TRUE,INDEX(CDRANGE_CLS2,MATCH($A43,$A$24:$A$67,0),MATCH(Z$20,$B$20:$G$20,0))&lt;$D$6/OPDAYS_Cls2),86,payback(D43,U43,disc_rate/12,85))</f>
        <v>8</v>
      </c>
      <c r="AA43" s="280">
        <f ca="1">IF(AND(AA$22=TRUE,INDEX(CDRANGE_CLS2,MATCH($A43,$A$24:$A$67,0),MATCH(AA$20,$B$20:$G$20,0))&lt;$D$6/OPDAYS_Cls2),86,payback(E43,V43,disc_rate/12,85))</f>
        <v>86</v>
      </c>
      <c r="AB43" s="280">
        <f>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0.44039853898894116</v>
      </c>
      <c r="AJ43" s="286">
        <f t="shared" si="45"/>
        <v>0.44039853898894116</v>
      </c>
      <c r="AK43" s="286">
        <f t="shared" si="46"/>
        <v>0.44039853898894116</v>
      </c>
      <c r="AL43" s="286">
        <f t="shared" si="47"/>
        <v>0.11409947749819586</v>
      </c>
      <c r="AM43" s="287">
        <f t="shared" si="48"/>
        <v>1.127418816714989E-6</v>
      </c>
      <c r="AN43" s="285">
        <f t="shared" si="60"/>
        <v>0.99513231333522112</v>
      </c>
      <c r="AO43" s="286">
        <f t="shared" si="60"/>
        <v>0.99429736727267792</v>
      </c>
      <c r="AP43" s="286">
        <f t="shared" si="60"/>
        <v>0.56109064766104122</v>
      </c>
      <c r="AQ43" s="286">
        <f t="shared" si="60"/>
        <v>0.17017936865305994</v>
      </c>
      <c r="AR43" s="611">
        <f t="shared" si="60"/>
        <v>0.54583404378001765</v>
      </c>
      <c r="AS43" s="637">
        <f t="shared" ca="1" si="50"/>
        <v>0.87079999592311974</v>
      </c>
      <c r="AT43" s="638">
        <f t="shared" ca="1" si="51"/>
        <v>0.87079999592311974</v>
      </c>
      <c r="AU43" s="638">
        <f t="shared" ca="1" si="52"/>
        <v>0</v>
      </c>
      <c r="AV43" s="638">
        <f t="shared" si="53"/>
        <v>0</v>
      </c>
      <c r="AW43" s="639">
        <f t="shared" ca="1" si="54"/>
        <v>0</v>
      </c>
      <c r="AX43" s="282">
        <f t="shared" ca="1" si="55"/>
        <v>0.86656121439527523</v>
      </c>
      <c r="AY43" s="283">
        <f t="shared" ca="1" si="56"/>
        <v>0.8658341433674166</v>
      </c>
      <c r="AZ43" s="283">
        <f t="shared" ca="1" si="57"/>
        <v>0</v>
      </c>
      <c r="BA43" s="283">
        <f t="shared" si="61"/>
        <v>0</v>
      </c>
      <c r="BB43" s="284">
        <f t="shared" ca="1" si="62"/>
        <v>0</v>
      </c>
      <c r="BC43" s="282">
        <f t="shared" ca="1" si="63"/>
        <v>0.13343878560472477</v>
      </c>
      <c r="BD43" s="283">
        <f t="shared" ca="1" si="64"/>
        <v>0.43346245124092414</v>
      </c>
      <c r="BE43" s="283">
        <f t="shared" ca="1" si="65"/>
        <v>0.43309876315435109</v>
      </c>
      <c r="BF43" s="283">
        <f t="shared" ca="1" si="66"/>
        <v>0</v>
      </c>
      <c r="BG43" s="283">
        <f t="shared" ca="1" si="67"/>
        <v>0</v>
      </c>
      <c r="BH43" s="284">
        <f t="shared" ca="1" si="68"/>
        <v>0</v>
      </c>
    </row>
    <row r="44" spans="1:60" x14ac:dyDescent="0.2">
      <c r="A44" s="317">
        <v>2027</v>
      </c>
      <c r="B44" s="820">
        <f t="shared" ref="B44:G53" si="71">ROUND(INDEX(COST_Cls2,$A44-($A$24-1),MATCH(B$20,TECHOPTS_Cls2,0)),2)</f>
        <v>139747.70000000001</v>
      </c>
      <c r="C44" s="821">
        <f t="shared" si="71"/>
        <v>6056.08</v>
      </c>
      <c r="D44" s="821">
        <f t="shared" si="71"/>
        <v>6476.32</v>
      </c>
      <c r="E44" s="821">
        <f t="shared" si="71"/>
        <v>56090.22</v>
      </c>
      <c r="F44" s="821">
        <f t="shared" si="71"/>
        <v>97629.2</v>
      </c>
      <c r="G44" s="822">
        <f t="shared" si="71"/>
        <v>54676.38</v>
      </c>
      <c r="H44" s="984">
        <f t="shared" ref="H44:M53" si="72">IF(H$21="Single-fuel",1,1-MIN(INDEX(CDRANGE_CLS2,$A44-($A$24-1),MATCH(H$20,TECHOPTS_Cls2,0))*OPDAYS_Cls2/$D$6,1))</f>
        <v>1</v>
      </c>
      <c r="I44" s="985">
        <f t="shared" si="72"/>
        <v>1</v>
      </c>
      <c r="J44" s="985">
        <f t="shared" si="72"/>
        <v>1</v>
      </c>
      <c r="K44" s="985">
        <f t="shared" si="72"/>
        <v>0.84531271769907179</v>
      </c>
      <c r="L44" s="985">
        <f t="shared" si="72"/>
        <v>1</v>
      </c>
      <c r="M44" s="986">
        <f t="shared" si="72"/>
        <v>1</v>
      </c>
      <c r="N44" s="289">
        <f t="shared" si="28"/>
        <v>8023.1554360919436</v>
      </c>
      <c r="O44" s="290">
        <f t="shared" si="29"/>
        <v>7109.8304457077184</v>
      </c>
      <c r="P44" s="290">
        <f t="shared" si="30"/>
        <v>7079.8055725574841</v>
      </c>
      <c r="Q44" s="290">
        <f t="shared" si="31"/>
        <v>8287.664415905796</v>
      </c>
      <c r="R44" s="290">
        <f t="shared" si="32"/>
        <v>11065.193583629398</v>
      </c>
      <c r="S44" s="292">
        <f t="shared" si="33"/>
        <v>14962.128623314866</v>
      </c>
      <c r="T44" s="289">
        <f t="shared" si="34"/>
        <v>913.3249903842252</v>
      </c>
      <c r="U44" s="290">
        <f t="shared" si="35"/>
        <v>943.34986353445947</v>
      </c>
      <c r="V44" s="290">
        <f t="shared" si="36"/>
        <v>-264.50897981385242</v>
      </c>
      <c r="W44" s="290">
        <f t="shared" si="37"/>
        <v>-3042.0381475374543</v>
      </c>
      <c r="X44" s="292">
        <f t="shared" si="38"/>
        <v>-6938.9731872229222</v>
      </c>
      <c r="Y44" s="293">
        <f ca="1">IF(AND(Y$22=TRUE,INDEX(CDRANGE_CLS2,MATCH($A44,$A$24:$A$67,0),MATCH(Y$20,$B$20:$G$20,0))&lt;$D$6/OPDAYS_Cls2),86,payback(C44,T44,disc_rate/12,85))</f>
        <v>7</v>
      </c>
      <c r="Z44" s="294">
        <f ca="1">IF(AND(Z$22=TRUE,INDEX(CDRANGE_CLS2,MATCH($A44,$A$24:$A$67,0),MATCH(Z$20,$B$20:$G$20,0))&lt;$D$6/OPDAYS_Cls2),86,payback(D44,U44,disc_rate/12,85))</f>
        <v>8</v>
      </c>
      <c r="AA44" s="294">
        <f ca="1">IF(AND(AA$22=TRUE,INDEX(CDRANGE_CLS2,MATCH($A44,$A$24:$A$67,0),MATCH(AA$20,$B$20:$G$20,0))&lt;$D$6/OPDAYS_Cls2),86,payback(E44,V44,disc_rate/12,85))</f>
        <v>86</v>
      </c>
      <c r="AB44" s="294">
        <f>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0.47628706341121668</v>
      </c>
      <c r="AJ44" s="300">
        <f t="shared" si="45"/>
        <v>0.47628706341121668</v>
      </c>
      <c r="AK44" s="300">
        <f t="shared" si="46"/>
        <v>0.47628706341121668</v>
      </c>
      <c r="AL44" s="300">
        <f t="shared" si="47"/>
        <v>0.1600725741397479</v>
      </c>
      <c r="AM44" s="301">
        <f t="shared" si="48"/>
        <v>1.2192933216365979E-6</v>
      </c>
      <c r="AN44" s="299">
        <f t="shared" si="60"/>
        <v>0.99479693704652883</v>
      </c>
      <c r="AO44" s="300">
        <f t="shared" si="60"/>
        <v>0.99405201370671159</v>
      </c>
      <c r="AP44" s="300">
        <f t="shared" si="60"/>
        <v>0.63923119232214531</v>
      </c>
      <c r="AQ44" s="300">
        <f t="shared" si="60"/>
        <v>0.25776355454788979</v>
      </c>
      <c r="AR44" s="598">
        <f t="shared" si="60"/>
        <v>0.65362982120613489</v>
      </c>
      <c r="AS44" s="282">
        <f t="shared" ca="1" si="50"/>
        <v>0.94945662357669569</v>
      </c>
      <c r="AT44" s="283">
        <f t="shared" ca="1" si="51"/>
        <v>0.94176237239319482</v>
      </c>
      <c r="AU44" s="283">
        <f t="shared" ca="1" si="52"/>
        <v>0</v>
      </c>
      <c r="AV44" s="283">
        <f t="shared" si="53"/>
        <v>0</v>
      </c>
      <c r="AW44" s="284">
        <f t="shared" ca="1" si="54"/>
        <v>0</v>
      </c>
      <c r="AX44" s="296">
        <f t="shared" ca="1" si="55"/>
        <v>0.94451654099263593</v>
      </c>
      <c r="AY44" s="297">
        <f t="shared" ca="1" si="56"/>
        <v>0.93616078271066527</v>
      </c>
      <c r="AZ44" s="297">
        <f t="shared" ca="1" si="57"/>
        <v>0</v>
      </c>
      <c r="BA44" s="283">
        <f t="shared" si="61"/>
        <v>0</v>
      </c>
      <c r="BB44" s="284">
        <f t="shared" ca="1" si="62"/>
        <v>0</v>
      </c>
      <c r="BC44" s="282">
        <f t="shared" ca="1" si="63"/>
        <v>5.5483459007364067E-2</v>
      </c>
      <c r="BD44" s="283">
        <f t="shared" ca="1" si="64"/>
        <v>0.4743564911241705</v>
      </c>
      <c r="BE44" s="283">
        <f t="shared" ca="1" si="65"/>
        <v>0.47016004986846544</v>
      </c>
      <c r="BF44" s="283">
        <f t="shared" ca="1" si="66"/>
        <v>0</v>
      </c>
      <c r="BG44" s="283">
        <f t="shared" ca="1" si="67"/>
        <v>0</v>
      </c>
      <c r="BH44" s="284">
        <f t="shared" ca="1" si="68"/>
        <v>0</v>
      </c>
    </row>
    <row r="45" spans="1:60" x14ac:dyDescent="0.2">
      <c r="A45" s="317">
        <v>2028</v>
      </c>
      <c r="B45" s="820">
        <f t="shared" si="71"/>
        <v>140407.07</v>
      </c>
      <c r="C45" s="821">
        <f t="shared" si="71"/>
        <v>6282.65</v>
      </c>
      <c r="D45" s="821">
        <f t="shared" si="71"/>
        <v>6641.61</v>
      </c>
      <c r="E45" s="821">
        <f t="shared" si="71"/>
        <v>48741.19</v>
      </c>
      <c r="F45" s="821">
        <f t="shared" si="71"/>
        <v>84203.12</v>
      </c>
      <c r="G45" s="822">
        <f t="shared" si="71"/>
        <v>44417.96</v>
      </c>
      <c r="H45" s="984">
        <f t="shared" si="72"/>
        <v>1</v>
      </c>
      <c r="I45" s="985">
        <f t="shared" si="72"/>
        <v>1</v>
      </c>
      <c r="J45" s="985">
        <f t="shared" si="72"/>
        <v>1</v>
      </c>
      <c r="K45" s="985">
        <f t="shared" si="72"/>
        <v>0.84494931062003731</v>
      </c>
      <c r="L45" s="985">
        <f t="shared" si="72"/>
        <v>1</v>
      </c>
      <c r="M45" s="986">
        <f t="shared" si="72"/>
        <v>1</v>
      </c>
      <c r="N45" s="289">
        <f t="shared" si="28"/>
        <v>8075.1690186996075</v>
      </c>
      <c r="O45" s="290">
        <f t="shared" si="29"/>
        <v>7056.3766632980605</v>
      </c>
      <c r="P45" s="290">
        <f t="shared" si="30"/>
        <v>7023.3146514653426</v>
      </c>
      <c r="Q45" s="290">
        <f t="shared" si="31"/>
        <v>8135.8382743387083</v>
      </c>
      <c r="R45" s="290">
        <f t="shared" si="32"/>
        <v>10801.58547120474</v>
      </c>
      <c r="S45" s="292">
        <f t="shared" si="33"/>
        <v>14046.757025044173</v>
      </c>
      <c r="T45" s="289">
        <f t="shared" si="34"/>
        <v>1018.792355401547</v>
      </c>
      <c r="U45" s="290">
        <f t="shared" si="35"/>
        <v>1051.8543672342648</v>
      </c>
      <c r="V45" s="290">
        <f t="shared" si="36"/>
        <v>-60.669255639100811</v>
      </c>
      <c r="W45" s="290">
        <f t="shared" si="37"/>
        <v>-2726.4164525051328</v>
      </c>
      <c r="X45" s="292">
        <f t="shared" si="38"/>
        <v>-5971.5880063445657</v>
      </c>
      <c r="Y45" s="293">
        <f ca="1">IF(AND(Y$22=TRUE,INDEX(CDRANGE_CLS2,MATCH($A45,$A$24:$A$67,0),MATCH(Y$20,$B$20:$G$20,0))&lt;$D$6/OPDAYS_Cls2),86,payback(C45,T45,disc_rate/12,85))</f>
        <v>7</v>
      </c>
      <c r="Z45" s="294">
        <f ca="1">IF(AND(Z$22=TRUE,INDEX(CDRANGE_CLS2,MATCH($A45,$A$24:$A$67,0),MATCH(Z$20,$B$20:$G$20,0))&lt;$D$6/OPDAYS_Cls2),86,payback(D45,U45,disc_rate/12,85))</f>
        <v>7</v>
      </c>
      <c r="AA45" s="294">
        <f ca="1">IF(AND(AA$22=TRUE,INDEX(CDRANGE_CLS2,MATCH($A45,$A$24:$A$67,0),MATCH(AA$20,$B$20:$G$20,0))&lt;$D$6/OPDAYS_Cls2),86,payback(E45,V45,disc_rate/12,85))</f>
        <v>86</v>
      </c>
      <c r="AB45" s="294">
        <f>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0.49100689501895423</v>
      </c>
      <c r="AJ45" s="300">
        <f t="shared" si="45"/>
        <v>0.49100689501895423</v>
      </c>
      <c r="AK45" s="300">
        <f t="shared" si="46"/>
        <v>0.49100689501895423</v>
      </c>
      <c r="AL45" s="300">
        <f t="shared" si="47"/>
        <v>0.19256155202933228</v>
      </c>
      <c r="AM45" s="301">
        <f t="shared" si="48"/>
        <v>2.0111230539163156E-5</v>
      </c>
      <c r="AN45" s="299">
        <f t="shared" si="60"/>
        <v>0.99445376666456653</v>
      </c>
      <c r="AO45" s="300">
        <f t="shared" si="60"/>
        <v>0.99380391543241542</v>
      </c>
      <c r="AP45" s="300">
        <f t="shared" si="60"/>
        <v>0.71552178738648076</v>
      </c>
      <c r="AQ45" s="300">
        <f t="shared" si="60"/>
        <v>0.36823867354165363</v>
      </c>
      <c r="AR45" s="598">
        <f t="shared" si="60"/>
        <v>0.75730071537523025</v>
      </c>
      <c r="AS45" s="282">
        <f t="shared" ca="1" si="50"/>
        <v>0.97879993917675334</v>
      </c>
      <c r="AT45" s="283">
        <f t="shared" ca="1" si="51"/>
        <v>0.97879993917675334</v>
      </c>
      <c r="AU45" s="283">
        <f t="shared" ca="1" si="52"/>
        <v>0</v>
      </c>
      <c r="AV45" s="283">
        <f t="shared" si="53"/>
        <v>0</v>
      </c>
      <c r="AW45" s="284">
        <f t="shared" ca="1" si="54"/>
        <v>0</v>
      </c>
      <c r="AX45" s="296">
        <f t="shared" ca="1" si="55"/>
        <v>0.97337128632537095</v>
      </c>
      <c r="AY45" s="297">
        <f t="shared" ca="1" si="56"/>
        <v>0.97273521197886759</v>
      </c>
      <c r="AZ45" s="297">
        <f t="shared" ca="1" si="57"/>
        <v>0</v>
      </c>
      <c r="BA45" s="283">
        <f t="shared" si="61"/>
        <v>0</v>
      </c>
      <c r="BB45" s="284">
        <f t="shared" ca="1" si="62"/>
        <v>0</v>
      </c>
      <c r="BC45" s="282">
        <f t="shared" ca="1" si="63"/>
        <v>2.6628713674629045E-2</v>
      </c>
      <c r="BD45" s="283">
        <f t="shared" ca="1" si="64"/>
        <v>0.48684471372367322</v>
      </c>
      <c r="BE45" s="283">
        <f t="shared" ca="1" si="65"/>
        <v>0.48652657260169768</v>
      </c>
      <c r="BF45" s="283">
        <f t="shared" ca="1" si="66"/>
        <v>0</v>
      </c>
      <c r="BG45" s="283">
        <f t="shared" ca="1" si="67"/>
        <v>0</v>
      </c>
      <c r="BH45" s="284">
        <f t="shared" ca="1" si="68"/>
        <v>0</v>
      </c>
    </row>
    <row r="46" spans="1:60" x14ac:dyDescent="0.2">
      <c r="A46" s="317">
        <v>2029</v>
      </c>
      <c r="B46" s="820">
        <f t="shared" si="71"/>
        <v>141066.45000000001</v>
      </c>
      <c r="C46" s="821">
        <f t="shared" si="71"/>
        <v>6509.21</v>
      </c>
      <c r="D46" s="821">
        <f t="shared" si="71"/>
        <v>6806.91</v>
      </c>
      <c r="E46" s="821">
        <f t="shared" si="71"/>
        <v>41392.160000000003</v>
      </c>
      <c r="F46" s="821">
        <f t="shared" si="71"/>
        <v>70777.039999999994</v>
      </c>
      <c r="G46" s="822">
        <f t="shared" si="71"/>
        <v>34159.54</v>
      </c>
      <c r="H46" s="984">
        <f t="shared" si="72"/>
        <v>1</v>
      </c>
      <c r="I46" s="985">
        <f t="shared" si="72"/>
        <v>1</v>
      </c>
      <c r="J46" s="985">
        <f t="shared" si="72"/>
        <v>1</v>
      </c>
      <c r="K46" s="985">
        <f t="shared" si="72"/>
        <v>0.84458590354100282</v>
      </c>
      <c r="L46" s="985">
        <f t="shared" si="72"/>
        <v>1</v>
      </c>
      <c r="M46" s="986">
        <f t="shared" si="72"/>
        <v>1</v>
      </c>
      <c r="N46" s="289">
        <f t="shared" si="28"/>
        <v>8066.3731676033985</v>
      </c>
      <c r="O46" s="290">
        <f t="shared" si="29"/>
        <v>6955.0910574300469</v>
      </c>
      <c r="P46" s="290">
        <f t="shared" si="30"/>
        <v>6919.479125808517</v>
      </c>
      <c r="Q46" s="290">
        <f t="shared" si="31"/>
        <v>7941.7314588444042</v>
      </c>
      <c r="R46" s="290">
        <f t="shared" si="32"/>
        <v>10511.022972198221</v>
      </c>
      <c r="S46" s="292">
        <f t="shared" si="33"/>
        <v>13263.944644483023</v>
      </c>
      <c r="T46" s="289">
        <f t="shared" si="34"/>
        <v>1111.2821101733516</v>
      </c>
      <c r="U46" s="290">
        <f t="shared" si="35"/>
        <v>1146.8940417948816</v>
      </c>
      <c r="V46" s="290">
        <f t="shared" si="36"/>
        <v>124.64170875899435</v>
      </c>
      <c r="W46" s="290">
        <f t="shared" si="37"/>
        <v>-2444.6498045948229</v>
      </c>
      <c r="X46" s="292">
        <f t="shared" si="38"/>
        <v>-5197.5714768796242</v>
      </c>
      <c r="Y46" s="293">
        <f ca="1">IF(AND(Y$22=TRUE,INDEX(CDRANGE_CLS2,MATCH($A46,$A$24:$A$67,0),MATCH(Y$20,$B$20:$G$20,0))&lt;$D$6/OPDAYS_Cls2),86,payback(C46,T46,disc_rate/12,85))</f>
        <v>6</v>
      </c>
      <c r="Z46" s="294">
        <f ca="1">IF(AND(Z$22=TRUE,INDEX(CDRANGE_CLS2,MATCH($A46,$A$24:$A$67,0),MATCH(Z$20,$B$20:$G$20,0))&lt;$D$6/OPDAYS_Cls2),86,payback(D46,U46,disc_rate/12,85))</f>
        <v>7</v>
      </c>
      <c r="AA46" s="294">
        <f ca="1">IF(AND(AA$22=TRUE,INDEX(CDRANGE_CLS2,MATCH($A46,$A$24:$A$67,0),MATCH(AA$20,$B$20:$G$20,0))&lt;$D$6/OPDAYS_Cls2),86,payback(E46,V46,disc_rate/12,85))</f>
        <v>86</v>
      </c>
      <c r="AB46" s="294">
        <f>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0.49665357453785763</v>
      </c>
      <c r="AJ46" s="300">
        <f t="shared" si="45"/>
        <v>0.49665357453785763</v>
      </c>
      <c r="AK46" s="300">
        <f t="shared" si="46"/>
        <v>0.49665357453785763</v>
      </c>
      <c r="AL46" s="300">
        <f t="shared" si="47"/>
        <v>0.2240012655749237</v>
      </c>
      <c r="AM46" s="301">
        <f t="shared" si="48"/>
        <v>4.9662874268686648E-5</v>
      </c>
      <c r="AN46" s="299">
        <f t="shared" si="60"/>
        <v>0.99410311117407502</v>
      </c>
      <c r="AO46" s="300">
        <f t="shared" si="60"/>
        <v>0.99355316797229531</v>
      </c>
      <c r="AP46" s="300">
        <f t="shared" si="60"/>
        <v>0.78728992048447477</v>
      </c>
      <c r="AQ46" s="300">
        <f t="shared" si="60"/>
        <v>0.49695600905255921</v>
      </c>
      <c r="AR46" s="598">
        <f t="shared" si="60"/>
        <v>0.84969114051637828</v>
      </c>
      <c r="AS46" s="282">
        <f t="shared" ca="1" si="50"/>
        <v>0.99330714907571527</v>
      </c>
      <c r="AT46" s="283">
        <f t="shared" ca="1" si="51"/>
        <v>0.99005633827363348</v>
      </c>
      <c r="AU46" s="283">
        <f t="shared" ca="1" si="52"/>
        <v>0</v>
      </c>
      <c r="AV46" s="283">
        <f t="shared" si="53"/>
        <v>0</v>
      </c>
      <c r="AW46" s="284">
        <f t="shared" ca="1" si="54"/>
        <v>0</v>
      </c>
      <c r="AX46" s="296">
        <f t="shared" ca="1" si="55"/>
        <v>0.98744972724761926</v>
      </c>
      <c r="AY46" s="297">
        <f t="shared" ca="1" si="56"/>
        <v>0.98367361136281906</v>
      </c>
      <c r="AZ46" s="297">
        <f t="shared" ca="1" si="57"/>
        <v>0</v>
      </c>
      <c r="BA46" s="283">
        <f t="shared" si="61"/>
        <v>0</v>
      </c>
      <c r="BB46" s="284">
        <f t="shared" ca="1" si="62"/>
        <v>0</v>
      </c>
      <c r="BC46" s="282">
        <f t="shared" ca="1" si="63"/>
        <v>1.2550272752380742E-2</v>
      </c>
      <c r="BD46" s="283">
        <f t="shared" ca="1" si="64"/>
        <v>0.49467070108802685</v>
      </c>
      <c r="BE46" s="283">
        <f t="shared" ca="1" si="65"/>
        <v>0.4927790261595924</v>
      </c>
      <c r="BF46" s="283">
        <f t="shared" ca="1" si="66"/>
        <v>0</v>
      </c>
      <c r="BG46" s="283">
        <f t="shared" ca="1" si="67"/>
        <v>0</v>
      </c>
      <c r="BH46" s="284">
        <f t="shared" ca="1" si="68"/>
        <v>0</v>
      </c>
    </row>
    <row r="47" spans="1:60" ht="15" thickBot="1" x14ac:dyDescent="0.25">
      <c r="A47" s="302">
        <v>2030</v>
      </c>
      <c r="B47" s="814">
        <f t="shared" si="71"/>
        <v>141725.82999999999</v>
      </c>
      <c r="C47" s="815">
        <f t="shared" si="71"/>
        <v>6735.78</v>
      </c>
      <c r="D47" s="815">
        <f t="shared" si="71"/>
        <v>6972.2</v>
      </c>
      <c r="E47" s="815">
        <f t="shared" si="71"/>
        <v>34043.129999999997</v>
      </c>
      <c r="F47" s="815">
        <f t="shared" si="71"/>
        <v>57350.96</v>
      </c>
      <c r="G47" s="816">
        <f t="shared" si="71"/>
        <v>23901.119999999999</v>
      </c>
      <c r="H47" s="978">
        <f t="shared" si="72"/>
        <v>1</v>
      </c>
      <c r="I47" s="979">
        <f t="shared" si="72"/>
        <v>1</v>
      </c>
      <c r="J47" s="979">
        <f t="shared" si="72"/>
        <v>1</v>
      </c>
      <c r="K47" s="979">
        <f t="shared" si="72"/>
        <v>0.84422249646196834</v>
      </c>
      <c r="L47" s="979">
        <f t="shared" si="72"/>
        <v>1</v>
      </c>
      <c r="M47" s="980">
        <f t="shared" si="72"/>
        <v>1</v>
      </c>
      <c r="N47" s="303">
        <f t="shared" si="28"/>
        <v>8229.955413761536</v>
      </c>
      <c r="O47" s="304">
        <f t="shared" si="29"/>
        <v>7006.0865751100882</v>
      </c>
      <c r="P47" s="304">
        <f t="shared" si="30"/>
        <v>6967.3430914937617</v>
      </c>
      <c r="Q47" s="304">
        <f t="shared" si="31"/>
        <v>7908.6677624249269</v>
      </c>
      <c r="R47" s="304">
        <f t="shared" si="32"/>
        <v>10329.464482153919</v>
      </c>
      <c r="S47" s="306">
        <f t="shared" si="33"/>
        <v>12794.060169705564</v>
      </c>
      <c r="T47" s="303">
        <f t="shared" si="34"/>
        <v>1223.8688386514477</v>
      </c>
      <c r="U47" s="304">
        <f t="shared" si="35"/>
        <v>1262.6123222677743</v>
      </c>
      <c r="V47" s="304">
        <f t="shared" si="36"/>
        <v>321.28765133660909</v>
      </c>
      <c r="W47" s="304">
        <f t="shared" si="37"/>
        <v>-2099.5090683923827</v>
      </c>
      <c r="X47" s="306">
        <f t="shared" si="38"/>
        <v>-4564.1047559440285</v>
      </c>
      <c r="Y47" s="307">
        <f ca="1">IF(AND(Y$22=TRUE,INDEX(CDRANGE_CLS2,MATCH($A47,$A$24:$A$67,0),MATCH(Y$20,$B$20:$G$20,0))&lt;$D$6/OPDAYS_Cls2),86,payback(C47,T47,disc_rate/12,85))</f>
        <v>6</v>
      </c>
      <c r="Z47" s="308">
        <f ca="1">IF(AND(Z$22=TRUE,INDEX(CDRANGE_CLS2,MATCH($A47,$A$24:$A$67,0),MATCH(Z$20,$B$20:$G$20,0))&lt;$D$6/OPDAYS_Cls2),86,payback(D47,U47,disc_rate/12,85))</f>
        <v>6</v>
      </c>
      <c r="AA47" s="308">
        <f ca="1">IF(AND(AA$22=TRUE,INDEX(CDRANGE_CLS2,MATCH($A47,$A$24:$A$67,0),MATCH(AA$20,$B$20:$G$20,0))&lt;$D$6/OPDAYS_Cls2),86,payback(E47,V47,disc_rate/12,85))</f>
        <v>86</v>
      </c>
      <c r="AB47" s="308">
        <f>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0.49876368842168267</v>
      </c>
      <c r="AJ47" s="314">
        <f t="shared" si="45"/>
        <v>0.49876368842168267</v>
      </c>
      <c r="AK47" s="314">
        <f t="shared" si="46"/>
        <v>0.49876368842168267</v>
      </c>
      <c r="AL47" s="314">
        <f t="shared" si="47"/>
        <v>0.27029859074170631</v>
      </c>
      <c r="AM47" s="315">
        <f t="shared" si="48"/>
        <v>1.9156825975678672E-4</v>
      </c>
      <c r="AN47" s="630">
        <f t="shared" si="60"/>
        <v>0.99374519890748736</v>
      </c>
      <c r="AO47" s="628">
        <f t="shared" si="60"/>
        <v>0.99329991717245192</v>
      </c>
      <c r="AP47" s="628">
        <f t="shared" si="60"/>
        <v>0.85191178864680217</v>
      </c>
      <c r="AQ47" s="628">
        <f t="shared" si="60"/>
        <v>0.63453472468632444</v>
      </c>
      <c r="AR47" s="629">
        <f t="shared" si="60"/>
        <v>0.92403842938167757</v>
      </c>
      <c r="AS47" s="319">
        <f t="shared" ca="1" si="50"/>
        <v>0.99752737684336534</v>
      </c>
      <c r="AT47" s="320">
        <f t="shared" ca="1" si="51"/>
        <v>0.99752737684336534</v>
      </c>
      <c r="AU47" s="320">
        <f t="shared" ca="1" si="52"/>
        <v>0</v>
      </c>
      <c r="AV47" s="320">
        <f t="shared" si="53"/>
        <v>0</v>
      </c>
      <c r="AW47" s="321">
        <f t="shared" ca="1" si="54"/>
        <v>0</v>
      </c>
      <c r="AX47" s="310">
        <f t="shared" ca="1" si="55"/>
        <v>0.99128804151687422</v>
      </c>
      <c r="AY47" s="311">
        <f t="shared" ca="1" si="56"/>
        <v>0.99084386079576803</v>
      </c>
      <c r="AZ47" s="311">
        <f t="shared" ca="1" si="57"/>
        <v>0</v>
      </c>
      <c r="BA47" s="311">
        <f t="shared" si="61"/>
        <v>0</v>
      </c>
      <c r="BB47" s="312">
        <f t="shared" ca="1" si="62"/>
        <v>0</v>
      </c>
      <c r="BC47" s="310">
        <f t="shared" ca="1" si="63"/>
        <v>8.7119584831258923E-3</v>
      </c>
      <c r="BD47" s="311">
        <f t="shared" ca="1" si="64"/>
        <v>0.49575509082309605</v>
      </c>
      <c r="BE47" s="311">
        <f t="shared" ca="1" si="65"/>
        <v>0.49553295069377812</v>
      </c>
      <c r="BF47" s="311">
        <f t="shared" ca="1" si="66"/>
        <v>0</v>
      </c>
      <c r="BG47" s="311">
        <f t="shared" ca="1" si="67"/>
        <v>0</v>
      </c>
      <c r="BH47" s="312">
        <f t="shared" ca="1" si="68"/>
        <v>0</v>
      </c>
    </row>
    <row r="48" spans="1:60" x14ac:dyDescent="0.2">
      <c r="A48" s="316">
        <v>2031</v>
      </c>
      <c r="B48" s="817">
        <f t="shared" si="71"/>
        <v>141725.82999999999</v>
      </c>
      <c r="C48" s="818">
        <f t="shared" si="71"/>
        <v>6735.78</v>
      </c>
      <c r="D48" s="818">
        <f t="shared" si="71"/>
        <v>6972.2</v>
      </c>
      <c r="E48" s="818">
        <f t="shared" si="71"/>
        <v>31513.34</v>
      </c>
      <c r="F48" s="818">
        <f t="shared" si="71"/>
        <v>52004.51</v>
      </c>
      <c r="G48" s="819">
        <f t="shared" si="71"/>
        <v>21656.23</v>
      </c>
      <c r="H48" s="981">
        <f t="shared" si="72"/>
        <v>1</v>
      </c>
      <c r="I48" s="982">
        <f t="shared" si="72"/>
        <v>1</v>
      </c>
      <c r="J48" s="982">
        <f t="shared" si="72"/>
        <v>1</v>
      </c>
      <c r="K48" s="982">
        <f t="shared" si="72"/>
        <v>0.84396704763393293</v>
      </c>
      <c r="L48" s="982">
        <f t="shared" si="72"/>
        <v>1</v>
      </c>
      <c r="M48" s="983">
        <f t="shared" si="72"/>
        <v>1</v>
      </c>
      <c r="N48" s="275">
        <f t="shared" si="28"/>
        <v>8317.5219447875952</v>
      </c>
      <c r="O48" s="276">
        <f t="shared" si="29"/>
        <v>7080.6311706281595</v>
      </c>
      <c r="P48" s="276">
        <f t="shared" si="30"/>
        <v>7041.4754572621487</v>
      </c>
      <c r="Q48" s="276">
        <f t="shared" si="31"/>
        <v>7819.2274907559167</v>
      </c>
      <c r="R48" s="276">
        <f t="shared" si="32"/>
        <v>10175.513207459113</v>
      </c>
      <c r="S48" s="278">
        <f t="shared" si="33"/>
        <v>12174.236078975131</v>
      </c>
      <c r="T48" s="275">
        <f t="shared" si="34"/>
        <v>1236.8907741594358</v>
      </c>
      <c r="U48" s="276">
        <f t="shared" si="35"/>
        <v>1276.0464875254465</v>
      </c>
      <c r="V48" s="276">
        <f t="shared" si="36"/>
        <v>498.29445403167847</v>
      </c>
      <c r="W48" s="276">
        <f t="shared" si="37"/>
        <v>-1857.9912626715177</v>
      </c>
      <c r="X48" s="278">
        <f t="shared" si="38"/>
        <v>-3856.7141341875358</v>
      </c>
      <c r="Y48" s="279">
        <f ca="1">IF(AND(Y$22=TRUE,INDEX(CDRANGE_CLS2,MATCH($A48,$A$24:$A$67,0),MATCH(Y$20,$B$20:$G$20,0))&lt;$D$6/OPDAYS_Cls2),86,payback(C48,T48,disc_rate/12,85))</f>
        <v>6</v>
      </c>
      <c r="Z48" s="280">
        <f ca="1">IF(AND(Z$22=TRUE,INDEX(CDRANGE_CLS2,MATCH($A48,$A$24:$A$67,0),MATCH(Z$20,$B$20:$G$20,0))&lt;$D$6/OPDAYS_Cls2),86,payback(D48,U48,disc_rate/12,85))</f>
        <v>6</v>
      </c>
      <c r="AA48" s="280">
        <f ca="1">IF(AND(AA$22=TRUE,INDEX(CDRANGE_CLS2,MATCH($A48,$A$24:$A$67,0),MATCH(AA$20,$B$20:$G$20,0))&lt;$D$6/OPDAYS_Cls2),86,payback(E48,V48,disc_rate/12,85))</f>
        <v>81</v>
      </c>
      <c r="AB48" s="280">
        <f>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0.4995444744027997</v>
      </c>
      <c r="AJ48" s="286">
        <f t="shared" si="45"/>
        <v>0.4995444744027997</v>
      </c>
      <c r="AK48" s="286">
        <f t="shared" si="46"/>
        <v>0.4995444744027997</v>
      </c>
      <c r="AL48" s="286">
        <f t="shared" si="47"/>
        <v>0.30093738021312855</v>
      </c>
      <c r="AM48" s="287">
        <f t="shared" si="48"/>
        <v>3.2727421381663498E-4</v>
      </c>
      <c r="AN48" s="643">
        <f t="shared" si="60"/>
        <v>0.99374519890748736</v>
      </c>
      <c r="AO48" s="641">
        <f t="shared" si="60"/>
        <v>0.99329991717245192</v>
      </c>
      <c r="AP48" s="641">
        <f t="shared" si="60"/>
        <v>0.87167620254576139</v>
      </c>
      <c r="AQ48" s="641">
        <f t="shared" si="60"/>
        <v>0.68797104859774594</v>
      </c>
      <c r="AR48" s="642">
        <f t="shared" si="60"/>
        <v>0.93720030698511869</v>
      </c>
      <c r="AS48" s="282">
        <f t="shared" ca="1" si="50"/>
        <v>0.9990889488055994</v>
      </c>
      <c r="AT48" s="283">
        <f t="shared" ca="1" si="51"/>
        <v>0.9990889488055994</v>
      </c>
      <c r="AU48" s="283">
        <f t="shared" ca="1" si="52"/>
        <v>4.1950205166635179E-4</v>
      </c>
      <c r="AV48" s="283">
        <f t="shared" si="53"/>
        <v>0</v>
      </c>
      <c r="AW48" s="284">
        <f t="shared" ca="1" si="54"/>
        <v>0</v>
      </c>
      <c r="AX48" s="282">
        <f t="shared" ca="1" si="55"/>
        <v>0.99283984615709286</v>
      </c>
      <c r="AY48" s="283">
        <f t="shared" ca="1" si="56"/>
        <v>0.9923949700965139</v>
      </c>
      <c r="AZ48" s="283">
        <f t="shared" ca="1" si="57"/>
        <v>3.656699553566813E-4</v>
      </c>
      <c r="BA48" s="283">
        <f t="shared" si="61"/>
        <v>0</v>
      </c>
      <c r="BB48" s="284">
        <f t="shared" ca="1" si="62"/>
        <v>0</v>
      </c>
      <c r="BC48" s="282">
        <f t="shared" ca="1" si="63"/>
        <v>7.1601538429070244E-3</v>
      </c>
      <c r="BD48" s="283">
        <f t="shared" ca="1" si="64"/>
        <v>0.49643972539473996</v>
      </c>
      <c r="BE48" s="283">
        <f t="shared" ca="1" si="65"/>
        <v>0.49621727849134123</v>
      </c>
      <c r="BF48" s="283">
        <f t="shared" ca="1" si="66"/>
        <v>1.8284227101180876E-4</v>
      </c>
      <c r="BG48" s="283">
        <f t="shared" ca="1" si="67"/>
        <v>0</v>
      </c>
      <c r="BH48" s="284">
        <f t="shared" ca="1" si="68"/>
        <v>0</v>
      </c>
    </row>
    <row r="49" spans="1:60" x14ac:dyDescent="0.2">
      <c r="A49" s="317">
        <v>2032</v>
      </c>
      <c r="B49" s="820">
        <f t="shared" si="71"/>
        <v>141725.82999999999</v>
      </c>
      <c r="C49" s="821">
        <f t="shared" si="71"/>
        <v>6735.78</v>
      </c>
      <c r="D49" s="821">
        <f t="shared" si="71"/>
        <v>6972.2</v>
      </c>
      <c r="E49" s="821">
        <f t="shared" si="71"/>
        <v>28983.55</v>
      </c>
      <c r="F49" s="821">
        <f t="shared" si="71"/>
        <v>46658.06</v>
      </c>
      <c r="G49" s="822">
        <f t="shared" si="71"/>
        <v>19411.330000000002</v>
      </c>
      <c r="H49" s="984">
        <f t="shared" si="72"/>
        <v>1</v>
      </c>
      <c r="I49" s="985">
        <f t="shared" si="72"/>
        <v>1</v>
      </c>
      <c r="J49" s="985">
        <f t="shared" si="72"/>
        <v>1</v>
      </c>
      <c r="K49" s="985">
        <f t="shared" si="72"/>
        <v>0.84371159880589763</v>
      </c>
      <c r="L49" s="985">
        <f t="shared" si="72"/>
        <v>1</v>
      </c>
      <c r="M49" s="986">
        <f t="shared" si="72"/>
        <v>1</v>
      </c>
      <c r="N49" s="289">
        <f t="shared" si="28"/>
        <v>8373.1369669480846</v>
      </c>
      <c r="O49" s="290">
        <f t="shared" si="29"/>
        <v>7127.97573576171</v>
      </c>
      <c r="P49" s="290">
        <f t="shared" si="30"/>
        <v>7088.558208134069</v>
      </c>
      <c r="Q49" s="290">
        <f t="shared" si="31"/>
        <v>7710.6722574499236</v>
      </c>
      <c r="R49" s="290">
        <f t="shared" si="32"/>
        <v>10035.34956964519</v>
      </c>
      <c r="S49" s="292">
        <f t="shared" si="33"/>
        <v>11516.58758470734</v>
      </c>
      <c r="T49" s="289">
        <f t="shared" si="34"/>
        <v>1245.1612311863746</v>
      </c>
      <c r="U49" s="290">
        <f t="shared" si="35"/>
        <v>1284.5787588140156</v>
      </c>
      <c r="V49" s="290">
        <f t="shared" si="36"/>
        <v>662.46470949816103</v>
      </c>
      <c r="W49" s="290">
        <f t="shared" si="37"/>
        <v>-1662.2126026971055</v>
      </c>
      <c r="X49" s="292">
        <f t="shared" si="38"/>
        <v>-3143.4506177592557</v>
      </c>
      <c r="Y49" s="293">
        <f ca="1">IF(AND(Y$22=TRUE,INDEX(CDRANGE_CLS2,MATCH($A49,$A$24:$A$67,0),MATCH(Y$20,$B$20:$G$20,0))&lt;$D$6/OPDAYS_Cls2),86,payback(C49,T49,disc_rate/12,85))</f>
        <v>6</v>
      </c>
      <c r="Z49" s="294">
        <f ca="1">IF(AND(Z$22=TRUE,INDEX(CDRANGE_CLS2,MATCH($A49,$A$24:$A$67,0),MATCH(Z$20,$B$20:$G$20,0))&lt;$D$6/OPDAYS_Cls2),86,payback(D49,U49,disc_rate/12,85))</f>
        <v>6</v>
      </c>
      <c r="AA49" s="294">
        <f ca="1">IF(AND(AA$22=TRUE,INDEX(CDRANGE_CLS2,MATCH($A49,$A$24:$A$67,0),MATCH(AA$20,$B$20:$G$20,0))&lt;$D$6/OPDAYS_Cls2),86,payback(E49,V49,disc_rate/12,85))</f>
        <v>52</v>
      </c>
      <c r="AB49" s="294">
        <f>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0.49983232493476681</v>
      </c>
      <c r="AJ49" s="300">
        <f t="shared" si="45"/>
        <v>0.49983232493476681</v>
      </c>
      <c r="AK49" s="300">
        <f t="shared" si="46"/>
        <v>0.49983232493476681</v>
      </c>
      <c r="AL49" s="300">
        <f t="shared" si="47"/>
        <v>0.34467895175791513</v>
      </c>
      <c r="AM49" s="301">
        <f t="shared" si="48"/>
        <v>7.9909227560213318E-4</v>
      </c>
      <c r="AN49" s="299">
        <f t="shared" si="60"/>
        <v>0.99374519890748736</v>
      </c>
      <c r="AO49" s="300">
        <f t="shared" si="60"/>
        <v>0.99329991717245192</v>
      </c>
      <c r="AP49" s="300">
        <f t="shared" si="60"/>
        <v>0.89032179576672776</v>
      </c>
      <c r="AQ49" s="300">
        <f t="shared" si="60"/>
        <v>0.74003348312836037</v>
      </c>
      <c r="AR49" s="598">
        <f t="shared" si="60"/>
        <v>0.94922569997339845</v>
      </c>
      <c r="AS49" s="282">
        <f t="shared" ca="1" si="50"/>
        <v>0.99966464986953363</v>
      </c>
      <c r="AT49" s="283">
        <f t="shared" ca="1" si="51"/>
        <v>0.99966464986953363</v>
      </c>
      <c r="AU49" s="283">
        <f t="shared" ca="1" si="52"/>
        <v>3.9726472959716666E-2</v>
      </c>
      <c r="AV49" s="283">
        <f t="shared" si="53"/>
        <v>0</v>
      </c>
      <c r="AW49" s="284">
        <f t="shared" ca="1" si="54"/>
        <v>0</v>
      </c>
      <c r="AX49" s="296">
        <f t="shared" ca="1" si="55"/>
        <v>0.99341194632538343</v>
      </c>
      <c r="AY49" s="297">
        <f t="shared" ca="1" si="56"/>
        <v>0.9929668139156359</v>
      </c>
      <c r="AZ49" s="297">
        <f t="shared" ca="1" si="57"/>
        <v>3.5369344744973295E-2</v>
      </c>
      <c r="BA49" s="283">
        <f t="shared" si="61"/>
        <v>0</v>
      </c>
      <c r="BB49" s="284">
        <f t="shared" ca="1" si="62"/>
        <v>0</v>
      </c>
      <c r="BC49" s="282">
        <f t="shared" ca="1" si="63"/>
        <v>6.5880536746165674E-3</v>
      </c>
      <c r="BD49" s="283">
        <f t="shared" ca="1" si="64"/>
        <v>0.4881257426027481</v>
      </c>
      <c r="BE49" s="283">
        <f t="shared" ca="1" si="65"/>
        <v>0.48790702106545608</v>
      </c>
      <c r="BF49" s="283">
        <f t="shared" ca="1" si="66"/>
        <v>1.7379182657179162E-2</v>
      </c>
      <c r="BG49" s="283">
        <f t="shared" ca="1" si="67"/>
        <v>0</v>
      </c>
      <c r="BH49" s="284">
        <f t="shared" ca="1" si="68"/>
        <v>0</v>
      </c>
    </row>
    <row r="50" spans="1:60" x14ac:dyDescent="0.2">
      <c r="A50" s="317">
        <v>2033</v>
      </c>
      <c r="B50" s="820">
        <f t="shared" si="71"/>
        <v>141725.82999999999</v>
      </c>
      <c r="C50" s="821">
        <f t="shared" si="71"/>
        <v>6735.78</v>
      </c>
      <c r="D50" s="821">
        <f t="shared" si="71"/>
        <v>6972.2</v>
      </c>
      <c r="E50" s="821">
        <f t="shared" si="71"/>
        <v>26453.759999999998</v>
      </c>
      <c r="F50" s="821">
        <f t="shared" si="71"/>
        <v>41311.620000000003</v>
      </c>
      <c r="G50" s="822">
        <f t="shared" si="71"/>
        <v>17166.43</v>
      </c>
      <c r="H50" s="984">
        <f t="shared" si="72"/>
        <v>1</v>
      </c>
      <c r="I50" s="985">
        <f t="shared" si="72"/>
        <v>1</v>
      </c>
      <c r="J50" s="985">
        <f t="shared" si="72"/>
        <v>1</v>
      </c>
      <c r="K50" s="985">
        <f t="shared" si="72"/>
        <v>0.84345614997786222</v>
      </c>
      <c r="L50" s="985">
        <f t="shared" si="72"/>
        <v>1</v>
      </c>
      <c r="M50" s="986">
        <f t="shared" si="72"/>
        <v>1</v>
      </c>
      <c r="N50" s="289">
        <f t="shared" si="28"/>
        <v>8503.0649539035694</v>
      </c>
      <c r="O50" s="290">
        <f t="shared" si="29"/>
        <v>7238.5822554055212</v>
      </c>
      <c r="P50" s="290">
        <f t="shared" si="30"/>
        <v>7198.5530764892846</v>
      </c>
      <c r="Q50" s="290">
        <f t="shared" si="31"/>
        <v>7669.1444477724226</v>
      </c>
      <c r="R50" s="290">
        <f t="shared" si="32"/>
        <v>9957.8893997883133</v>
      </c>
      <c r="S50" s="292">
        <f t="shared" si="33"/>
        <v>10904.752962429449</v>
      </c>
      <c r="T50" s="289">
        <f t="shared" si="34"/>
        <v>1264.4826984980482</v>
      </c>
      <c r="U50" s="290">
        <f t="shared" si="35"/>
        <v>1304.5118774142848</v>
      </c>
      <c r="V50" s="290">
        <f t="shared" si="36"/>
        <v>833.92050613114679</v>
      </c>
      <c r="W50" s="290">
        <f t="shared" si="37"/>
        <v>-1454.8244458847439</v>
      </c>
      <c r="X50" s="292">
        <f t="shared" si="38"/>
        <v>-2401.6880085258799</v>
      </c>
      <c r="Y50" s="293">
        <f ca="1">IF(AND(Y$22=TRUE,INDEX(CDRANGE_CLS2,MATCH($A50,$A$24:$A$67,0),MATCH(Y$20,$B$20:$G$20,0))&lt;$D$6/OPDAYS_Cls2),86,payback(C50,T50,disc_rate/12,85))</f>
        <v>6</v>
      </c>
      <c r="Z50" s="294">
        <f ca="1">IF(AND(Z$22=TRUE,INDEX(CDRANGE_CLS2,MATCH($A50,$A$24:$A$67,0),MATCH(Z$20,$B$20:$G$20,0))&lt;$D$6/OPDAYS_Cls2),86,payback(D50,U50,disc_rate/12,85))</f>
        <v>6</v>
      </c>
      <c r="AA50" s="294">
        <f ca="1">IF(AND(AA$22=TRUE,INDEX(CDRANGE_CLS2,MATCH($A50,$A$24:$A$67,0),MATCH(AA$20,$B$20:$G$20,0))&lt;$D$6/OPDAYS_Cls2),86,payback(E50,V50,disc_rate/12,85))</f>
        <v>36</v>
      </c>
      <c r="AB50" s="294">
        <f>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0.49993830271200684</v>
      </c>
      <c r="AJ50" s="300">
        <f t="shared" si="45"/>
        <v>0.49993830271200684</v>
      </c>
      <c r="AK50" s="300">
        <f t="shared" si="46"/>
        <v>0.49993830271200684</v>
      </c>
      <c r="AL50" s="300">
        <f t="shared" si="47"/>
        <v>0.37168647485669287</v>
      </c>
      <c r="AM50" s="301">
        <f t="shared" si="48"/>
        <v>1.1697648133383034E-3</v>
      </c>
      <c r="AN50" s="299">
        <f t="shared" si="60"/>
        <v>0.99374519890748736</v>
      </c>
      <c r="AO50" s="300">
        <f t="shared" si="60"/>
        <v>0.99329991717245192</v>
      </c>
      <c r="AP50" s="300">
        <f t="shared" si="60"/>
        <v>0.90775797997488383</v>
      </c>
      <c r="AQ50" s="300">
        <f t="shared" si="60"/>
        <v>0.78976697011126062</v>
      </c>
      <c r="AR50" s="598">
        <f t="shared" si="60"/>
        <v>0.96006624869588109</v>
      </c>
      <c r="AS50" s="282">
        <f t="shared" ca="1" si="50"/>
        <v>0.99987660542401369</v>
      </c>
      <c r="AT50" s="283">
        <f t="shared" ca="1" si="51"/>
        <v>0.99987660542401369</v>
      </c>
      <c r="AU50" s="283">
        <f t="shared" ca="1" si="52"/>
        <v>0.22437776804796766</v>
      </c>
      <c r="AV50" s="283">
        <f t="shared" si="53"/>
        <v>0</v>
      </c>
      <c r="AW50" s="284">
        <f t="shared" ca="1" si="54"/>
        <v>0</v>
      </c>
      <c r="AX50" s="296">
        <f t="shared" ca="1" si="55"/>
        <v>0.99362257614002969</v>
      </c>
      <c r="AY50" s="297">
        <f t="shared" ca="1" si="56"/>
        <v>0.99317734935034518</v>
      </c>
      <c r="AZ50" s="297">
        <f t="shared" ca="1" si="57"/>
        <v>0.20368070947449615</v>
      </c>
      <c r="BA50" s="283">
        <f t="shared" si="61"/>
        <v>0</v>
      </c>
      <c r="BB50" s="284">
        <f t="shared" ca="1" si="62"/>
        <v>0</v>
      </c>
      <c r="BC50" s="282">
        <f t="shared" ca="1" si="63"/>
        <v>6.3774238599704214E-3</v>
      </c>
      <c r="BD50" s="283">
        <f t="shared" ca="1" si="64"/>
        <v>0.450716526800513</v>
      </c>
      <c r="BE50" s="283">
        <f t="shared" ca="1" si="65"/>
        <v>0.45051456774975884</v>
      </c>
      <c r="BF50" s="283">
        <f t="shared" ca="1" si="66"/>
        <v>9.2391481589757782E-2</v>
      </c>
      <c r="BG50" s="283">
        <f t="shared" ca="1" si="67"/>
        <v>0</v>
      </c>
      <c r="BH50" s="284">
        <f t="shared" ca="1" si="68"/>
        <v>0</v>
      </c>
    </row>
    <row r="51" spans="1:60" x14ac:dyDescent="0.2">
      <c r="A51" s="317">
        <v>2034</v>
      </c>
      <c r="B51" s="820">
        <f t="shared" si="71"/>
        <v>141725.82999999999</v>
      </c>
      <c r="C51" s="821">
        <f t="shared" si="71"/>
        <v>6735.78</v>
      </c>
      <c r="D51" s="821">
        <f t="shared" si="71"/>
        <v>6972.2</v>
      </c>
      <c r="E51" s="821">
        <f t="shared" si="71"/>
        <v>23923.97</v>
      </c>
      <c r="F51" s="821">
        <f t="shared" si="71"/>
        <v>35965.17</v>
      </c>
      <c r="G51" s="822">
        <f t="shared" si="71"/>
        <v>14921.53</v>
      </c>
      <c r="H51" s="984">
        <f t="shared" si="72"/>
        <v>1</v>
      </c>
      <c r="I51" s="985">
        <f t="shared" si="72"/>
        <v>1</v>
      </c>
      <c r="J51" s="985">
        <f t="shared" si="72"/>
        <v>1</v>
      </c>
      <c r="K51" s="985">
        <f t="shared" si="72"/>
        <v>0.84320070114982693</v>
      </c>
      <c r="L51" s="985">
        <f t="shared" si="72"/>
        <v>1</v>
      </c>
      <c r="M51" s="986">
        <f t="shared" si="72"/>
        <v>1</v>
      </c>
      <c r="N51" s="289">
        <f t="shared" si="28"/>
        <v>8566.8591256864074</v>
      </c>
      <c r="O51" s="290">
        <f t="shared" si="29"/>
        <v>7292.8896566036683</v>
      </c>
      <c r="P51" s="290">
        <f t="shared" si="30"/>
        <v>7252.5601591164286</v>
      </c>
      <c r="Q51" s="290">
        <f t="shared" si="31"/>
        <v>7577.0517575113754</v>
      </c>
      <c r="R51" s="290">
        <f t="shared" si="32"/>
        <v>9850.6416561050646</v>
      </c>
      <c r="S51" s="292">
        <f t="shared" si="33"/>
        <v>10316.179827990971</v>
      </c>
      <c r="T51" s="289">
        <f t="shared" si="34"/>
        <v>1273.9694690827391</v>
      </c>
      <c r="U51" s="290">
        <f t="shared" si="35"/>
        <v>1314.2989665699788</v>
      </c>
      <c r="V51" s="290">
        <f t="shared" si="36"/>
        <v>989.80736817503202</v>
      </c>
      <c r="W51" s="290">
        <f t="shared" si="37"/>
        <v>-1283.7825304186572</v>
      </c>
      <c r="X51" s="292">
        <f t="shared" si="38"/>
        <v>-1749.3207023045634</v>
      </c>
      <c r="Y51" s="293">
        <f ca="1">IF(AND(Y$22=TRUE,INDEX(CDRANGE_CLS2,MATCH($A51,$A$24:$A$67,0),MATCH(Y$20,$B$20:$G$20,0))&lt;$D$6/OPDAYS_Cls2),86,payback(C51,T51,disc_rate/12,85))</f>
        <v>6</v>
      </c>
      <c r="Z51" s="294">
        <f ca="1">IF(AND(Z$22=TRUE,INDEX(CDRANGE_CLS2,MATCH($A51,$A$24:$A$67,0),MATCH(Z$20,$B$20:$G$20,0))&lt;$D$6/OPDAYS_Cls2),86,payback(D51,U51,disc_rate/12,85))</f>
        <v>6</v>
      </c>
      <c r="AA51" s="294">
        <f ca="1">IF(AND(AA$22=TRUE,INDEX(CDRANGE_CLS2,MATCH($A51,$A$24:$A$67,0),MATCH(AA$20,$B$20:$G$20,0))&lt;$D$6/OPDAYS_Cls2),86,payback(E51,V51,disc_rate/12,85))</f>
        <v>27</v>
      </c>
      <c r="AB51" s="294">
        <f>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0.4999773010656488</v>
      </c>
      <c r="AJ51" s="300">
        <f t="shared" si="45"/>
        <v>0.4999773010656488</v>
      </c>
      <c r="AK51" s="300">
        <f t="shared" si="46"/>
        <v>0.4999773010656488</v>
      </c>
      <c r="AL51" s="300">
        <f t="shared" si="47"/>
        <v>0.39632486519556798</v>
      </c>
      <c r="AM51" s="301">
        <f t="shared" si="48"/>
        <v>2.2795637746865363E-3</v>
      </c>
      <c r="AN51" s="299">
        <f t="shared" si="60"/>
        <v>0.99374519890748736</v>
      </c>
      <c r="AO51" s="300">
        <f t="shared" si="60"/>
        <v>0.99329991717245192</v>
      </c>
      <c r="AP51" s="300">
        <f t="shared" si="60"/>
        <v>0.92389879296407074</v>
      </c>
      <c r="AQ51" s="300">
        <f t="shared" si="60"/>
        <v>0.83620557344943125</v>
      </c>
      <c r="AR51" s="598">
        <f t="shared" si="60"/>
        <v>0.96967804963336635</v>
      </c>
      <c r="AS51" s="282">
        <f t="shared" ca="1" si="50"/>
        <v>0.99995460213129761</v>
      </c>
      <c r="AT51" s="283">
        <f t="shared" ca="1" si="51"/>
        <v>0.99995460213129761</v>
      </c>
      <c r="AU51" s="283">
        <f t="shared" ca="1" si="52"/>
        <v>0.45548482775499993</v>
      </c>
      <c r="AV51" s="283">
        <f t="shared" si="53"/>
        <v>0</v>
      </c>
      <c r="AW51" s="284">
        <f t="shared" ca="1" si="54"/>
        <v>0</v>
      </c>
      <c r="AX51" s="296">
        <f t="shared" ca="1" si="55"/>
        <v>0.99370008499342377</v>
      </c>
      <c r="AY51" s="297">
        <f t="shared" ca="1" si="56"/>
        <v>0.99325482347323002</v>
      </c>
      <c r="AZ51" s="297">
        <f t="shared" ca="1" si="57"/>
        <v>0.42082188257629211</v>
      </c>
      <c r="BA51" s="283">
        <f t="shared" si="61"/>
        <v>0</v>
      </c>
      <c r="BB51" s="284">
        <f t="shared" ca="1" si="62"/>
        <v>0</v>
      </c>
      <c r="BC51" s="282">
        <f t="shared" ca="1" si="63"/>
        <v>6.2999150065762288E-3</v>
      </c>
      <c r="BD51" s="283">
        <f t="shared" ca="1" si="64"/>
        <v>0.4101044011177718</v>
      </c>
      <c r="BE51" s="283">
        <f t="shared" ca="1" si="65"/>
        <v>0.40992063972755205</v>
      </c>
      <c r="BF51" s="283">
        <f t="shared" ca="1" si="66"/>
        <v>0.17367504414809998</v>
      </c>
      <c r="BG51" s="283">
        <f t="shared" ca="1" si="67"/>
        <v>0</v>
      </c>
      <c r="BH51" s="284">
        <f t="shared" ca="1" si="68"/>
        <v>0</v>
      </c>
    </row>
    <row r="52" spans="1:60" ht="15" thickBot="1" x14ac:dyDescent="0.25">
      <c r="A52" s="302">
        <v>2035</v>
      </c>
      <c r="B52" s="823">
        <f t="shared" si="71"/>
        <v>141725.82999999999</v>
      </c>
      <c r="C52" s="824">
        <f t="shared" si="71"/>
        <v>6735.78</v>
      </c>
      <c r="D52" s="824">
        <f t="shared" si="71"/>
        <v>6972.2</v>
      </c>
      <c r="E52" s="824">
        <f t="shared" si="71"/>
        <v>21394.18</v>
      </c>
      <c r="F52" s="824">
        <f t="shared" si="71"/>
        <v>30618.720000000001</v>
      </c>
      <c r="G52" s="825">
        <f t="shared" si="71"/>
        <v>12676.64</v>
      </c>
      <c r="H52" s="978">
        <f t="shared" si="72"/>
        <v>1</v>
      </c>
      <c r="I52" s="979">
        <f t="shared" si="72"/>
        <v>1</v>
      </c>
      <c r="J52" s="979">
        <f t="shared" si="72"/>
        <v>1</v>
      </c>
      <c r="K52" s="979">
        <f t="shared" si="72"/>
        <v>0.84294525232179152</v>
      </c>
      <c r="L52" s="979">
        <f t="shared" si="72"/>
        <v>1</v>
      </c>
      <c r="M52" s="980">
        <f t="shared" si="72"/>
        <v>1</v>
      </c>
      <c r="N52" s="303">
        <f t="shared" si="28"/>
        <v>8638.7599851703344</v>
      </c>
      <c r="O52" s="304">
        <f t="shared" si="29"/>
        <v>7354.0982076885139</v>
      </c>
      <c r="P52" s="304">
        <f t="shared" si="30"/>
        <v>7313.4302284439182</v>
      </c>
      <c r="Q52" s="304">
        <f t="shared" si="31"/>
        <v>7477.798242329528</v>
      </c>
      <c r="R52" s="304">
        <f t="shared" si="32"/>
        <v>9634.9766134416604</v>
      </c>
      <c r="S52" s="306">
        <f t="shared" si="33"/>
        <v>9788.7444374252154</v>
      </c>
      <c r="T52" s="303">
        <f t="shared" si="34"/>
        <v>1284.6617774818205</v>
      </c>
      <c r="U52" s="304">
        <f t="shared" si="35"/>
        <v>1325.3297567264162</v>
      </c>
      <c r="V52" s="304">
        <f t="shared" si="36"/>
        <v>1160.9617428408064</v>
      </c>
      <c r="W52" s="304">
        <f t="shared" si="37"/>
        <v>-996.21662827132604</v>
      </c>
      <c r="X52" s="306">
        <f t="shared" si="38"/>
        <v>-1149.984452254881</v>
      </c>
      <c r="Y52" s="307">
        <f ca="1">IF(AND(Y$22=TRUE,INDEX(CDRANGE_CLS2,MATCH($A52,$A$24:$A$67,0),MATCH(Y$20,$B$20:$G$20,0))&lt;$D$6/OPDAYS_Cls2),86,payback(C52,T52,disc_rate/12,85))</f>
        <v>6</v>
      </c>
      <c r="Z52" s="308">
        <f ca="1">IF(AND(Z$22=TRUE,INDEX(CDRANGE_CLS2,MATCH($A52,$A$24:$A$67,0),MATCH(Z$20,$B$20:$G$20,0))&lt;$D$6/OPDAYS_Cls2),86,payback(D52,U52,disc_rate/12,85))</f>
        <v>6</v>
      </c>
      <c r="AA52" s="308">
        <f ca="1">IF(AND(AA$22=TRUE,INDEX(CDRANGE_CLS2,MATCH($A52,$A$24:$A$67,0),MATCH(AA$20,$B$20:$G$20,0))&lt;$D$6/OPDAYS_Cls2),86,payback(E52,V52,disc_rate/12,85))</f>
        <v>20</v>
      </c>
      <c r="AB52" s="308">
        <f>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0.49999164928907602</v>
      </c>
      <c r="AJ52" s="314">
        <f t="shared" si="45"/>
        <v>0.49999164928907602</v>
      </c>
      <c r="AK52" s="314">
        <f t="shared" si="46"/>
        <v>0.49999164928907602</v>
      </c>
      <c r="AL52" s="314">
        <f t="shared" si="47"/>
        <v>0.42805300184955236</v>
      </c>
      <c r="AM52" s="315">
        <f t="shared" si="48"/>
        <v>3.063803101141209E-3</v>
      </c>
      <c r="AN52" s="313">
        <f t="shared" si="60"/>
        <v>0.99374519890748736</v>
      </c>
      <c r="AO52" s="314">
        <f t="shared" si="60"/>
        <v>0.99329991717245192</v>
      </c>
      <c r="AP52" s="314">
        <f t="shared" si="60"/>
        <v>0.93866360297126727</v>
      </c>
      <c r="AQ52" s="314">
        <f t="shared" si="60"/>
        <v>0.8784025499636815</v>
      </c>
      <c r="AR52" s="599">
        <f t="shared" si="60"/>
        <v>0.97802185611245773</v>
      </c>
      <c r="AS52" s="830">
        <f t="shared" ca="1" si="50"/>
        <v>0.99998329857815205</v>
      </c>
      <c r="AT52" s="831">
        <f t="shared" ca="1" si="51"/>
        <v>0.99998329857815205</v>
      </c>
      <c r="AU52" s="831">
        <f t="shared" ca="1" si="52"/>
        <v>0.68452759710620825</v>
      </c>
      <c r="AV52" s="831">
        <f t="shared" si="53"/>
        <v>0</v>
      </c>
      <c r="AW52" s="832">
        <f t="shared" ca="1" si="54"/>
        <v>0</v>
      </c>
      <c r="AX52" s="310">
        <f t="shared" ca="1" si="55"/>
        <v>0.99372860194971102</v>
      </c>
      <c r="AY52" s="311">
        <f t="shared" ca="1" si="56"/>
        <v>0.99328332765151373</v>
      </c>
      <c r="AZ52" s="311">
        <f t="shared" ca="1" si="57"/>
        <v>0.64254114063297751</v>
      </c>
      <c r="BA52" s="311">
        <f t="shared" si="61"/>
        <v>0</v>
      </c>
      <c r="BB52" s="312">
        <f t="shared" ca="1" si="62"/>
        <v>0</v>
      </c>
      <c r="BC52" s="310">
        <f t="shared" ca="1" si="63"/>
        <v>6.2713980502888678E-3</v>
      </c>
      <c r="BD52" s="311">
        <f t="shared" ca="1" si="64"/>
        <v>0.37553778454259357</v>
      </c>
      <c r="BE52" s="311">
        <f t="shared" ca="1" si="65"/>
        <v>0.37536951191450313</v>
      </c>
      <c r="BF52" s="311">
        <f t="shared" ca="1" si="66"/>
        <v>0.24282130549261444</v>
      </c>
      <c r="BG52" s="311">
        <f t="shared" ca="1" si="67"/>
        <v>0</v>
      </c>
      <c r="BH52" s="312">
        <f t="shared" ca="1" si="68"/>
        <v>0</v>
      </c>
    </row>
    <row r="53" spans="1:60" x14ac:dyDescent="0.2">
      <c r="A53" s="316">
        <v>2036</v>
      </c>
      <c r="B53" s="826">
        <f t="shared" si="71"/>
        <v>141725.82999999999</v>
      </c>
      <c r="C53" s="827">
        <f t="shared" si="71"/>
        <v>6735.78</v>
      </c>
      <c r="D53" s="827">
        <f t="shared" si="71"/>
        <v>6972.2</v>
      </c>
      <c r="E53" s="827">
        <f t="shared" si="71"/>
        <v>21247.83</v>
      </c>
      <c r="F53" s="827">
        <f t="shared" si="71"/>
        <v>30039.75</v>
      </c>
      <c r="G53" s="828">
        <f t="shared" si="71"/>
        <v>12143.89</v>
      </c>
      <c r="H53" s="981">
        <f t="shared" si="72"/>
        <v>1</v>
      </c>
      <c r="I53" s="982">
        <f t="shared" si="72"/>
        <v>1</v>
      </c>
      <c r="J53" s="982">
        <f t="shared" si="72"/>
        <v>1</v>
      </c>
      <c r="K53" s="982">
        <f t="shared" si="72"/>
        <v>0.84284272171022323</v>
      </c>
      <c r="L53" s="982">
        <f t="shared" si="72"/>
        <v>1</v>
      </c>
      <c r="M53" s="983">
        <f t="shared" si="72"/>
        <v>1</v>
      </c>
      <c r="N53" s="275">
        <f t="shared" si="28"/>
        <v>8722.3544525773323</v>
      </c>
      <c r="O53" s="276">
        <f t="shared" si="29"/>
        <v>7425.2614213888355</v>
      </c>
      <c r="P53" s="276">
        <f t="shared" si="30"/>
        <v>7384.1999113514757</v>
      </c>
      <c r="Q53" s="276">
        <f t="shared" si="31"/>
        <v>7477.947033930669</v>
      </c>
      <c r="R53" s="276">
        <f t="shared" si="32"/>
        <v>9519.0123178959439</v>
      </c>
      <c r="S53" s="278">
        <f t="shared" si="33"/>
        <v>9393.6814278702459</v>
      </c>
      <c r="T53" s="275">
        <f t="shared" si="34"/>
        <v>1297.0930311884968</v>
      </c>
      <c r="U53" s="276">
        <f t="shared" si="35"/>
        <v>1338.1545412258565</v>
      </c>
      <c r="V53" s="276">
        <f t="shared" si="36"/>
        <v>1244.4074186466632</v>
      </c>
      <c r="W53" s="276">
        <f t="shared" si="37"/>
        <v>-796.65786531861158</v>
      </c>
      <c r="X53" s="278">
        <f t="shared" si="38"/>
        <v>-671.32697529291363</v>
      </c>
      <c r="Y53" s="279">
        <f ca="1">IF(AND(Y$22=TRUE,INDEX(CDRANGE_CLS2,MATCH($A53,$A$24:$A$67,0),MATCH(Y$20,$B$20:$G$20,0))&lt;$D$6/OPDAYS_Cls2),86,payback(C53,T53,disc_rate/12,85))</f>
        <v>6</v>
      </c>
      <c r="Z53" s="280">
        <f ca="1">IF(AND(Z$22=TRUE,INDEX(CDRANGE_CLS2,MATCH($A53,$A$24:$A$67,0),MATCH(Z$20,$B$20:$G$20,0))&lt;$D$6/OPDAYS_Cls2),86,payback(D53,U53,disc_rate/12,85))</f>
        <v>6</v>
      </c>
      <c r="AA53" s="280">
        <f ca="1">IF(AND(AA$22=TRUE,INDEX(CDRANGE_CLS2,MATCH($A53,$A$24:$A$67,0),MATCH(AA$20,$B$20:$G$20,0))&lt;$D$6/OPDAYS_Cls2),86,payback(E53,V53,disc_rate/12,85))</f>
        <v>19</v>
      </c>
      <c r="AB53" s="280">
        <f>IF(AND(AB$22=TRUE,INDEX(CDRANGE_CLS2,MATCH($A53,$A$24:$A$67,0),MATCH(AB$20,$B$20:$G$20,0))&lt;$D$6/OPDAYS_Cls2),86,payback(F53,W53,disc_rate/12,85))</f>
        <v>86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0.4999969279126989</v>
      </c>
      <c r="AJ53" s="286">
        <f t="shared" si="45"/>
        <v>0.4999969279126989</v>
      </c>
      <c r="AK53" s="286">
        <f t="shared" si="46"/>
        <v>0.4999969279126989</v>
      </c>
      <c r="AL53" s="286">
        <f t="shared" si="47"/>
        <v>0.4454387621512283</v>
      </c>
      <c r="AM53" s="287">
        <f t="shared" si="48"/>
        <v>5.21545598989625E-3</v>
      </c>
      <c r="AN53" s="285">
        <f t="shared" si="60"/>
        <v>0.99374519890748736</v>
      </c>
      <c r="AO53" s="286">
        <f t="shared" si="60"/>
        <v>0.99329991717245192</v>
      </c>
      <c r="AP53" s="286">
        <f t="shared" si="60"/>
        <v>0.9394740549251035</v>
      </c>
      <c r="AQ53" s="286">
        <f t="shared" si="60"/>
        <v>0.88267912051781494</v>
      </c>
      <c r="AR53" s="611">
        <f t="shared" si="60"/>
        <v>0.97981196603758702</v>
      </c>
      <c r="AS53" s="637">
        <f t="shared" ca="1" si="50"/>
        <v>0.99999385582539779</v>
      </c>
      <c r="AT53" s="638">
        <f t="shared" ca="1" si="51"/>
        <v>0.99999385582539779</v>
      </c>
      <c r="AU53" s="638">
        <f t="shared" ca="1" si="52"/>
        <v>0.71771336010632658</v>
      </c>
      <c r="AV53" s="638">
        <f t="shared" si="53"/>
        <v>0</v>
      </c>
      <c r="AW53" s="639">
        <f t="shared" ca="1" si="54"/>
        <v>0</v>
      </c>
      <c r="AX53" s="282">
        <f t="shared" ca="1" si="55"/>
        <v>0.9937390931634752</v>
      </c>
      <c r="AY53" s="283">
        <f t="shared" ca="1" si="56"/>
        <v>0.99329381416432849</v>
      </c>
      <c r="AZ53" s="283">
        <f t="shared" ca="1" si="57"/>
        <v>0.67427308069301162</v>
      </c>
      <c r="BA53" s="283">
        <f t="shared" si="61"/>
        <v>0</v>
      </c>
      <c r="BB53" s="284">
        <f t="shared" ca="1" si="62"/>
        <v>0</v>
      </c>
      <c r="BC53" s="282">
        <f t="shared" ca="1" si="63"/>
        <v>6.2609068365246934E-3</v>
      </c>
      <c r="BD53" s="283">
        <f t="shared" ca="1" si="64"/>
        <v>0.37106495447213578</v>
      </c>
      <c r="BE53" s="283">
        <f t="shared" ca="1" si="65"/>
        <v>0.37089868604948589</v>
      </c>
      <c r="BF53" s="283">
        <f t="shared" ca="1" si="66"/>
        <v>0.25177545264185358</v>
      </c>
      <c r="BG53" s="283">
        <f t="shared" ca="1" si="67"/>
        <v>0</v>
      </c>
      <c r="BH53" s="284">
        <f t="shared" ca="1" si="68"/>
        <v>0</v>
      </c>
    </row>
    <row r="54" spans="1:60" x14ac:dyDescent="0.2">
      <c r="A54" s="317">
        <v>2037</v>
      </c>
      <c r="B54" s="820">
        <f t="shared" ref="B54:G67" si="73">ROUND(INDEX(COST_Cls2,$A54-($A$24-1),MATCH(B$20,TECHOPTS_Cls2,0)),2)</f>
        <v>141725.82999999999</v>
      </c>
      <c r="C54" s="821">
        <f t="shared" si="73"/>
        <v>6735.78</v>
      </c>
      <c r="D54" s="821">
        <f t="shared" si="73"/>
        <v>6972.2</v>
      </c>
      <c r="E54" s="821">
        <f t="shared" si="73"/>
        <v>21101.47</v>
      </c>
      <c r="F54" s="821">
        <f t="shared" si="73"/>
        <v>29460.78</v>
      </c>
      <c r="G54" s="822">
        <f t="shared" si="73"/>
        <v>11611.15</v>
      </c>
      <c r="H54" s="984">
        <f t="shared" ref="H54:M67" si="74">IF(H$21="Single-fuel",1,1-MIN(INDEX(CDRANGE_CLS2,$A54-($A$24-1),MATCH(H$20,TECHOPTS_Cls2,0))*OPDAYS_Cls2/$D$6,1))</f>
        <v>1</v>
      </c>
      <c r="I54" s="985">
        <f t="shared" si="74"/>
        <v>1</v>
      </c>
      <c r="J54" s="985">
        <f t="shared" si="74"/>
        <v>1</v>
      </c>
      <c r="K54" s="985">
        <f t="shared" si="74"/>
        <v>0.84274019109865506</v>
      </c>
      <c r="L54" s="985">
        <f t="shared" si="74"/>
        <v>1</v>
      </c>
      <c r="M54" s="986">
        <f t="shared" si="74"/>
        <v>1</v>
      </c>
      <c r="N54" s="289">
        <f t="shared" si="28"/>
        <v>8781.6036001024077</v>
      </c>
      <c r="O54" s="290">
        <f t="shared" si="29"/>
        <v>7475.6996845619324</v>
      </c>
      <c r="P54" s="290">
        <f t="shared" si="30"/>
        <v>7434.3592521901237</v>
      </c>
      <c r="Q54" s="290">
        <f t="shared" si="31"/>
        <v>7464.4991030623614</v>
      </c>
      <c r="R54" s="290">
        <f t="shared" si="32"/>
        <v>9427.2127934837499</v>
      </c>
      <c r="S54" s="292">
        <f t="shared" si="33"/>
        <v>9068.6287600477172</v>
      </c>
      <c r="T54" s="289">
        <f t="shared" si="34"/>
        <v>1305.9039155404753</v>
      </c>
      <c r="U54" s="290">
        <f t="shared" si="35"/>
        <v>1347.244347912284</v>
      </c>
      <c r="V54" s="290">
        <f t="shared" si="36"/>
        <v>1317.1044970400462</v>
      </c>
      <c r="W54" s="290">
        <f t="shared" si="37"/>
        <v>-645.60919338134227</v>
      </c>
      <c r="X54" s="292">
        <f t="shared" si="38"/>
        <v>-287.0251599453095</v>
      </c>
      <c r="Y54" s="293">
        <f ca="1">IF(AND(Y$22=TRUE,INDEX(CDRANGE_CLS2,MATCH($A54,$A$24:$A$67,0),MATCH(Y$20,$B$20:$G$20,0))&lt;$D$6/OPDAYS_Cls2),86,payback(C54,T54,disc_rate/12,85))</f>
        <v>6</v>
      </c>
      <c r="Z54" s="294">
        <f ca="1">IF(AND(Z$22=TRUE,INDEX(CDRANGE_CLS2,MATCH($A54,$A$24:$A$67,0),MATCH(Z$20,$B$20:$G$20,0))&lt;$D$6/OPDAYS_Cls2),86,payback(D54,U54,disc_rate/12,85))</f>
        <v>6</v>
      </c>
      <c r="AA54" s="294">
        <f ca="1">IF(AND(AA$22=TRUE,INDEX(CDRANGE_CLS2,MATCH($A54,$A$24:$A$67,0),MATCH(AA$20,$B$20:$G$20,0))&lt;$D$6/OPDAYS_Cls2),86,payback(E54,V54,disc_rate/12,85))</f>
        <v>17</v>
      </c>
      <c r="AB54" s="294">
        <f>IF(AND(AB$22=TRUE,INDEX(CDRANGE_CLS2,MATCH($A54,$A$24:$A$67,0),MATCH(AB$20,$B$20:$G$20,0))&lt;$D$6/OPDAYS_Cls2),86,payback(F54,W54,disc_rate/12,85))</f>
        <v>86</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0.49999886983785102</v>
      </c>
      <c r="AJ54" s="300">
        <f t="shared" si="45"/>
        <v>0.49999886983785102</v>
      </c>
      <c r="AK54" s="300">
        <f t="shared" si="46"/>
        <v>0.49999886983785102</v>
      </c>
      <c r="AL54" s="300">
        <f t="shared" si="47"/>
        <v>0.46586632654011367</v>
      </c>
      <c r="AM54" s="301">
        <f t="shared" si="48"/>
        <v>8.3279266410674832E-3</v>
      </c>
      <c r="AN54" s="299">
        <f t="shared" si="60"/>
        <v>0.99374519890748736</v>
      </c>
      <c r="AO54" s="300">
        <f t="shared" si="60"/>
        <v>0.99329991717245192</v>
      </c>
      <c r="AP54" s="300">
        <f t="shared" si="60"/>
        <v>0.94027969127821909</v>
      </c>
      <c r="AQ54" s="300">
        <f t="shared" si="60"/>
        <v>0.88689428126154379</v>
      </c>
      <c r="AR54" s="598">
        <f t="shared" si="60"/>
        <v>0.98152826675521443</v>
      </c>
      <c r="AS54" s="282">
        <f t="shared" ca="1" si="50"/>
        <v>0.99999773967570205</v>
      </c>
      <c r="AT54" s="283">
        <f t="shared" ca="1" si="51"/>
        <v>0.99999773967570205</v>
      </c>
      <c r="AU54" s="283">
        <f t="shared" ca="1" si="52"/>
        <v>0.78227830120026642</v>
      </c>
      <c r="AV54" s="283">
        <f t="shared" si="53"/>
        <v>0</v>
      </c>
      <c r="AW54" s="284">
        <f t="shared" ca="1" si="54"/>
        <v>0</v>
      </c>
      <c r="AX54" s="296">
        <f t="shared" ca="1" si="55"/>
        <v>0.99374295272106827</v>
      </c>
      <c r="AY54" s="297">
        <f t="shared" ca="1" si="56"/>
        <v>0.99329767199251395</v>
      </c>
      <c r="AZ54" s="297">
        <f t="shared" ca="1" si="57"/>
        <v>0.7355603995462362</v>
      </c>
      <c r="BA54" s="283">
        <f t="shared" si="61"/>
        <v>0</v>
      </c>
      <c r="BB54" s="284">
        <f t="shared" ca="1" si="62"/>
        <v>0</v>
      </c>
      <c r="BC54" s="282">
        <f t="shared" ca="1" si="63"/>
        <v>6.2570472789316156E-3</v>
      </c>
      <c r="BD54" s="283">
        <f t="shared" ca="1" si="64"/>
        <v>0.36271383404450952</v>
      </c>
      <c r="BE54" s="283">
        <f t="shared" ca="1" si="65"/>
        <v>0.36255130762876203</v>
      </c>
      <c r="BF54" s="283">
        <f t="shared" ca="1" si="66"/>
        <v>0.26847781104779678</v>
      </c>
      <c r="BG54" s="283">
        <f t="shared" ca="1" si="67"/>
        <v>0</v>
      </c>
      <c r="BH54" s="284">
        <f t="shared" ca="1" si="68"/>
        <v>0</v>
      </c>
    </row>
    <row r="55" spans="1:60" x14ac:dyDescent="0.2">
      <c r="A55" s="317">
        <v>2038</v>
      </c>
      <c r="B55" s="820">
        <f t="shared" si="73"/>
        <v>141725.82999999999</v>
      </c>
      <c r="C55" s="821">
        <f t="shared" si="73"/>
        <v>6735.78</v>
      </c>
      <c r="D55" s="821">
        <f t="shared" si="73"/>
        <v>6972.2</v>
      </c>
      <c r="E55" s="821">
        <f t="shared" si="73"/>
        <v>20955.12</v>
      </c>
      <c r="F55" s="821">
        <f t="shared" si="73"/>
        <v>28881.82</v>
      </c>
      <c r="G55" s="822">
        <f t="shared" si="73"/>
        <v>11078.4</v>
      </c>
      <c r="H55" s="984">
        <f t="shared" si="74"/>
        <v>1</v>
      </c>
      <c r="I55" s="985">
        <f t="shared" si="74"/>
        <v>1</v>
      </c>
      <c r="J55" s="985">
        <f t="shared" si="74"/>
        <v>1</v>
      </c>
      <c r="K55" s="985">
        <f t="shared" si="74"/>
        <v>0.84263766048708677</v>
      </c>
      <c r="L55" s="985">
        <f t="shared" si="74"/>
        <v>1</v>
      </c>
      <c r="M55" s="986">
        <f t="shared" si="74"/>
        <v>1</v>
      </c>
      <c r="N55" s="289">
        <f t="shared" si="28"/>
        <v>8855.7978948772979</v>
      </c>
      <c r="O55" s="290">
        <f t="shared" si="29"/>
        <v>7538.8606163578597</v>
      </c>
      <c r="P55" s="290">
        <f t="shared" si="30"/>
        <v>7497.1709056121699</v>
      </c>
      <c r="Q55" s="290">
        <f t="shared" si="31"/>
        <v>7458.0867571054023</v>
      </c>
      <c r="R55" s="290">
        <f t="shared" si="32"/>
        <v>9313.2100243559853</v>
      </c>
      <c r="S55" s="292">
        <f t="shared" si="33"/>
        <v>8769.0639313486517</v>
      </c>
      <c r="T55" s="289">
        <f t="shared" si="34"/>
        <v>1316.9372785194382</v>
      </c>
      <c r="U55" s="290">
        <f t="shared" si="35"/>
        <v>1358.626989265128</v>
      </c>
      <c r="V55" s="290">
        <f t="shared" si="36"/>
        <v>1397.7111377718957</v>
      </c>
      <c r="W55" s="290">
        <f t="shared" si="37"/>
        <v>-457.41212947868735</v>
      </c>
      <c r="X55" s="292">
        <f t="shared" si="38"/>
        <v>86.7339635286462</v>
      </c>
      <c r="Y55" s="293">
        <f ca="1">IF(AND(Y$22=TRUE,INDEX(CDRANGE_CLS2,MATCH($A55,$A$24:$A$67,0),MATCH(Y$20,$B$20:$G$20,0))&lt;$D$6/OPDAYS_Cls2),86,payback(C55,T55,disc_rate/12,85))</f>
        <v>6</v>
      </c>
      <c r="Z55" s="294">
        <f ca="1">IF(AND(Z$22=TRUE,INDEX(CDRANGE_CLS2,MATCH($A55,$A$24:$A$67,0),MATCH(Z$20,$B$20:$G$20,0))&lt;$D$6/OPDAYS_Cls2),86,payback(D55,U55,disc_rate/12,85))</f>
        <v>6</v>
      </c>
      <c r="AA55" s="294">
        <f ca="1">IF(AND(AA$22=TRUE,INDEX(CDRANGE_CLS2,MATCH($A55,$A$24:$A$67,0),MATCH(AA$20,$B$20:$G$20,0))&lt;$D$6/OPDAYS_Cls2),86,payback(E55,V55,disc_rate/12,85))</f>
        <v>16</v>
      </c>
      <c r="AB55" s="294">
        <f>IF(AND(AB$22=TRUE,INDEX(CDRANGE_CLS2,MATCH($A55,$A$24:$A$67,0),MATCH(AB$20,$B$20:$G$20,0))&lt;$D$6/OPDAYS_Cls2),86,payback(F55,W55,disc_rate/12,85))</f>
        <v>86</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0.49999958423598612</v>
      </c>
      <c r="AJ55" s="300">
        <f t="shared" si="45"/>
        <v>0.49999958423598612</v>
      </c>
      <c r="AK55" s="300">
        <f t="shared" si="46"/>
        <v>0.49999958423598612</v>
      </c>
      <c r="AL55" s="300">
        <f t="shared" si="47"/>
        <v>0.47598528374007315</v>
      </c>
      <c r="AM55" s="301">
        <f t="shared" si="48"/>
        <v>1.0317728173388992E-2</v>
      </c>
      <c r="AN55" s="299">
        <f t="shared" si="60"/>
        <v>0.99374519890748736</v>
      </c>
      <c r="AO55" s="300">
        <f t="shared" si="60"/>
        <v>0.99329991717245192</v>
      </c>
      <c r="AP55" s="300">
        <f t="shared" si="60"/>
        <v>0.94108038821520967</v>
      </c>
      <c r="AQ55" s="300">
        <f t="shared" si="60"/>
        <v>0.89104688432593881</v>
      </c>
      <c r="AR55" s="598">
        <f t="shared" si="60"/>
        <v>0.98317042377456954</v>
      </c>
      <c r="AS55" s="282">
        <f t="shared" ca="1" si="50"/>
        <v>0.99999916847197223</v>
      </c>
      <c r="AT55" s="283">
        <f t="shared" ca="1" si="51"/>
        <v>0.99999916847197223</v>
      </c>
      <c r="AU55" s="283">
        <f t="shared" ca="1" si="52"/>
        <v>0.81315478511521033</v>
      </c>
      <c r="AV55" s="283">
        <f t="shared" si="53"/>
        <v>0</v>
      </c>
      <c r="AW55" s="284">
        <f t="shared" ca="1" si="54"/>
        <v>0</v>
      </c>
      <c r="AX55" s="296">
        <f t="shared" ca="1" si="55"/>
        <v>0.99374437258050197</v>
      </c>
      <c r="AY55" s="297">
        <f t="shared" ca="1" si="56"/>
        <v>0.99329909121573079</v>
      </c>
      <c r="AZ55" s="297">
        <f t="shared" ca="1" si="57"/>
        <v>0.76524402085527754</v>
      </c>
      <c r="BA55" s="283">
        <f t="shared" si="61"/>
        <v>0</v>
      </c>
      <c r="BB55" s="284">
        <f t="shared" ca="1" si="62"/>
        <v>0</v>
      </c>
      <c r="BC55" s="282">
        <f t="shared" ca="1" si="63"/>
        <v>6.2556274194982553E-3</v>
      </c>
      <c r="BD55" s="283">
        <f t="shared" ca="1" si="64"/>
        <v>0.35880259004282555</v>
      </c>
      <c r="BE55" s="283">
        <f t="shared" ca="1" si="65"/>
        <v>0.35864181619455426</v>
      </c>
      <c r="BF55" s="283">
        <f t="shared" ca="1" si="66"/>
        <v>0.27629996634312198</v>
      </c>
      <c r="BG55" s="283">
        <f t="shared" ca="1" si="67"/>
        <v>0</v>
      </c>
      <c r="BH55" s="284">
        <f t="shared" ca="1" si="68"/>
        <v>0</v>
      </c>
    </row>
    <row r="56" spans="1:60" x14ac:dyDescent="0.2">
      <c r="A56" s="317">
        <v>2039</v>
      </c>
      <c r="B56" s="820">
        <f t="shared" si="73"/>
        <v>141725.82999999999</v>
      </c>
      <c r="C56" s="821">
        <f t="shared" si="73"/>
        <v>6735.78</v>
      </c>
      <c r="D56" s="821">
        <f t="shared" si="73"/>
        <v>6972.2</v>
      </c>
      <c r="E56" s="821">
        <f t="shared" si="73"/>
        <v>20808.759999999998</v>
      </c>
      <c r="F56" s="821">
        <f t="shared" si="73"/>
        <v>28302.85</v>
      </c>
      <c r="G56" s="822">
        <f t="shared" si="73"/>
        <v>10545.66</v>
      </c>
      <c r="H56" s="984">
        <f t="shared" si="74"/>
        <v>1</v>
      </c>
      <c r="I56" s="985">
        <f t="shared" si="74"/>
        <v>1</v>
      </c>
      <c r="J56" s="985">
        <f t="shared" si="74"/>
        <v>1</v>
      </c>
      <c r="K56" s="985">
        <f t="shared" si="74"/>
        <v>0.84253512987551848</v>
      </c>
      <c r="L56" s="985">
        <f t="shared" si="74"/>
        <v>1</v>
      </c>
      <c r="M56" s="986">
        <f t="shared" si="74"/>
        <v>1</v>
      </c>
      <c r="N56" s="289">
        <f t="shared" si="28"/>
        <v>8931.8604600391445</v>
      </c>
      <c r="O56" s="290">
        <f t="shared" si="29"/>
        <v>7603.6119898291854</v>
      </c>
      <c r="P56" s="290">
        <f t="shared" si="30"/>
        <v>7561.5642056069082</v>
      </c>
      <c r="Q56" s="290">
        <f t="shared" si="31"/>
        <v>7438.9175830977429</v>
      </c>
      <c r="R56" s="290">
        <f t="shared" si="32"/>
        <v>9104.2315004902612</v>
      </c>
      <c r="S56" s="292">
        <f t="shared" si="33"/>
        <v>8456.6440773613758</v>
      </c>
      <c r="T56" s="289">
        <f t="shared" si="34"/>
        <v>1328.2484702099591</v>
      </c>
      <c r="U56" s="290">
        <f t="shared" si="35"/>
        <v>1370.2962544322363</v>
      </c>
      <c r="V56" s="290">
        <f t="shared" si="36"/>
        <v>1492.9428769414017</v>
      </c>
      <c r="W56" s="290">
        <f t="shared" si="37"/>
        <v>-172.37104045111664</v>
      </c>
      <c r="X56" s="292">
        <f t="shared" si="38"/>
        <v>475.21638267776871</v>
      </c>
      <c r="Y56" s="293">
        <f ca="1">IF(AND(Y$22=TRUE,INDEX(CDRANGE_CLS2,MATCH($A56,$A$24:$A$67,0),MATCH(Y$20,$B$20:$G$20,0))&lt;$D$6/OPDAYS_Cls2),86,payback(C56,T56,disc_rate/12,85))</f>
        <v>6</v>
      </c>
      <c r="Z56" s="294">
        <f ca="1">IF(AND(Z$22=TRUE,INDEX(CDRANGE_CLS2,MATCH($A56,$A$24:$A$67,0),MATCH(Z$20,$B$20:$G$20,0))&lt;$D$6/OPDAYS_Cls2),86,payback(D56,U56,disc_rate/12,85))</f>
        <v>6</v>
      </c>
      <c r="AA56" s="294">
        <f ca="1">IF(AND(AA$22=TRUE,INDEX(CDRANGE_CLS2,MATCH($A56,$A$24:$A$67,0),MATCH(AA$20,$B$20:$G$20,0))&lt;$D$6/OPDAYS_Cls2),86,payback(E56,V56,disc_rate/12,85))</f>
        <v>15</v>
      </c>
      <c r="AB56" s="294">
        <f>IF(AND(AB$22=TRUE,INDEX(CDRANGE_CLS2,MATCH($A56,$A$24:$A$67,0),MATCH(AB$20,$B$20:$G$20,0))&lt;$D$6/OPDAYS_Cls2),86,payback(F56,W56,disc_rate/12,85))</f>
        <v>86</v>
      </c>
      <c r="AC56" s="295">
        <f ca="1">IF(AND(AC$22=TRUE,INDEX(CDRANGE_CLS2,MATCH($A56,$A$24:$A$67,0),MATCH(AC$20,$B$20:$G$20,0))&lt;$D$6/OPDAYS_Cls2),86,payback(G56,X56,disc_rate/12,85))</f>
        <v>24</v>
      </c>
      <c r="AD56" s="296">
        <f t="shared" si="39"/>
        <v>0</v>
      </c>
      <c r="AE56" s="297">
        <f t="shared" si="40"/>
        <v>0</v>
      </c>
      <c r="AF56" s="297">
        <f t="shared" si="41"/>
        <v>0</v>
      </c>
      <c r="AG56" s="297">
        <f t="shared" si="42"/>
        <v>0</v>
      </c>
      <c r="AH56" s="298">
        <f t="shared" si="43"/>
        <v>0</v>
      </c>
      <c r="AI56" s="299">
        <f t="shared" si="44"/>
        <v>0.4999998470488865</v>
      </c>
      <c r="AJ56" s="300">
        <f t="shared" si="45"/>
        <v>0.4999998470488865</v>
      </c>
      <c r="AK56" s="300">
        <f t="shared" si="46"/>
        <v>0.4999998470488865</v>
      </c>
      <c r="AL56" s="300">
        <f t="shared" si="47"/>
        <v>0.48366031202821175</v>
      </c>
      <c r="AM56" s="301">
        <f t="shared" si="48"/>
        <v>1.5318900392023009E-2</v>
      </c>
      <c r="AN56" s="299">
        <f t="shared" si="60"/>
        <v>0.99374519890748736</v>
      </c>
      <c r="AO56" s="300">
        <f t="shared" si="60"/>
        <v>0.99329991717245192</v>
      </c>
      <c r="AP56" s="300">
        <f t="shared" si="60"/>
        <v>0.94187624150643323</v>
      </c>
      <c r="AQ56" s="300">
        <f t="shared" si="60"/>
        <v>0.89513600881586164</v>
      </c>
      <c r="AR56" s="598">
        <f t="shared" si="60"/>
        <v>0.98473799333265943</v>
      </c>
      <c r="AS56" s="282">
        <f t="shared" ca="1" si="50"/>
        <v>0.99999969409777301</v>
      </c>
      <c r="AT56" s="283">
        <f t="shared" ca="1" si="51"/>
        <v>0.99999969409777301</v>
      </c>
      <c r="AU56" s="283">
        <f t="shared" ca="1" si="52"/>
        <v>0.84273495519967667</v>
      </c>
      <c r="AV56" s="283">
        <f t="shared" si="53"/>
        <v>0</v>
      </c>
      <c r="AW56" s="284">
        <f t="shared" ca="1" si="54"/>
        <v>1.6884924049604969E-2</v>
      </c>
      <c r="AX56" s="296">
        <f t="shared" ca="1" si="55"/>
        <v>0.99374489491861795</v>
      </c>
      <c r="AY56" s="297">
        <f t="shared" ca="1" si="56"/>
        <v>0.99329961331979522</v>
      </c>
      <c r="AZ56" s="297">
        <f t="shared" ca="1" si="57"/>
        <v>0.79375203218956381</v>
      </c>
      <c r="BA56" s="283">
        <f t="shared" si="61"/>
        <v>0</v>
      </c>
      <c r="BB56" s="284">
        <f t="shared" ca="1" si="62"/>
        <v>1.6627226226182359E-2</v>
      </c>
      <c r="BC56" s="282">
        <f t="shared" ca="1" si="63"/>
        <v>6.2551050813820508E-3</v>
      </c>
      <c r="BD56" s="283">
        <f t="shared" ca="1" si="64"/>
        <v>0.35505943236304655</v>
      </c>
      <c r="BE56" s="283">
        <f t="shared" ca="1" si="65"/>
        <v>0.35490033576539043</v>
      </c>
      <c r="BF56" s="283">
        <f t="shared" ca="1" si="66"/>
        <v>0.28360311326109638</v>
      </c>
      <c r="BG56" s="283">
        <f t="shared" ca="1" si="67"/>
        <v>0</v>
      </c>
      <c r="BH56" s="284">
        <f t="shared" ca="1" si="68"/>
        <v>1.8201352908456863E-4</v>
      </c>
    </row>
    <row r="57" spans="1:60" ht="15" thickBot="1" x14ac:dyDescent="0.25">
      <c r="A57" s="302">
        <v>2040</v>
      </c>
      <c r="B57" s="814">
        <f t="shared" si="73"/>
        <v>141725.82999999999</v>
      </c>
      <c r="C57" s="815">
        <f t="shared" si="73"/>
        <v>6735.78</v>
      </c>
      <c r="D57" s="815">
        <f t="shared" si="73"/>
        <v>6972.2</v>
      </c>
      <c r="E57" s="815">
        <f t="shared" si="73"/>
        <v>20662.41</v>
      </c>
      <c r="F57" s="815">
        <f t="shared" si="73"/>
        <v>27723.88</v>
      </c>
      <c r="G57" s="816">
        <f t="shared" si="73"/>
        <v>10012.92</v>
      </c>
      <c r="H57" s="978">
        <f t="shared" si="74"/>
        <v>1</v>
      </c>
      <c r="I57" s="979">
        <f t="shared" si="74"/>
        <v>1</v>
      </c>
      <c r="J57" s="979">
        <f t="shared" si="74"/>
        <v>1</v>
      </c>
      <c r="K57" s="979">
        <f t="shared" si="74"/>
        <v>0.84243259926395031</v>
      </c>
      <c r="L57" s="979">
        <f t="shared" si="74"/>
        <v>1</v>
      </c>
      <c r="M57" s="980">
        <f t="shared" si="74"/>
        <v>1</v>
      </c>
      <c r="N57" s="303">
        <f t="shared" si="28"/>
        <v>8932.2375465703208</v>
      </c>
      <c r="O57" s="304">
        <f t="shared" si="29"/>
        <v>7603.9330001811131</v>
      </c>
      <c r="P57" s="304">
        <f t="shared" si="30"/>
        <v>7561.8834407796157</v>
      </c>
      <c r="Q57" s="304">
        <f t="shared" si="31"/>
        <v>7349.9248281809287</v>
      </c>
      <c r="R57" s="304">
        <f t="shared" si="32"/>
        <v>8770.5626884415506</v>
      </c>
      <c r="S57" s="306">
        <f t="shared" si="33"/>
        <v>8187.5720576661324</v>
      </c>
      <c r="T57" s="303">
        <f t="shared" si="34"/>
        <v>1328.3045463892076</v>
      </c>
      <c r="U57" s="304">
        <f t="shared" si="35"/>
        <v>1370.354105790705</v>
      </c>
      <c r="V57" s="304">
        <f t="shared" si="36"/>
        <v>1582.3127183893921</v>
      </c>
      <c r="W57" s="304">
        <f t="shared" si="37"/>
        <v>161.67485812877021</v>
      </c>
      <c r="X57" s="306">
        <f t="shared" si="38"/>
        <v>744.66548890418835</v>
      </c>
      <c r="Y57" s="307">
        <f ca="1">IF(AND(Y$22=TRUE,INDEX(CDRANGE_CLS2,MATCH($A57,$A$24:$A$67,0),MATCH(Y$20,$B$20:$G$20,0))&lt;$D$6/OPDAYS_Cls2),86,payback(C57,T57,disc_rate/12,85))</f>
        <v>6</v>
      </c>
      <c r="Z57" s="308">
        <f ca="1">IF(AND(Z$22=TRUE,INDEX(CDRANGE_CLS2,MATCH($A57,$A$24:$A$67,0),MATCH(Z$20,$B$20:$G$20,0))&lt;$D$6/OPDAYS_Cls2),86,payback(D57,U57,disc_rate/12,85))</f>
        <v>6</v>
      </c>
      <c r="AA57" s="308">
        <f ca="1">IF(AND(AA$22=TRUE,INDEX(CDRANGE_CLS2,MATCH($A57,$A$24:$A$67,0),MATCH(AA$20,$B$20:$G$20,0))&lt;$D$6/OPDAYS_Cls2),86,payback(E57,V57,disc_rate/12,85))</f>
        <v>14</v>
      </c>
      <c r="AB57" s="308">
        <f>IF(AND(AB$22=TRUE,INDEX(CDRANGE_CLS2,MATCH($A57,$A$24:$A$67,0),MATCH(AB$20,$B$20:$G$20,0))&lt;$D$6/OPDAYS_Cls2),86,payback(F57,W57,disc_rate/12,85))</f>
        <v>86</v>
      </c>
      <c r="AC57" s="309">
        <f ca="1">IF(AND(AC$22=TRUE,INDEX(CDRANGE_CLS2,MATCH($A57,$A$24:$A$67,0),MATCH(AC$20,$B$20:$G$20,0))&lt;$D$6/OPDAYS_Cls2),86,payback(G57,X57,disc_rate/12,85))</f>
        <v>15</v>
      </c>
      <c r="AD57" s="310">
        <f t="shared" si="39"/>
        <v>0</v>
      </c>
      <c r="AE57" s="311">
        <f t="shared" si="40"/>
        <v>0</v>
      </c>
      <c r="AF57" s="311">
        <f t="shared" si="41"/>
        <v>0</v>
      </c>
      <c r="AG57" s="311">
        <f t="shared" si="42"/>
        <v>0</v>
      </c>
      <c r="AH57" s="312">
        <f t="shared" si="43"/>
        <v>0</v>
      </c>
      <c r="AI57" s="313">
        <f t="shared" si="44"/>
        <v>0.49999994373241896</v>
      </c>
      <c r="AJ57" s="314">
        <f t="shared" si="45"/>
        <v>0.49999994373241896</v>
      </c>
      <c r="AK57" s="314">
        <f t="shared" si="46"/>
        <v>0.49999994373241896</v>
      </c>
      <c r="AL57" s="314">
        <f t="shared" si="47"/>
        <v>0.49142590379710988</v>
      </c>
      <c r="AM57" s="315">
        <f t="shared" si="48"/>
        <v>2.1893484435886634E-2</v>
      </c>
      <c r="AN57" s="630">
        <f t="shared" si="60"/>
        <v>0.99374519890748736</v>
      </c>
      <c r="AO57" s="628">
        <f t="shared" si="60"/>
        <v>0.99329991717245192</v>
      </c>
      <c r="AP57" s="628">
        <f t="shared" si="60"/>
        <v>0.94266712882395709</v>
      </c>
      <c r="AQ57" s="628">
        <f t="shared" si="60"/>
        <v>0.8991605308844326</v>
      </c>
      <c r="AR57" s="629">
        <f t="shared" si="60"/>
        <v>0.98623064178930175</v>
      </c>
      <c r="AS57" s="319">
        <f t="shared" ca="1" si="50"/>
        <v>0.99999988746483792</v>
      </c>
      <c r="AT57" s="320">
        <f t="shared" ca="1" si="51"/>
        <v>0.99999988746483792</v>
      </c>
      <c r="AU57" s="320">
        <f t="shared" ca="1" si="52"/>
        <v>0.8707375556387712</v>
      </c>
      <c r="AV57" s="320">
        <f t="shared" si="53"/>
        <v>0</v>
      </c>
      <c r="AW57" s="321">
        <f t="shared" ca="1" si="54"/>
        <v>3.6900820538526662E-2</v>
      </c>
      <c r="AX57" s="310">
        <f t="shared" ca="1" si="55"/>
        <v>0.99374508707621034</v>
      </c>
      <c r="AY57" s="311">
        <f t="shared" ca="1" si="56"/>
        <v>0.99329980539128471</v>
      </c>
      <c r="AZ57" s="311">
        <f t="shared" ca="1" si="57"/>
        <v>0.82081567153319102</v>
      </c>
      <c r="BA57" s="311">
        <f t="shared" si="61"/>
        <v>0</v>
      </c>
      <c r="BB57" s="312">
        <f t="shared" ca="1" si="62"/>
        <v>3.6392719922262999E-2</v>
      </c>
      <c r="BC57" s="310">
        <f t="shared" ca="1" si="63"/>
        <v>6.2549129237897683E-3</v>
      </c>
      <c r="BD57" s="311">
        <f t="shared" ca="1" si="64"/>
        <v>0.35150220152216388</v>
      </c>
      <c r="BE57" s="311">
        <f t="shared" ca="1" si="65"/>
        <v>0.35134469886420422</v>
      </c>
      <c r="BF57" s="311">
        <f t="shared" ca="1" si="66"/>
        <v>0.29033453280930133</v>
      </c>
      <c r="BG57" s="311">
        <f t="shared" ca="1" si="67"/>
        <v>0</v>
      </c>
      <c r="BH57" s="312">
        <f t="shared" ca="1" si="68"/>
        <v>5.6365388054078699E-4</v>
      </c>
    </row>
    <row r="58" spans="1:60" x14ac:dyDescent="0.2">
      <c r="A58" s="316">
        <v>2041</v>
      </c>
      <c r="B58" s="817">
        <f t="shared" si="73"/>
        <v>141725.82999999999</v>
      </c>
      <c r="C58" s="818">
        <f t="shared" si="73"/>
        <v>6735.78</v>
      </c>
      <c r="D58" s="818">
        <f t="shared" si="73"/>
        <v>6972.2</v>
      </c>
      <c r="E58" s="818">
        <f t="shared" si="73"/>
        <v>20516.060000000001</v>
      </c>
      <c r="F58" s="818">
        <f t="shared" si="73"/>
        <v>27144.91</v>
      </c>
      <c r="G58" s="819">
        <f t="shared" si="73"/>
        <v>9480.17</v>
      </c>
      <c r="H58" s="981">
        <f t="shared" si="74"/>
        <v>1</v>
      </c>
      <c r="I58" s="982">
        <f t="shared" si="74"/>
        <v>1</v>
      </c>
      <c r="J58" s="982">
        <f t="shared" si="74"/>
        <v>1</v>
      </c>
      <c r="K58" s="982">
        <f t="shared" si="74"/>
        <v>0.84233006865238202</v>
      </c>
      <c r="L58" s="982">
        <f t="shared" si="74"/>
        <v>1</v>
      </c>
      <c r="M58" s="983">
        <f t="shared" si="74"/>
        <v>1</v>
      </c>
      <c r="N58" s="275">
        <f t="shared" si="28"/>
        <v>8989.3286608131184</v>
      </c>
      <c r="O58" s="276">
        <f t="shared" si="29"/>
        <v>7652.5341491479367</v>
      </c>
      <c r="P58" s="276">
        <f t="shared" si="30"/>
        <v>7610.2158266076258</v>
      </c>
      <c r="Q58" s="276">
        <f t="shared" si="31"/>
        <v>7277.6595055531698</v>
      </c>
      <c r="R58" s="276">
        <f t="shared" si="32"/>
        <v>8286.2757987849254</v>
      </c>
      <c r="S58" s="278">
        <f t="shared" si="33"/>
        <v>7923.7295477735433</v>
      </c>
      <c r="T58" s="275">
        <f t="shared" si="34"/>
        <v>1336.7945116651817</v>
      </c>
      <c r="U58" s="276">
        <f t="shared" si="35"/>
        <v>1379.1128342054926</v>
      </c>
      <c r="V58" s="276">
        <f t="shared" si="36"/>
        <v>1711.6691552599486</v>
      </c>
      <c r="W58" s="276">
        <f t="shared" si="37"/>
        <v>703.05286202819298</v>
      </c>
      <c r="X58" s="278">
        <f t="shared" si="38"/>
        <v>1065.5991130395751</v>
      </c>
      <c r="Y58" s="279">
        <f ca="1">IF(AND(Y$22=TRUE,INDEX(CDRANGE_CLS2,MATCH($A58,$A$24:$A$67,0),MATCH(Y$20,$B$20:$G$20,0))&lt;$D$6/OPDAYS_Cls2),86,payback(C58,T58,disc_rate/12,85))</f>
        <v>6</v>
      </c>
      <c r="Z58" s="280">
        <f ca="1">IF(AND(Z$22=TRUE,INDEX(CDRANGE_CLS2,MATCH($A58,$A$24:$A$67,0),MATCH(Z$20,$B$20:$G$20,0))&lt;$D$6/OPDAYS_Cls2),86,payback(D58,U58,disc_rate/12,85))</f>
        <v>6</v>
      </c>
      <c r="AA58" s="280">
        <f ca="1">IF(AND(AA$22=TRUE,INDEX(CDRANGE_CLS2,MATCH($A58,$A$24:$A$67,0),MATCH(AA$20,$B$20:$G$20,0))&lt;$D$6/OPDAYS_Cls2),86,payback(E58,V58,disc_rate/12,85))</f>
        <v>13</v>
      </c>
      <c r="AB58" s="280">
        <f>IF(AND(AB$22=TRUE,INDEX(CDRANGE_CLS2,MATCH($A58,$A$24:$A$67,0),MATCH(AB$20,$B$20:$G$20,0))&lt;$D$6/OPDAYS_Cls2),86,payback(F58,W58,disc_rate/12,85))</f>
        <v>86</v>
      </c>
      <c r="AC58" s="281">
        <f ca="1">IF(AND(AC$22=TRUE,INDEX(CDRANGE_CLS2,MATCH($A58,$A$24:$A$67,0),MATCH(AC$20,$B$20:$G$20,0))&lt;$D$6/OPDAYS_Cls2),86,payback(G58,X58,disc_rate/12,85))</f>
        <v>10</v>
      </c>
      <c r="AD58" s="282">
        <f t="shared" si="39"/>
        <v>0</v>
      </c>
      <c r="AE58" s="283">
        <f t="shared" si="40"/>
        <v>0</v>
      </c>
      <c r="AF58" s="283">
        <f t="shared" si="41"/>
        <v>0</v>
      </c>
      <c r="AG58" s="283">
        <f t="shared" si="42"/>
        <v>0</v>
      </c>
      <c r="AH58" s="284">
        <f t="shared" si="43"/>
        <v>0</v>
      </c>
      <c r="AI58" s="285">
        <f t="shared" si="44"/>
        <v>0.4999999793003122</v>
      </c>
      <c r="AJ58" s="286">
        <f t="shared" si="45"/>
        <v>0.4999999793003122</v>
      </c>
      <c r="AK58" s="286">
        <f t="shared" si="46"/>
        <v>0.4999999793003122</v>
      </c>
      <c r="AL58" s="286">
        <f t="shared" si="47"/>
        <v>0.49468308424356083</v>
      </c>
      <c r="AM58" s="287">
        <f t="shared" si="48"/>
        <v>3.0293467339131446E-2</v>
      </c>
      <c r="AN58" s="643">
        <f t="shared" si="60"/>
        <v>0.99374519890748736</v>
      </c>
      <c r="AO58" s="641">
        <f t="shared" si="60"/>
        <v>0.99329991717245192</v>
      </c>
      <c r="AP58" s="641">
        <f t="shared" si="60"/>
        <v>0.94345309121325815</v>
      </c>
      <c r="AQ58" s="641">
        <f t="shared" si="60"/>
        <v>0.90311941218425806</v>
      </c>
      <c r="AR58" s="642">
        <f t="shared" si="60"/>
        <v>0.9876480469682839</v>
      </c>
      <c r="AS58" s="282">
        <f t="shared" ca="1" si="50"/>
        <v>0.99999995860062441</v>
      </c>
      <c r="AT58" s="283">
        <f t="shared" ca="1" si="51"/>
        <v>0.99999995860062441</v>
      </c>
      <c r="AU58" s="283">
        <f t="shared" ca="1" si="52"/>
        <v>0.89687213711961367</v>
      </c>
      <c r="AV58" s="283">
        <f t="shared" si="53"/>
        <v>0</v>
      </c>
      <c r="AW58" s="284">
        <f t="shared" ca="1" si="54"/>
        <v>5.8225891638250614E-2</v>
      </c>
      <c r="AX58" s="282">
        <f t="shared" ca="1" si="55"/>
        <v>0.99374515776705663</v>
      </c>
      <c r="AY58" s="283">
        <f t="shared" ca="1" si="56"/>
        <v>0.99329987605045555</v>
      </c>
      <c r="AZ58" s="283">
        <f t="shared" ca="1" si="57"/>
        <v>0.84615679018854062</v>
      </c>
      <c r="BA58" s="283">
        <f t="shared" si="61"/>
        <v>0</v>
      </c>
      <c r="BB58" s="284">
        <f t="shared" ca="1" si="62"/>
        <v>5.7506688159505152E-2</v>
      </c>
      <c r="BC58" s="282">
        <f t="shared" ca="1" si="63"/>
        <v>6.2548422329433695E-3</v>
      </c>
      <c r="BD58" s="283">
        <f t="shared" ca="1" si="64"/>
        <v>0.34812786688629194</v>
      </c>
      <c r="BE58" s="283">
        <f t="shared" ca="1" si="65"/>
        <v>0.3479718762150899</v>
      </c>
      <c r="BF58" s="283">
        <f t="shared" ca="1" si="66"/>
        <v>0.29642484908463679</v>
      </c>
      <c r="BG58" s="283">
        <f t="shared" ca="1" si="67"/>
        <v>0</v>
      </c>
      <c r="BH58" s="284">
        <f t="shared" ca="1" si="68"/>
        <v>1.220565581037999E-3</v>
      </c>
    </row>
    <row r="59" spans="1:60" x14ac:dyDescent="0.2">
      <c r="A59" s="317">
        <v>2042</v>
      </c>
      <c r="B59" s="820">
        <f t="shared" si="73"/>
        <v>141725.82999999999</v>
      </c>
      <c r="C59" s="821">
        <f t="shared" si="73"/>
        <v>6735.78</v>
      </c>
      <c r="D59" s="821">
        <f t="shared" si="73"/>
        <v>6972.2</v>
      </c>
      <c r="E59" s="821">
        <f t="shared" si="73"/>
        <v>20369.7</v>
      </c>
      <c r="F59" s="821">
        <f t="shared" si="73"/>
        <v>26565.95</v>
      </c>
      <c r="G59" s="822">
        <f t="shared" si="73"/>
        <v>8947.43</v>
      </c>
      <c r="H59" s="984">
        <f t="shared" si="74"/>
        <v>1</v>
      </c>
      <c r="I59" s="985">
        <f t="shared" si="74"/>
        <v>1</v>
      </c>
      <c r="J59" s="985">
        <f t="shared" si="74"/>
        <v>1</v>
      </c>
      <c r="K59" s="985">
        <f t="shared" si="74"/>
        <v>0.84222753804081374</v>
      </c>
      <c r="L59" s="985">
        <f t="shared" si="74"/>
        <v>1</v>
      </c>
      <c r="M59" s="986">
        <f t="shared" si="74"/>
        <v>1</v>
      </c>
      <c r="N59" s="289">
        <f t="shared" si="28"/>
        <v>9120.8143474413391</v>
      </c>
      <c r="O59" s="290">
        <f t="shared" si="29"/>
        <v>7764.4667244283264</v>
      </c>
      <c r="P59" s="290">
        <f t="shared" si="30"/>
        <v>7721.5294175448989</v>
      </c>
      <c r="Q59" s="290">
        <f t="shared" si="31"/>
        <v>7231.4610618722609</v>
      </c>
      <c r="R59" s="290">
        <f t="shared" si="32"/>
        <v>7639.687651490156</v>
      </c>
      <c r="S59" s="292">
        <f t="shared" si="33"/>
        <v>7701.4654183889252</v>
      </c>
      <c r="T59" s="289">
        <f t="shared" si="34"/>
        <v>1356.3476230130127</v>
      </c>
      <c r="U59" s="290">
        <f t="shared" si="35"/>
        <v>1399.2849298964402</v>
      </c>
      <c r="V59" s="290">
        <f t="shared" si="36"/>
        <v>1889.3532855690783</v>
      </c>
      <c r="W59" s="290">
        <f t="shared" si="37"/>
        <v>1481.1266959511831</v>
      </c>
      <c r="X59" s="292">
        <f t="shared" si="38"/>
        <v>1419.348929052414</v>
      </c>
      <c r="Y59" s="293">
        <f ca="1">IF(AND(Y$22=TRUE,INDEX(CDRANGE_CLS2,MATCH($A59,$A$24:$A$67,0),MATCH(Y$20,$B$20:$G$20,0))&lt;$D$6/OPDAYS_Cls2),86,payback(C59,T59,disc_rate/12,85))</f>
        <v>6</v>
      </c>
      <c r="Z59" s="294">
        <f ca="1">IF(AND(Z$22=TRUE,INDEX(CDRANGE_CLS2,MATCH($A59,$A$24:$A$67,0),MATCH(Z$20,$B$20:$G$20,0))&lt;$D$6/OPDAYS_Cls2),86,payback(D59,U59,disc_rate/12,85))</f>
        <v>6</v>
      </c>
      <c r="AA59" s="294">
        <f ca="1">IF(AND(AA$22=TRUE,INDEX(CDRANGE_CLS2,MATCH($A59,$A$24:$A$67,0),MATCH(AA$20,$B$20:$G$20,0))&lt;$D$6/OPDAYS_Cls2),86,payback(E59,V59,disc_rate/12,85))</f>
        <v>12</v>
      </c>
      <c r="AB59" s="294">
        <f>IF(AND(AB$22=TRUE,INDEX(CDRANGE_CLS2,MATCH($A59,$A$24:$A$67,0),MATCH(AB$20,$B$20:$G$20,0))&lt;$D$6/OPDAYS_Cls2),86,payback(F59,W59,disc_rate/12,85))</f>
        <v>86</v>
      </c>
      <c r="AC59" s="295">
        <f ca="1">IF(AND(AC$22=TRUE,INDEX(CDRANGE_CLS2,MATCH($A59,$A$24:$A$67,0),MATCH(AC$20,$B$20:$G$20,0))&lt;$D$6/OPDAYS_Cls2),86,payback(G59,X59,disc_rate/12,85))</f>
        <v>7</v>
      </c>
      <c r="AD59" s="296">
        <f t="shared" si="39"/>
        <v>0</v>
      </c>
      <c r="AE59" s="297">
        <f t="shared" si="40"/>
        <v>0</v>
      </c>
      <c r="AF59" s="297">
        <f t="shared" si="41"/>
        <v>0</v>
      </c>
      <c r="AG59" s="297">
        <f t="shared" si="42"/>
        <v>0</v>
      </c>
      <c r="AH59" s="298">
        <f t="shared" si="43"/>
        <v>0</v>
      </c>
      <c r="AI59" s="299">
        <f t="shared" si="44"/>
        <v>0.49999999238501025</v>
      </c>
      <c r="AJ59" s="300">
        <f t="shared" si="45"/>
        <v>0.49999999238501025</v>
      </c>
      <c r="AK59" s="300">
        <f t="shared" si="46"/>
        <v>0.49999999238501025</v>
      </c>
      <c r="AL59" s="300">
        <f t="shared" si="47"/>
        <v>0.4975971318356136</v>
      </c>
      <c r="AM59" s="301">
        <f t="shared" si="48"/>
        <v>4.0757891831784555E-2</v>
      </c>
      <c r="AN59" s="299">
        <f t="shared" si="60"/>
        <v>0.99374519890748736</v>
      </c>
      <c r="AO59" s="300">
        <f t="shared" si="60"/>
        <v>0.99329991717245192</v>
      </c>
      <c r="AP59" s="300">
        <f t="shared" si="60"/>
        <v>0.94423416845000174</v>
      </c>
      <c r="AQ59" s="300">
        <f t="shared" si="60"/>
        <v>0.90701156139989514</v>
      </c>
      <c r="AR59" s="598">
        <f t="shared" si="60"/>
        <v>0.98898982480443098</v>
      </c>
      <c r="AS59" s="282">
        <f t="shared" ca="1" si="50"/>
        <v>0.9999999847700205</v>
      </c>
      <c r="AT59" s="283">
        <f t="shared" ca="1" si="51"/>
        <v>0.9999999847700205</v>
      </c>
      <c r="AU59" s="283">
        <f t="shared" ca="1" si="52"/>
        <v>0.92083974435473648</v>
      </c>
      <c r="AV59" s="283">
        <f t="shared" si="53"/>
        <v>0</v>
      </c>
      <c r="AW59" s="284">
        <f t="shared" ca="1" si="54"/>
        <v>8.1249005768815941E-2</v>
      </c>
      <c r="AX59" s="296">
        <f t="shared" ca="1" si="55"/>
        <v>0.99374518377276833</v>
      </c>
      <c r="AY59" s="297">
        <f t="shared" ca="1" si="56"/>
        <v>0.99329990204451457</v>
      </c>
      <c r="AZ59" s="297">
        <f t="shared" ca="1" si="57"/>
        <v>0.86948835028650684</v>
      </c>
      <c r="BA59" s="283">
        <f t="shared" si="61"/>
        <v>0</v>
      </c>
      <c r="BB59" s="284">
        <f t="shared" ca="1" si="62"/>
        <v>8.0354439980835482E-2</v>
      </c>
      <c r="BC59" s="282">
        <f t="shared" ca="1" si="63"/>
        <v>6.2548162272315633E-3</v>
      </c>
      <c r="BD59" s="283">
        <f t="shared" ca="1" si="64"/>
        <v>0.34491814813067651</v>
      </c>
      <c r="BE59" s="283">
        <f t="shared" ca="1" si="65"/>
        <v>0.344763595684422</v>
      </c>
      <c r="BF59" s="283">
        <f t="shared" ca="1" si="66"/>
        <v>0.30178995229283562</v>
      </c>
      <c r="BG59" s="283">
        <f t="shared" ca="1" si="67"/>
        <v>0</v>
      </c>
      <c r="BH59" s="284">
        <f t="shared" ca="1" si="68"/>
        <v>2.2734876648342998E-3</v>
      </c>
    </row>
    <row r="60" spans="1:60" x14ac:dyDescent="0.2">
      <c r="A60" s="317">
        <v>2043</v>
      </c>
      <c r="B60" s="820">
        <f t="shared" si="73"/>
        <v>141725.82999999999</v>
      </c>
      <c r="C60" s="821">
        <f t="shared" si="73"/>
        <v>6735.78</v>
      </c>
      <c r="D60" s="821">
        <f t="shared" si="73"/>
        <v>6972.2</v>
      </c>
      <c r="E60" s="821">
        <f t="shared" si="73"/>
        <v>20223.349999999999</v>
      </c>
      <c r="F60" s="821">
        <f t="shared" si="73"/>
        <v>25986.98</v>
      </c>
      <c r="G60" s="822">
        <f t="shared" si="73"/>
        <v>8414.69</v>
      </c>
      <c r="H60" s="984">
        <f t="shared" si="74"/>
        <v>1</v>
      </c>
      <c r="I60" s="985">
        <f t="shared" si="74"/>
        <v>1</v>
      </c>
      <c r="J60" s="985">
        <f t="shared" si="74"/>
        <v>1</v>
      </c>
      <c r="K60" s="985">
        <f t="shared" si="74"/>
        <v>0.84212500742924545</v>
      </c>
      <c r="L60" s="985">
        <f t="shared" si="74"/>
        <v>1</v>
      </c>
      <c r="M60" s="986">
        <f t="shared" si="74"/>
        <v>1</v>
      </c>
      <c r="N60" s="289">
        <f t="shared" si="28"/>
        <v>9176.1114833074062</v>
      </c>
      <c r="O60" s="290">
        <f t="shared" si="29"/>
        <v>7811.540675835824</v>
      </c>
      <c r="P60" s="290">
        <f t="shared" si="30"/>
        <v>7768.343051177907</v>
      </c>
      <c r="Q60" s="290">
        <f t="shared" si="31"/>
        <v>7112.2589115934534</v>
      </c>
      <c r="R60" s="290">
        <f t="shared" si="32"/>
        <v>6845.9131618439533</v>
      </c>
      <c r="S60" s="292">
        <f t="shared" si="33"/>
        <v>7501.514645692896</v>
      </c>
      <c r="T60" s="289">
        <f t="shared" si="34"/>
        <v>1364.5708074715822</v>
      </c>
      <c r="U60" s="290">
        <f t="shared" si="35"/>
        <v>1407.7684321294992</v>
      </c>
      <c r="V60" s="290">
        <f t="shared" si="36"/>
        <v>2063.8525717139528</v>
      </c>
      <c r="W60" s="290">
        <f t="shared" si="37"/>
        <v>2330.1983214634529</v>
      </c>
      <c r="X60" s="292">
        <f t="shared" si="38"/>
        <v>1674.5968376145102</v>
      </c>
      <c r="Y60" s="293">
        <f ca="1">IF(AND(Y$22=TRUE,INDEX(CDRANGE_CLS2,MATCH($A60,$A$24:$A$67,0),MATCH(Y$20,$B$20:$G$20,0))&lt;$D$6/OPDAYS_Cls2),86,payback(C60,T60,disc_rate/12,85))</f>
        <v>6</v>
      </c>
      <c r="Z60" s="294">
        <f ca="1">IF(AND(Z$22=TRUE,INDEX(CDRANGE_CLS2,MATCH($A60,$A$24:$A$67,0),MATCH(Z$20,$B$20:$G$20,0))&lt;$D$6/OPDAYS_Cls2),86,payback(D60,U60,disc_rate/12,85))</f>
        <v>6</v>
      </c>
      <c r="AA60" s="294">
        <f ca="1">IF(AND(AA$22=TRUE,INDEX(CDRANGE_CLS2,MATCH($A60,$A$24:$A$67,0),MATCH(AA$20,$B$20:$G$20,0))&lt;$D$6/OPDAYS_Cls2),86,payback(E60,V60,disc_rate/12,85))</f>
        <v>11</v>
      </c>
      <c r="AB60" s="294">
        <f>IF(AND(AB$22=TRUE,INDEX(CDRANGE_CLS2,MATCH($A60,$A$24:$A$67,0),MATCH(AB$20,$B$20:$G$20,0))&lt;$D$6/OPDAYS_Cls2),86,payback(F60,W60,disc_rate/12,85))</f>
        <v>86</v>
      </c>
      <c r="AC60" s="295">
        <f ca="1">IF(AND(AC$22=TRUE,INDEX(CDRANGE_CLS2,MATCH($A60,$A$24:$A$67,0),MATCH(AC$20,$B$20:$G$20,0))&lt;$D$6/OPDAYS_Cls2),86,payback(G60,X60,disc_rate/12,85))</f>
        <v>6</v>
      </c>
      <c r="AD60" s="296">
        <f t="shared" si="39"/>
        <v>0</v>
      </c>
      <c r="AE60" s="297">
        <f t="shared" si="40"/>
        <v>0</v>
      </c>
      <c r="AF60" s="297">
        <f t="shared" si="41"/>
        <v>0</v>
      </c>
      <c r="AG60" s="297">
        <f t="shared" si="42"/>
        <v>0</v>
      </c>
      <c r="AH60" s="298">
        <f t="shared" si="43"/>
        <v>0</v>
      </c>
      <c r="AI60" s="299">
        <f t="shared" si="44"/>
        <v>0.49999999719860178</v>
      </c>
      <c r="AJ60" s="300">
        <f t="shared" si="45"/>
        <v>0.49999999719860178</v>
      </c>
      <c r="AK60" s="300">
        <f t="shared" si="46"/>
        <v>0.49999999719860178</v>
      </c>
      <c r="AL60" s="300">
        <f t="shared" si="47"/>
        <v>0.49866062749505108</v>
      </c>
      <c r="AM60" s="301">
        <f t="shared" si="48"/>
        <v>5.3498330632972865E-2</v>
      </c>
      <c r="AN60" s="299">
        <f t="shared" si="60"/>
        <v>0.99374519890748736</v>
      </c>
      <c r="AO60" s="300">
        <f t="shared" si="60"/>
        <v>0.99329991717245192</v>
      </c>
      <c r="AP60" s="300">
        <f t="shared" si="60"/>
        <v>0.94501024045421267</v>
      </c>
      <c r="AQ60" s="300">
        <f t="shared" si="60"/>
        <v>0.91083610244643431</v>
      </c>
      <c r="AR60" s="598">
        <f t="shared" si="60"/>
        <v>0.99025568911430906</v>
      </c>
      <c r="AS60" s="282">
        <f t="shared" ca="1" si="50"/>
        <v>0.99999999439720355</v>
      </c>
      <c r="AT60" s="283">
        <f t="shared" ca="1" si="51"/>
        <v>0.99999999439720355</v>
      </c>
      <c r="AU60" s="283">
        <f t="shared" ca="1" si="52"/>
        <v>0.94233242087681213</v>
      </c>
      <c r="AV60" s="283">
        <f t="shared" si="53"/>
        <v>0</v>
      </c>
      <c r="AW60" s="284">
        <f t="shared" ca="1" si="54"/>
        <v>0.10699666126594573</v>
      </c>
      <c r="AX60" s="296">
        <f t="shared" ca="1" si="55"/>
        <v>0.99374519333973532</v>
      </c>
      <c r="AY60" s="297">
        <f t="shared" ca="1" si="56"/>
        <v>0.99329991160719466</v>
      </c>
      <c r="AZ60" s="297">
        <f t="shared" ca="1" si="57"/>
        <v>0.89051378764059652</v>
      </c>
      <c r="BA60" s="283">
        <f t="shared" si="61"/>
        <v>0</v>
      </c>
      <c r="BB60" s="284">
        <f t="shared" ca="1" si="62"/>
        <v>0.10595405253483939</v>
      </c>
      <c r="BC60" s="282">
        <f t="shared" ca="1" si="63"/>
        <v>6.2548066602647889E-3</v>
      </c>
      <c r="BD60" s="283">
        <f t="shared" ca="1" si="64"/>
        <v>0.34183634105286409</v>
      </c>
      <c r="BE60" s="283">
        <f t="shared" ca="1" si="65"/>
        <v>0.34168316951632782</v>
      </c>
      <c r="BF60" s="283">
        <f t="shared" ca="1" si="66"/>
        <v>0.30632598463308391</v>
      </c>
      <c r="BG60" s="283">
        <f t="shared" ca="1" si="67"/>
        <v>0</v>
      </c>
      <c r="BH60" s="284">
        <f t="shared" ca="1" si="68"/>
        <v>3.8996981374594141E-3</v>
      </c>
    </row>
    <row r="61" spans="1:60" x14ac:dyDescent="0.2">
      <c r="A61" s="317">
        <v>2044</v>
      </c>
      <c r="B61" s="820">
        <f t="shared" si="73"/>
        <v>141725.82999999999</v>
      </c>
      <c r="C61" s="821">
        <f t="shared" si="73"/>
        <v>6735.78</v>
      </c>
      <c r="D61" s="821">
        <f t="shared" si="73"/>
        <v>6972.2</v>
      </c>
      <c r="E61" s="821">
        <f t="shared" si="73"/>
        <v>20076.990000000002</v>
      </c>
      <c r="F61" s="821">
        <f t="shared" si="73"/>
        <v>25408.01</v>
      </c>
      <c r="G61" s="822">
        <f t="shared" si="73"/>
        <v>7881.94</v>
      </c>
      <c r="H61" s="984">
        <f t="shared" si="74"/>
        <v>1</v>
      </c>
      <c r="I61" s="985">
        <f t="shared" si="74"/>
        <v>1</v>
      </c>
      <c r="J61" s="985">
        <f t="shared" si="74"/>
        <v>1</v>
      </c>
      <c r="K61" s="985">
        <f t="shared" si="74"/>
        <v>0.84202247681767717</v>
      </c>
      <c r="L61" s="985">
        <f t="shared" si="74"/>
        <v>1</v>
      </c>
      <c r="M61" s="986">
        <f t="shared" si="74"/>
        <v>1</v>
      </c>
      <c r="N61" s="289">
        <f t="shared" si="28"/>
        <v>9247.8618611510992</v>
      </c>
      <c r="O61" s="290">
        <f t="shared" si="29"/>
        <v>7872.6211232619689</v>
      </c>
      <c r="P61" s="290">
        <f t="shared" si="30"/>
        <v>7829.0857252567257</v>
      </c>
      <c r="Q61" s="290">
        <f t="shared" si="31"/>
        <v>7002.7028296559993</v>
      </c>
      <c r="R61" s="290">
        <f t="shared" si="32"/>
        <v>6044.1389774505478</v>
      </c>
      <c r="S61" s="292">
        <f t="shared" si="33"/>
        <v>7287.4346418304813</v>
      </c>
      <c r="T61" s="289">
        <f t="shared" si="34"/>
        <v>1375.2407378891303</v>
      </c>
      <c r="U61" s="290">
        <f t="shared" si="35"/>
        <v>1418.7761358943735</v>
      </c>
      <c r="V61" s="290">
        <f t="shared" si="36"/>
        <v>2245.1590314951</v>
      </c>
      <c r="W61" s="290">
        <f t="shared" si="37"/>
        <v>3203.7228837005514</v>
      </c>
      <c r="X61" s="292">
        <f t="shared" si="38"/>
        <v>1960.427219320618</v>
      </c>
      <c r="Y61" s="293">
        <f ca="1">IF(AND(Y$22=TRUE,INDEX(CDRANGE_CLS2,MATCH($A61,$A$24:$A$67,0),MATCH(Y$20,$B$20:$G$20,0))&lt;$D$6/OPDAYS_Cls2),86,payback(C61,T61,disc_rate/12,85))</f>
        <v>5</v>
      </c>
      <c r="Z61" s="294">
        <f ca="1">IF(AND(Z$22=TRUE,INDEX(CDRANGE_CLS2,MATCH($A61,$A$24:$A$67,0),MATCH(Z$20,$B$20:$G$20,0))&lt;$D$6/OPDAYS_Cls2),86,payback(D61,U61,disc_rate/12,85))</f>
        <v>6</v>
      </c>
      <c r="AA61" s="294">
        <f ca="1">IF(AND(AA$22=TRUE,INDEX(CDRANGE_CLS2,MATCH($A61,$A$24:$A$67,0),MATCH(AA$20,$B$20:$G$20,0))&lt;$D$6/OPDAYS_Cls2),86,payback(E61,V61,disc_rate/12,85))</f>
        <v>10</v>
      </c>
      <c r="AB61" s="294">
        <f>IF(AND(AB$22=TRUE,INDEX(CDRANGE_CLS2,MATCH($A61,$A$24:$A$67,0),MATCH(AB$20,$B$20:$G$20,0))&lt;$D$6/OPDAYS_Cls2),86,payback(F61,W61,disc_rate/12,85))</f>
        <v>86</v>
      </c>
      <c r="AC61" s="295">
        <f ca="1">IF(AND(AC$22=TRUE,INDEX(CDRANGE_CLS2,MATCH($A61,$A$24:$A$67,0),MATCH(AC$20,$B$20:$G$20,0))&lt;$D$6/OPDAYS_Cls2),86,payback(G61,X61,disc_rate/12,85))</f>
        <v>5</v>
      </c>
      <c r="AD61" s="296">
        <f t="shared" si="39"/>
        <v>0</v>
      </c>
      <c r="AE61" s="297">
        <f t="shared" si="40"/>
        <v>0</v>
      </c>
      <c r="AF61" s="297">
        <f t="shared" si="41"/>
        <v>0</v>
      </c>
      <c r="AG61" s="297">
        <f t="shared" si="42"/>
        <v>0</v>
      </c>
      <c r="AH61" s="298">
        <f t="shared" si="43"/>
        <v>0</v>
      </c>
      <c r="AI61" s="299">
        <f t="shared" si="44"/>
        <v>0.49999999896942315</v>
      </c>
      <c r="AJ61" s="300">
        <f t="shared" si="45"/>
        <v>0.49999999896942315</v>
      </c>
      <c r="AK61" s="300">
        <f t="shared" si="46"/>
        <v>0.49999999896942315</v>
      </c>
      <c r="AL61" s="300">
        <f t="shared" si="47"/>
        <v>0.4992875107517955</v>
      </c>
      <c r="AM61" s="301">
        <f t="shared" si="48"/>
        <v>6.0776630199764439E-2</v>
      </c>
      <c r="AN61" s="299">
        <f t="shared" si="60"/>
        <v>0.99374519890748736</v>
      </c>
      <c r="AO61" s="300">
        <f t="shared" si="60"/>
        <v>0.99329991717245192</v>
      </c>
      <c r="AP61" s="300">
        <f t="shared" si="60"/>
        <v>0.94578140001243272</v>
      </c>
      <c r="AQ61" s="300">
        <f t="shared" si="60"/>
        <v>0.91459197152031091</v>
      </c>
      <c r="AR61" s="598">
        <f t="shared" si="60"/>
        <v>0.9914453654900055</v>
      </c>
      <c r="AS61" s="282">
        <f t="shared" ca="1" si="50"/>
        <v>0.99999999793884631</v>
      </c>
      <c r="AT61" s="283">
        <f t="shared" ca="1" si="51"/>
        <v>0.99999999793884631</v>
      </c>
      <c r="AU61" s="283">
        <f t="shared" ca="1" si="52"/>
        <v>0.9610304899470038</v>
      </c>
      <c r="AV61" s="283">
        <f t="shared" si="53"/>
        <v>0</v>
      </c>
      <c r="AW61" s="284">
        <f t="shared" ca="1" si="54"/>
        <v>0.12155326039952888</v>
      </c>
      <c r="AX61" s="296">
        <f t="shared" ca="1" si="55"/>
        <v>0.9937451968592258</v>
      </c>
      <c r="AY61" s="297">
        <f t="shared" ca="1" si="56"/>
        <v>0.99329991512510818</v>
      </c>
      <c r="AZ61" s="297">
        <f t="shared" ca="1" si="57"/>
        <v>0.90892476223671137</v>
      </c>
      <c r="BA61" s="283">
        <f t="shared" si="61"/>
        <v>0</v>
      </c>
      <c r="BB61" s="284">
        <f t="shared" ca="1" si="62"/>
        <v>0.12051341668331272</v>
      </c>
      <c r="BC61" s="282">
        <f t="shared" ca="1" si="63"/>
        <v>6.2548031407740901E-3</v>
      </c>
      <c r="BD61" s="283">
        <f t="shared" ca="1" si="64"/>
        <v>0.33928508926687106</v>
      </c>
      <c r="BE61" s="283">
        <f t="shared" ca="1" si="65"/>
        <v>0.33913306090649609</v>
      </c>
      <c r="BF61" s="283">
        <f t="shared" ca="1" si="66"/>
        <v>0.310325644910803</v>
      </c>
      <c r="BG61" s="283">
        <f t="shared" ca="1" si="67"/>
        <v>0</v>
      </c>
      <c r="BH61" s="284">
        <f t="shared" ca="1" si="68"/>
        <v>5.0014017750557183E-3</v>
      </c>
    </row>
    <row r="62" spans="1:60" ht="15" thickBot="1" x14ac:dyDescent="0.25">
      <c r="A62" s="302">
        <v>2045</v>
      </c>
      <c r="B62" s="823">
        <f t="shared" si="73"/>
        <v>141725.82999999999</v>
      </c>
      <c r="C62" s="824">
        <f t="shared" si="73"/>
        <v>6735.78</v>
      </c>
      <c r="D62" s="824">
        <f t="shared" si="73"/>
        <v>6972.2</v>
      </c>
      <c r="E62" s="824">
        <f t="shared" si="73"/>
        <v>19930.64</v>
      </c>
      <c r="F62" s="824">
        <f t="shared" si="73"/>
        <v>24829.040000000001</v>
      </c>
      <c r="G62" s="825">
        <f t="shared" si="73"/>
        <v>7349.2</v>
      </c>
      <c r="H62" s="978">
        <f t="shared" si="74"/>
        <v>1</v>
      </c>
      <c r="I62" s="979">
        <f t="shared" si="74"/>
        <v>1</v>
      </c>
      <c r="J62" s="979">
        <f t="shared" si="74"/>
        <v>1</v>
      </c>
      <c r="K62" s="979">
        <f t="shared" si="74"/>
        <v>0.84191994620610888</v>
      </c>
      <c r="L62" s="979">
        <f t="shared" si="74"/>
        <v>1</v>
      </c>
      <c r="M62" s="980">
        <f t="shared" si="74"/>
        <v>1</v>
      </c>
      <c r="N62" s="303">
        <f t="shared" si="28"/>
        <v>9374.8435200152944</v>
      </c>
      <c r="O62" s="304">
        <f t="shared" si="29"/>
        <v>7980.7194604614688</v>
      </c>
      <c r="P62" s="304">
        <f t="shared" si="30"/>
        <v>7936.5862813538461</v>
      </c>
      <c r="Q62" s="304">
        <f t="shared" si="31"/>
        <v>6943.4348639142945</v>
      </c>
      <c r="R62" s="304">
        <f t="shared" si="32"/>
        <v>5339.2668659289502</v>
      </c>
      <c r="S62" s="306">
        <f t="shared" si="33"/>
        <v>7095.0974502263634</v>
      </c>
      <c r="T62" s="303">
        <f t="shared" si="34"/>
        <v>1394.1240595538256</v>
      </c>
      <c r="U62" s="304">
        <f t="shared" si="35"/>
        <v>1438.2572386614484</v>
      </c>
      <c r="V62" s="304">
        <f t="shared" si="36"/>
        <v>2431.4086561009999</v>
      </c>
      <c r="W62" s="304">
        <f t="shared" si="37"/>
        <v>4035.5766540863442</v>
      </c>
      <c r="X62" s="306">
        <f t="shared" si="38"/>
        <v>2279.746069788931</v>
      </c>
      <c r="Y62" s="307">
        <f ca="1">IF(AND(Y$22=TRUE,INDEX(CDRANGE_CLS2,MATCH($A62,$A$24:$A$67,0),MATCH(Y$20,$B$20:$G$20,0))&lt;$D$6/OPDAYS_Cls2),86,payback(C62,T62,disc_rate/12,85))</f>
        <v>5</v>
      </c>
      <c r="Z62" s="308">
        <f ca="1">IF(AND(Z$22=TRUE,INDEX(CDRANGE_CLS2,MATCH($A62,$A$24:$A$67,0),MATCH(Z$20,$B$20:$G$20,0))&lt;$D$6/OPDAYS_Cls2),86,payback(D62,U62,disc_rate/12,85))</f>
        <v>5</v>
      </c>
      <c r="AA62" s="308">
        <f ca="1">IF(AND(AA$22=TRUE,INDEX(CDRANGE_CLS2,MATCH($A62,$A$24:$A$67,0),MATCH(AA$20,$B$20:$G$20,0))&lt;$D$6/OPDAYS_Cls2),86,payback(E62,V62,disc_rate/12,85))</f>
        <v>9</v>
      </c>
      <c r="AB62" s="308">
        <f>IF(AND(AB$22=TRUE,INDEX(CDRANGE_CLS2,MATCH($A62,$A$24:$A$67,0),MATCH(AB$20,$B$20:$G$20,0))&lt;$D$6/OPDAYS_Cls2),86,payback(F62,W62,disc_rate/12,85))</f>
        <v>86</v>
      </c>
      <c r="AC62" s="309">
        <f ca="1">IF(AND(AC$22=TRUE,INDEX(CDRANGE_CLS2,MATCH($A62,$A$24:$A$67,0),MATCH(AC$20,$B$20:$G$20,0))&lt;$D$6/OPDAYS_Cls2),86,payback(G62,X62,disc_rate/12,85))</f>
        <v>4</v>
      </c>
      <c r="AD62" s="310">
        <f t="shared" si="39"/>
        <v>0</v>
      </c>
      <c r="AE62" s="311">
        <f t="shared" si="40"/>
        <v>0</v>
      </c>
      <c r="AF62" s="311">
        <f t="shared" si="41"/>
        <v>0</v>
      </c>
      <c r="AG62" s="311">
        <f t="shared" si="42"/>
        <v>0</v>
      </c>
      <c r="AH62" s="312">
        <f t="shared" si="43"/>
        <v>0</v>
      </c>
      <c r="AI62" s="313">
        <f t="shared" si="44"/>
        <v>0.49999999962087194</v>
      </c>
      <c r="AJ62" s="314">
        <f t="shared" si="45"/>
        <v>0.49999999962087194</v>
      </c>
      <c r="AK62" s="314">
        <f t="shared" si="46"/>
        <v>0.49999999962087194</v>
      </c>
      <c r="AL62" s="314">
        <f t="shared" si="47"/>
        <v>0.49974809966286682</v>
      </c>
      <c r="AM62" s="315">
        <f t="shared" si="48"/>
        <v>7.7226768918627967E-2</v>
      </c>
      <c r="AN62" s="313">
        <f t="shared" si="60"/>
        <v>0.99374519890748736</v>
      </c>
      <c r="AO62" s="314">
        <f t="shared" si="60"/>
        <v>0.99329991717245192</v>
      </c>
      <c r="AP62" s="314">
        <f t="shared" si="60"/>
        <v>0.94654752855438162</v>
      </c>
      <c r="AQ62" s="314">
        <f t="shared" si="60"/>
        <v>0.91827818760903202</v>
      </c>
      <c r="AR62" s="599">
        <f t="shared" si="60"/>
        <v>0.99255853083388568</v>
      </c>
      <c r="AS62" s="830">
        <f t="shared" ca="1" si="50"/>
        <v>0.99999999924174388</v>
      </c>
      <c r="AT62" s="831">
        <f t="shared" ca="1" si="51"/>
        <v>0.99999999924174388</v>
      </c>
      <c r="AU62" s="831">
        <f t="shared" ca="1" si="52"/>
        <v>0.97659517096381165</v>
      </c>
      <c r="AV62" s="831">
        <f t="shared" si="53"/>
        <v>0</v>
      </c>
      <c r="AW62" s="832">
        <f t="shared" ca="1" si="54"/>
        <v>0.15445353783725593</v>
      </c>
      <c r="AX62" s="310">
        <f t="shared" ca="1" si="55"/>
        <v>0.993745198153974</v>
      </c>
      <c r="AY62" s="311">
        <f t="shared" ca="1" si="56"/>
        <v>0.99329991641927617</v>
      </c>
      <c r="AZ62" s="311">
        <f t="shared" ca="1" si="57"/>
        <v>0.92439374547393971</v>
      </c>
      <c r="BA62" s="311">
        <f t="shared" si="61"/>
        <v>0</v>
      </c>
      <c r="BB62" s="312">
        <f t="shared" ca="1" si="62"/>
        <v>0.15330417659784273</v>
      </c>
      <c r="BC62" s="310">
        <f t="shared" ca="1" si="63"/>
        <v>6.2548018460260035E-3</v>
      </c>
      <c r="BD62" s="311">
        <f t="shared" ca="1" si="64"/>
        <v>0.33645317737818609</v>
      </c>
      <c r="BE62" s="311">
        <f t="shared" ca="1" si="65"/>
        <v>0.33630241795339</v>
      </c>
      <c r="BF62" s="311">
        <f t="shared" ca="1" si="66"/>
        <v>0.31297279563311114</v>
      </c>
      <c r="BG62" s="311">
        <f t="shared" ca="1" si="67"/>
        <v>0</v>
      </c>
      <c r="BH62" s="312">
        <f t="shared" ca="1" si="68"/>
        <v>8.0168071892867693E-3</v>
      </c>
    </row>
    <row r="63" spans="1:60" x14ac:dyDescent="0.2">
      <c r="A63" s="318">
        <v>2046</v>
      </c>
      <c r="B63" s="826">
        <f t="shared" si="73"/>
        <v>141725.82999999999</v>
      </c>
      <c r="C63" s="827">
        <f t="shared" si="73"/>
        <v>6735.78</v>
      </c>
      <c r="D63" s="827">
        <f t="shared" si="73"/>
        <v>6972.2</v>
      </c>
      <c r="E63" s="827">
        <f t="shared" si="73"/>
        <v>19784.29</v>
      </c>
      <c r="F63" s="827">
        <f t="shared" si="73"/>
        <v>24250.080000000002</v>
      </c>
      <c r="G63" s="828">
        <f t="shared" si="73"/>
        <v>6816.45</v>
      </c>
      <c r="H63" s="981">
        <f t="shared" si="74"/>
        <v>1</v>
      </c>
      <c r="I63" s="982">
        <f t="shared" si="74"/>
        <v>1</v>
      </c>
      <c r="J63" s="982">
        <f t="shared" si="74"/>
        <v>1</v>
      </c>
      <c r="K63" s="982">
        <f t="shared" si="74"/>
        <v>0.8418174155945406</v>
      </c>
      <c r="L63" s="982">
        <f t="shared" si="74"/>
        <v>1</v>
      </c>
      <c r="M63" s="983">
        <f t="shared" si="74"/>
        <v>1</v>
      </c>
      <c r="N63" s="275">
        <f t="shared" si="28"/>
        <v>9380.4195210449834</v>
      </c>
      <c r="O63" s="276">
        <f t="shared" si="29"/>
        <v>7985.4662596836833</v>
      </c>
      <c r="P63" s="276">
        <f t="shared" si="30"/>
        <v>7941.3068308950251</v>
      </c>
      <c r="Q63" s="276">
        <f t="shared" si="31"/>
        <v>6831.1235421892943</v>
      </c>
      <c r="R63" s="276">
        <f t="shared" si="32"/>
        <v>4817.8110389053581</v>
      </c>
      <c r="S63" s="278">
        <f t="shared" si="33"/>
        <v>7029.33862611533</v>
      </c>
      <c r="T63" s="275">
        <f t="shared" si="34"/>
        <v>1394.9532613613001</v>
      </c>
      <c r="U63" s="276">
        <f t="shared" si="35"/>
        <v>1439.1126901499583</v>
      </c>
      <c r="V63" s="276">
        <f t="shared" si="36"/>
        <v>2549.2959788556891</v>
      </c>
      <c r="W63" s="276">
        <f t="shared" si="37"/>
        <v>4562.6084821396253</v>
      </c>
      <c r="X63" s="278">
        <f t="shared" si="38"/>
        <v>2351.0808949296534</v>
      </c>
      <c r="Y63" s="279">
        <f ca="1">IF(AND(Y$22=TRUE,INDEX(CDRANGE_CLS2,MATCH($A63,$A$24:$A$67,0),MATCH(Y$20,$B$20:$G$20,0))&lt;$D$6/OPDAYS_Cls2),86,payback(C63,T63,disc_rate/12,85))</f>
        <v>5</v>
      </c>
      <c r="Z63" s="280">
        <f ca="1">IF(AND(Z$22=TRUE,INDEX(CDRANGE_CLS2,MATCH($A63,$A$24:$A$67,0),MATCH(Z$20,$B$20:$G$20,0))&lt;$D$6/OPDAYS_Cls2),86,payback(D63,U63,disc_rate/12,85))</f>
        <v>5</v>
      </c>
      <c r="AA63" s="280">
        <f ca="1">IF(AND(AA$22=TRUE,INDEX(CDRANGE_CLS2,MATCH($A63,$A$24:$A$67,0),MATCH(AA$20,$B$20:$G$20,0))&lt;$D$6/OPDAYS_Cls2),86,payback(E63,V63,disc_rate/12,85))</f>
        <v>8</v>
      </c>
      <c r="AB63" s="280">
        <f>IF(AND(AB$22=TRUE,INDEX(CDRANGE_CLS2,MATCH($A63,$A$24:$A$67,0),MATCH(AB$20,$B$20:$G$20,0))&lt;$D$6/OPDAYS_Cls2),86,payback(F63,W63,disc_rate/12,85))</f>
        <v>86</v>
      </c>
      <c r="AC63" s="281">
        <f ca="1">IF(AND(AC$22=TRUE,INDEX(CDRANGE_CLS2,MATCH($A63,$A$24:$A$67,0),MATCH(AC$20,$B$20:$G$20,0))&lt;$D$6/OPDAYS_Cls2),86,payback(G63,X63,disc_rate/12,85))</f>
        <v>3</v>
      </c>
      <c r="AD63" s="282">
        <f t="shared" si="39"/>
        <v>0</v>
      </c>
      <c r="AE63" s="283">
        <f t="shared" si="40"/>
        <v>0</v>
      </c>
      <c r="AF63" s="283">
        <f t="shared" si="41"/>
        <v>0</v>
      </c>
      <c r="AG63" s="283">
        <f t="shared" si="42"/>
        <v>0</v>
      </c>
      <c r="AH63" s="284">
        <f t="shared" si="43"/>
        <v>0</v>
      </c>
      <c r="AI63" s="285">
        <f t="shared" si="44"/>
        <v>0.49999999962087194</v>
      </c>
      <c r="AJ63" s="286">
        <f t="shared" si="45"/>
        <v>0.49999999962087194</v>
      </c>
      <c r="AK63" s="286">
        <f t="shared" si="46"/>
        <v>0.49999999962087194</v>
      </c>
      <c r="AL63" s="286">
        <f t="shared" si="47"/>
        <v>0.49988204931764657</v>
      </c>
      <c r="AM63" s="287">
        <f t="shared" si="48"/>
        <v>9.6250620132841011E-2</v>
      </c>
      <c r="AN63" s="285">
        <f t="shared" si="60"/>
        <v>0.99374519890748736</v>
      </c>
      <c r="AO63" s="286">
        <f t="shared" si="60"/>
        <v>0.99329991717245192</v>
      </c>
      <c r="AP63" s="286">
        <f t="shared" si="60"/>
        <v>0.94730866582577999</v>
      </c>
      <c r="AQ63" s="286">
        <f t="shared" si="60"/>
        <v>0.92189372327884223</v>
      </c>
      <c r="AR63" s="611">
        <f t="shared" si="60"/>
        <v>0.99359496619274956</v>
      </c>
      <c r="AS63" s="637">
        <f t="shared" ca="1" si="50"/>
        <v>0.99999999924174388</v>
      </c>
      <c r="AT63" s="638">
        <f t="shared" ca="1" si="51"/>
        <v>0.99999999924174388</v>
      </c>
      <c r="AU63" s="638">
        <f t="shared" ca="1" si="52"/>
        <v>0.98864995926416654</v>
      </c>
      <c r="AV63" s="638">
        <f t="shared" si="53"/>
        <v>0</v>
      </c>
      <c r="AW63" s="639">
        <f t="shared" ca="1" si="54"/>
        <v>0.19250124026568202</v>
      </c>
      <c r="AX63" s="282">
        <f t="shared" ca="1" si="55"/>
        <v>0.993745198153974</v>
      </c>
      <c r="AY63" s="283">
        <f t="shared" ca="1" si="56"/>
        <v>0.99329991641927617</v>
      </c>
      <c r="AZ63" s="283">
        <f t="shared" ca="1" si="57"/>
        <v>0.93655667387924935</v>
      </c>
      <c r="BA63" s="283">
        <f t="shared" si="61"/>
        <v>0</v>
      </c>
      <c r="BB63" s="284">
        <f t="shared" ca="1" si="62"/>
        <v>0.1912682633138427</v>
      </c>
      <c r="BC63" s="282">
        <f t="shared" ca="1" si="63"/>
        <v>6.2548018460260035E-3</v>
      </c>
      <c r="BD63" s="283">
        <f t="shared" ca="1" si="64"/>
        <v>0.33357737407941057</v>
      </c>
      <c r="BE63" s="283">
        <f t="shared" ca="1" si="65"/>
        <v>0.33342790325725014</v>
      </c>
      <c r="BF63" s="283">
        <f t="shared" ca="1" si="66"/>
        <v>0.31438050370410997</v>
      </c>
      <c r="BG63" s="283">
        <f t="shared" ca="1" si="67"/>
        <v>0</v>
      </c>
      <c r="BH63" s="284">
        <f t="shared" ca="1" si="68"/>
        <v>1.2359417113203304E-2</v>
      </c>
    </row>
    <row r="64" spans="1:60" x14ac:dyDescent="0.2">
      <c r="A64" s="317">
        <v>2047</v>
      </c>
      <c r="B64" s="820">
        <f t="shared" si="73"/>
        <v>141725.82999999999</v>
      </c>
      <c r="C64" s="821">
        <f t="shared" si="73"/>
        <v>6735.78</v>
      </c>
      <c r="D64" s="821">
        <f t="shared" si="73"/>
        <v>6972.2</v>
      </c>
      <c r="E64" s="821">
        <f t="shared" si="73"/>
        <v>19637.93</v>
      </c>
      <c r="F64" s="821">
        <f t="shared" si="73"/>
        <v>23671.11</v>
      </c>
      <c r="G64" s="822">
        <f t="shared" si="73"/>
        <v>6283.71</v>
      </c>
      <c r="H64" s="984">
        <f t="shared" si="74"/>
        <v>1</v>
      </c>
      <c r="I64" s="985">
        <f t="shared" si="74"/>
        <v>1</v>
      </c>
      <c r="J64" s="985">
        <f t="shared" si="74"/>
        <v>1</v>
      </c>
      <c r="K64" s="985">
        <f t="shared" si="74"/>
        <v>0.84171488498297242</v>
      </c>
      <c r="L64" s="985">
        <f t="shared" si="74"/>
        <v>1</v>
      </c>
      <c r="M64" s="986">
        <f t="shared" si="74"/>
        <v>1</v>
      </c>
      <c r="N64" s="289">
        <f t="shared" si="28"/>
        <v>9467.9763365082053</v>
      </c>
      <c r="O64" s="290">
        <f t="shared" si="29"/>
        <v>8060.0025844310267</v>
      </c>
      <c r="P64" s="290">
        <f t="shared" si="30"/>
        <v>8015.4309716298367</v>
      </c>
      <c r="Q64" s="290">
        <f t="shared" si="31"/>
        <v>6802.2592344880577</v>
      </c>
      <c r="R64" s="290">
        <f t="shared" si="32"/>
        <v>4500.0298116612539</v>
      </c>
      <c r="S64" s="292">
        <f t="shared" si="33"/>
        <v>6964.7872571265707</v>
      </c>
      <c r="T64" s="289">
        <f t="shared" si="34"/>
        <v>1407.9737520771787</v>
      </c>
      <c r="U64" s="290">
        <f t="shared" si="35"/>
        <v>1452.5453648783687</v>
      </c>
      <c r="V64" s="290">
        <f t="shared" si="36"/>
        <v>2665.7171020201476</v>
      </c>
      <c r="W64" s="290">
        <f t="shared" si="37"/>
        <v>4967.9465248469514</v>
      </c>
      <c r="X64" s="292">
        <f t="shared" si="38"/>
        <v>2503.1890793816347</v>
      </c>
      <c r="Y64" s="293">
        <f ca="1">IF(AND(Y$22=TRUE,INDEX(CDRANGE_CLS2,MATCH($A64,$A$24:$A$67,0),MATCH(Y$20,$B$20:$G$20,0))&lt;$D$6/OPDAYS_Cls2),86,payback(C64,T64,disc_rate/12,85))</f>
        <v>5</v>
      </c>
      <c r="Z64" s="294">
        <f ca="1">IF(AND(Z$22=TRUE,INDEX(CDRANGE_CLS2,MATCH($A64,$A$24:$A$67,0),MATCH(Z$20,$B$20:$G$20,0))&lt;$D$6/OPDAYS_Cls2),86,payback(D64,U64,disc_rate/12,85))</f>
        <v>5</v>
      </c>
      <c r="AA64" s="294">
        <f ca="1">IF(AND(AA$22=TRUE,INDEX(CDRANGE_CLS2,MATCH($A64,$A$24:$A$67,0),MATCH(AA$20,$B$20:$G$20,0))&lt;$D$6/OPDAYS_Cls2),86,payback(E64,V64,disc_rate/12,85))</f>
        <v>8</v>
      </c>
      <c r="AB64" s="294">
        <f>IF(AND(AB$22=TRUE,INDEX(CDRANGE_CLS2,MATCH($A64,$A$24:$A$67,0),MATCH(AB$20,$B$20:$G$20,0))&lt;$D$6/OPDAYS_Cls2),86,payback(F64,W64,disc_rate/12,85))</f>
        <v>86</v>
      </c>
      <c r="AC64" s="295">
        <f ca="1">IF(AND(AC$22=TRUE,INDEX(CDRANGE_CLS2,MATCH($A64,$A$24:$A$67,0),MATCH(AC$20,$B$20:$G$20,0))&lt;$D$6/OPDAYS_Cls2),86,payback(G64,X64,disc_rate/12,85))</f>
        <v>3</v>
      </c>
      <c r="AD64" s="296">
        <f t="shared" si="39"/>
        <v>0</v>
      </c>
      <c r="AE64" s="297">
        <f t="shared" si="40"/>
        <v>0</v>
      </c>
      <c r="AF64" s="297">
        <f t="shared" si="41"/>
        <v>0</v>
      </c>
      <c r="AG64" s="297">
        <f t="shared" si="42"/>
        <v>0</v>
      </c>
      <c r="AH64" s="298">
        <f t="shared" si="43"/>
        <v>0</v>
      </c>
      <c r="AI64" s="299">
        <f t="shared" si="44"/>
        <v>0.49999999962087194</v>
      </c>
      <c r="AJ64" s="300">
        <f t="shared" si="45"/>
        <v>0.49999999962087194</v>
      </c>
      <c r="AK64" s="300">
        <f t="shared" si="46"/>
        <v>0.49999999962087194</v>
      </c>
      <c r="AL64" s="300">
        <f t="shared" si="47"/>
        <v>0.49996596978666119</v>
      </c>
      <c r="AM64" s="301">
        <f t="shared" si="48"/>
        <v>0.11782847022157542</v>
      </c>
      <c r="AN64" s="299">
        <f t="shared" si="60"/>
        <v>0.99374519890748736</v>
      </c>
      <c r="AO64" s="300">
        <f t="shared" si="60"/>
        <v>0.99329991717245192</v>
      </c>
      <c r="AP64" s="300">
        <f t="shared" si="60"/>
        <v>0.94806485028629373</v>
      </c>
      <c r="AQ64" s="300">
        <f t="shared" si="60"/>
        <v>0.92543775367364733</v>
      </c>
      <c r="AR64" s="598">
        <f t="shared" si="60"/>
        <v>0.99455438972168786</v>
      </c>
      <c r="AS64" s="282">
        <f t="shared" ca="1" si="50"/>
        <v>0.99999999924174388</v>
      </c>
      <c r="AT64" s="283">
        <f t="shared" ca="1" si="51"/>
        <v>0.99999999924174388</v>
      </c>
      <c r="AU64" s="283">
        <f t="shared" ca="1" si="52"/>
        <v>0.98864995926416654</v>
      </c>
      <c r="AV64" s="283">
        <f t="shared" si="53"/>
        <v>0</v>
      </c>
      <c r="AW64" s="284">
        <f t="shared" ca="1" si="54"/>
        <v>0.23565694044315083</v>
      </c>
      <c r="AX64" s="296">
        <f t="shared" ca="1" si="55"/>
        <v>0.993745198153974</v>
      </c>
      <c r="AY64" s="297">
        <f t="shared" ca="1" si="56"/>
        <v>0.99329991641927617</v>
      </c>
      <c r="AZ64" s="297">
        <f t="shared" ca="1" si="57"/>
        <v>0.93730427561533247</v>
      </c>
      <c r="BA64" s="283">
        <f t="shared" si="61"/>
        <v>0</v>
      </c>
      <c r="BB64" s="284">
        <f t="shared" ca="1" si="62"/>
        <v>0.23437364458611801</v>
      </c>
      <c r="BC64" s="282">
        <f t="shared" ca="1" si="63"/>
        <v>6.2548018460260035E-3</v>
      </c>
      <c r="BD64" s="283">
        <f t="shared" ca="1" si="64"/>
        <v>0.33143232681330498</v>
      </c>
      <c r="BE64" s="283">
        <f t="shared" ca="1" si="65"/>
        <v>0.33128381715339161</v>
      </c>
      <c r="BF64" s="283">
        <f t="shared" ca="1" si="66"/>
        <v>0.31260823959334028</v>
      </c>
      <c r="BG64" s="283">
        <f t="shared" ca="1" si="67"/>
        <v>0</v>
      </c>
      <c r="BH64" s="284">
        <f t="shared" ca="1" si="68"/>
        <v>1.8420814593937063E-2</v>
      </c>
    </row>
    <row r="65" spans="1:60" x14ac:dyDescent="0.2">
      <c r="A65" s="317">
        <v>2048</v>
      </c>
      <c r="B65" s="820">
        <f t="shared" si="73"/>
        <v>141725.82999999999</v>
      </c>
      <c r="C65" s="821">
        <f t="shared" si="73"/>
        <v>6735.78</v>
      </c>
      <c r="D65" s="821">
        <f t="shared" si="73"/>
        <v>6972.2</v>
      </c>
      <c r="E65" s="821">
        <f t="shared" si="73"/>
        <v>19491.580000000002</v>
      </c>
      <c r="F65" s="821">
        <f t="shared" si="73"/>
        <v>23092.14</v>
      </c>
      <c r="G65" s="822">
        <f t="shared" si="73"/>
        <v>5750.97</v>
      </c>
      <c r="H65" s="984">
        <f t="shared" si="74"/>
        <v>1</v>
      </c>
      <c r="I65" s="985">
        <f t="shared" si="74"/>
        <v>1</v>
      </c>
      <c r="J65" s="985">
        <f t="shared" si="74"/>
        <v>1</v>
      </c>
      <c r="K65" s="985">
        <f t="shared" si="74"/>
        <v>0.84161235437140414</v>
      </c>
      <c r="L65" s="985">
        <f t="shared" si="74"/>
        <v>1</v>
      </c>
      <c r="M65" s="986">
        <f t="shared" si="74"/>
        <v>1</v>
      </c>
      <c r="N65" s="289">
        <f t="shared" si="28"/>
        <v>9548.3106886108289</v>
      </c>
      <c r="O65" s="290">
        <f t="shared" si="29"/>
        <v>8128.3904914718378</v>
      </c>
      <c r="P65" s="290">
        <f t="shared" si="30"/>
        <v>8083.4406952543313</v>
      </c>
      <c r="Q65" s="290">
        <f t="shared" si="31"/>
        <v>6790.9418953695777</v>
      </c>
      <c r="R65" s="290">
        <f t="shared" si="32"/>
        <v>4335.409998913964</v>
      </c>
      <c r="S65" s="292">
        <f t="shared" si="33"/>
        <v>6901.4103891070281</v>
      </c>
      <c r="T65" s="289">
        <f t="shared" si="34"/>
        <v>1419.9201971389912</v>
      </c>
      <c r="U65" s="290">
        <f t="shared" si="35"/>
        <v>1464.8699933564976</v>
      </c>
      <c r="V65" s="290">
        <f t="shared" si="36"/>
        <v>2757.3687932412513</v>
      </c>
      <c r="W65" s="290">
        <f t="shared" si="37"/>
        <v>5212.9006896968649</v>
      </c>
      <c r="X65" s="292">
        <f t="shared" si="38"/>
        <v>2646.9002995038009</v>
      </c>
      <c r="Y65" s="293">
        <f ca="1">IF(AND(Y$22=TRUE,INDEX(CDRANGE_CLS2,MATCH($A65,$A$24:$A$67,0),MATCH(Y$20,$B$20:$G$20,0))&lt;$D$6/OPDAYS_Cls2),86,payback(C65,T65,disc_rate/12,85))</f>
        <v>5</v>
      </c>
      <c r="Z65" s="294">
        <f ca="1">IF(AND(Z$22=TRUE,INDEX(CDRANGE_CLS2,MATCH($A65,$A$24:$A$67,0),MATCH(Z$20,$B$20:$G$20,0))&lt;$D$6/OPDAYS_Cls2),86,payback(D65,U65,disc_rate/12,85))</f>
        <v>5</v>
      </c>
      <c r="AA65" s="294">
        <f ca="1">IF(AND(AA$22=TRUE,INDEX(CDRANGE_CLS2,MATCH($A65,$A$24:$A$67,0),MATCH(AA$20,$B$20:$G$20,0))&lt;$D$6/OPDAYS_Cls2),86,payback(E65,V65,disc_rate/12,85))</f>
        <v>8</v>
      </c>
      <c r="AB65" s="294">
        <f>IF(AND(AB$22=TRUE,INDEX(CDRANGE_CLS2,MATCH($A65,$A$24:$A$67,0),MATCH(AB$20,$B$20:$G$20,0))&lt;$D$6/OPDAYS_Cls2),86,payback(F65,W65,disc_rate/12,85))</f>
        <v>86</v>
      </c>
      <c r="AC65" s="295">
        <f ca="1">IF(AND(AC$22=TRUE,INDEX(CDRANGE_CLS2,MATCH($A65,$A$24:$A$67,0),MATCH(AC$20,$B$20:$G$20,0))&lt;$D$6/OPDAYS_Cls2),86,payback(G65,X65,disc_rate/12,85))</f>
        <v>3</v>
      </c>
      <c r="AD65" s="296">
        <f t="shared" si="39"/>
        <v>0</v>
      </c>
      <c r="AE65" s="297">
        <f t="shared" si="40"/>
        <v>0</v>
      </c>
      <c r="AF65" s="297">
        <f t="shared" si="41"/>
        <v>0</v>
      </c>
      <c r="AG65" s="297">
        <f t="shared" si="42"/>
        <v>0</v>
      </c>
      <c r="AH65" s="298">
        <f t="shared" si="43"/>
        <v>0</v>
      </c>
      <c r="AI65" s="299">
        <f t="shared" si="44"/>
        <v>0.49999999962087194</v>
      </c>
      <c r="AJ65" s="300">
        <f t="shared" si="45"/>
        <v>0.49999999962087194</v>
      </c>
      <c r="AK65" s="300">
        <f t="shared" si="46"/>
        <v>0.49999999962087194</v>
      </c>
      <c r="AL65" s="300">
        <f t="shared" si="47"/>
        <v>0.49998619831278412</v>
      </c>
      <c r="AM65" s="301">
        <f t="shared" si="48"/>
        <v>0.12954116250433836</v>
      </c>
      <c r="AN65" s="299">
        <f t="shared" si="60"/>
        <v>0.99374519890748736</v>
      </c>
      <c r="AO65" s="300">
        <f t="shared" si="60"/>
        <v>0.99329991717245192</v>
      </c>
      <c r="AP65" s="300">
        <f t="shared" si="60"/>
        <v>0.94881596564646686</v>
      </c>
      <c r="AQ65" s="300">
        <f t="shared" si="60"/>
        <v>0.9289092822128403</v>
      </c>
      <c r="AR65" s="598">
        <f t="shared" si="60"/>
        <v>0.99543659655948713</v>
      </c>
      <c r="AS65" s="282">
        <f t="shared" ca="1" si="50"/>
        <v>0.99999999924174388</v>
      </c>
      <c r="AT65" s="283">
        <f t="shared" ca="1" si="51"/>
        <v>0.99999999924174388</v>
      </c>
      <c r="AU65" s="283">
        <f t="shared" ca="1" si="52"/>
        <v>0.98864995926416654</v>
      </c>
      <c r="AV65" s="283">
        <f t="shared" si="53"/>
        <v>0</v>
      </c>
      <c r="AW65" s="284">
        <f t="shared" ca="1" si="54"/>
        <v>0.25908232500867673</v>
      </c>
      <c r="AX65" s="296">
        <f t="shared" ca="1" si="55"/>
        <v>0.993745198153974</v>
      </c>
      <c r="AY65" s="297">
        <f t="shared" ca="1" si="56"/>
        <v>0.99329991641927617</v>
      </c>
      <c r="AZ65" s="297">
        <f t="shared" ca="1" si="57"/>
        <v>0.93804686578557028</v>
      </c>
      <c r="BA65" s="283">
        <f t="shared" si="61"/>
        <v>0</v>
      </c>
      <c r="BB65" s="284">
        <f t="shared" ca="1" si="62"/>
        <v>0.25790002783535604</v>
      </c>
      <c r="BC65" s="282">
        <f t="shared" ca="1" si="63"/>
        <v>6.2548018460260035E-3</v>
      </c>
      <c r="BD65" s="283">
        <f t="shared" ca="1" si="64"/>
        <v>0.33006666094567466</v>
      </c>
      <c r="BE65" s="283">
        <f t="shared" ca="1" si="65"/>
        <v>0.32991876321935126</v>
      </c>
      <c r="BF65" s="283">
        <f t="shared" ca="1" si="66"/>
        <v>0.31156678530428022</v>
      </c>
      <c r="BG65" s="283">
        <f t="shared" ca="1" si="67"/>
        <v>0</v>
      </c>
      <c r="BH65" s="284">
        <f t="shared" ca="1" si="68"/>
        <v>2.2192988684667916E-2</v>
      </c>
    </row>
    <row r="66" spans="1:60" x14ac:dyDescent="0.2">
      <c r="A66" s="317">
        <v>2049</v>
      </c>
      <c r="B66" s="820">
        <f t="shared" si="73"/>
        <v>141725.82999999999</v>
      </c>
      <c r="C66" s="821">
        <f t="shared" si="73"/>
        <v>6735.78</v>
      </c>
      <c r="D66" s="821">
        <f t="shared" si="73"/>
        <v>6972.2</v>
      </c>
      <c r="E66" s="821">
        <f t="shared" si="73"/>
        <v>19345.22</v>
      </c>
      <c r="F66" s="821">
        <f t="shared" si="73"/>
        <v>22513.17</v>
      </c>
      <c r="G66" s="822">
        <f t="shared" si="73"/>
        <v>5218.22</v>
      </c>
      <c r="H66" s="984">
        <f t="shared" si="74"/>
        <v>1</v>
      </c>
      <c r="I66" s="985">
        <f t="shared" si="74"/>
        <v>1</v>
      </c>
      <c r="J66" s="985">
        <f t="shared" si="74"/>
        <v>1</v>
      </c>
      <c r="K66" s="985">
        <f t="shared" si="74"/>
        <v>0.84150982375983585</v>
      </c>
      <c r="L66" s="985">
        <f t="shared" si="74"/>
        <v>1</v>
      </c>
      <c r="M66" s="986">
        <f t="shared" si="74"/>
        <v>1</v>
      </c>
      <c r="N66" s="289">
        <f t="shared" si="28"/>
        <v>9606.7598655353249</v>
      </c>
      <c r="O66" s="290">
        <f t="shared" si="29"/>
        <v>8178.1477469111824</v>
      </c>
      <c r="P66" s="290">
        <f t="shared" si="30"/>
        <v>8132.9227943149717</v>
      </c>
      <c r="Q66" s="290">
        <f t="shared" si="31"/>
        <v>6776.3286716596331</v>
      </c>
      <c r="R66" s="290">
        <f t="shared" si="32"/>
        <v>4245.1113446779827</v>
      </c>
      <c r="S66" s="292">
        <f t="shared" si="33"/>
        <v>6839.1762562825998</v>
      </c>
      <c r="T66" s="289">
        <f t="shared" si="34"/>
        <v>1428.6121186241426</v>
      </c>
      <c r="U66" s="290">
        <f t="shared" si="35"/>
        <v>1473.8370712203532</v>
      </c>
      <c r="V66" s="290">
        <f t="shared" si="36"/>
        <v>2830.4311938756919</v>
      </c>
      <c r="W66" s="290">
        <f t="shared" si="37"/>
        <v>5361.6485208573422</v>
      </c>
      <c r="X66" s="292">
        <f t="shared" si="38"/>
        <v>2767.5836092527252</v>
      </c>
      <c r="Y66" s="293">
        <f ca="1">IF(AND(Y$22=TRUE,INDEX(CDRANGE_CLS2,MATCH($A66,$A$24:$A$67,0),MATCH(Y$20,$B$20:$G$20,0))&lt;$D$6/OPDAYS_Cls2),86,payback(C66,T66,disc_rate/12,85))</f>
        <v>5</v>
      </c>
      <c r="Z66" s="294">
        <f ca="1">IF(AND(Z$22=TRUE,INDEX(CDRANGE_CLS2,MATCH($A66,$A$24:$A$67,0),MATCH(Z$20,$B$20:$G$20,0))&lt;$D$6/OPDAYS_Cls2),86,payback(D66,U66,disc_rate/12,85))</f>
        <v>5</v>
      </c>
      <c r="AA66" s="294">
        <f ca="1">IF(AND(AA$22=TRUE,INDEX(CDRANGE_CLS2,MATCH($A66,$A$24:$A$67,0),MATCH(AA$20,$B$20:$G$20,0))&lt;$D$6/OPDAYS_Cls2),86,payback(E66,V66,disc_rate/12,85))</f>
        <v>8</v>
      </c>
      <c r="AB66" s="294">
        <f>IF(AND(AB$22=TRUE,INDEX(CDRANGE_CLS2,MATCH($A66,$A$24:$A$67,0),MATCH(AB$20,$B$20:$G$20,0))&lt;$D$6/OPDAYS_Cls2),86,payback(F66,W66,disc_rate/12,85))</f>
        <v>86</v>
      </c>
      <c r="AC66" s="295">
        <f ca="1">IF(AND(AC$22=TRUE,INDEX(CDRANGE_CLS2,MATCH($A66,$A$24:$A$67,0),MATCH(AC$20,$B$20:$G$20,0))&lt;$D$6/OPDAYS_Cls2),86,payback(G66,X66,disc_rate/12,85))</f>
        <v>2</v>
      </c>
      <c r="AD66" s="296">
        <f t="shared" si="39"/>
        <v>0</v>
      </c>
      <c r="AE66" s="297">
        <f t="shared" si="40"/>
        <v>0</v>
      </c>
      <c r="AF66" s="297">
        <f t="shared" si="41"/>
        <v>0</v>
      </c>
      <c r="AG66" s="297">
        <f t="shared" si="42"/>
        <v>0</v>
      </c>
      <c r="AH66" s="298">
        <f t="shared" si="43"/>
        <v>0</v>
      </c>
      <c r="AI66" s="299">
        <f t="shared" si="44"/>
        <v>0.49999999962087194</v>
      </c>
      <c r="AJ66" s="300">
        <f t="shared" si="45"/>
        <v>0.49999999962087194</v>
      </c>
      <c r="AK66" s="300">
        <f t="shared" si="46"/>
        <v>0.49999999962087194</v>
      </c>
      <c r="AL66" s="300">
        <f t="shared" si="47"/>
        <v>0.49999473991021715</v>
      </c>
      <c r="AM66" s="301">
        <f t="shared" si="48"/>
        <v>0.15468482913019341</v>
      </c>
      <c r="AN66" s="299">
        <f t="shared" si="60"/>
        <v>0.99374519890748736</v>
      </c>
      <c r="AO66" s="300">
        <f t="shared" si="60"/>
        <v>0.99329991717245192</v>
      </c>
      <c r="AP66" s="300">
        <f t="shared" si="60"/>
        <v>0.9495621016731417</v>
      </c>
      <c r="AQ66" s="300">
        <f t="shared" si="60"/>
        <v>0.9323073920348468</v>
      </c>
      <c r="AR66" s="598">
        <f t="shared" si="60"/>
        <v>0.99624139403125789</v>
      </c>
      <c r="AS66" s="282">
        <f t="shared" ca="1" si="50"/>
        <v>0.99999999924174388</v>
      </c>
      <c r="AT66" s="283">
        <f t="shared" ca="1" si="51"/>
        <v>0.99999999924174388</v>
      </c>
      <c r="AU66" s="283">
        <f t="shared" ca="1" si="52"/>
        <v>0.98864995926416654</v>
      </c>
      <c r="AV66" s="283">
        <f t="shared" si="53"/>
        <v>0</v>
      </c>
      <c r="AW66" s="284">
        <f t="shared" ca="1" si="54"/>
        <v>0.30936965826038682</v>
      </c>
      <c r="AX66" s="296">
        <f t="shared" ca="1" si="55"/>
        <v>0.993745198153974</v>
      </c>
      <c r="AY66" s="297">
        <f t="shared" ca="1" si="56"/>
        <v>0.99329991641927617</v>
      </c>
      <c r="AZ66" s="297">
        <f t="shared" ca="1" si="57"/>
        <v>0.93878453313794796</v>
      </c>
      <c r="BA66" s="283">
        <f t="shared" si="61"/>
        <v>0</v>
      </c>
      <c r="BB66" s="284">
        <f t="shared" ca="1" si="62"/>
        <v>0.30820685961630162</v>
      </c>
      <c r="BC66" s="282">
        <f t="shared" ca="1" si="63"/>
        <v>6.2548018460261146E-3</v>
      </c>
      <c r="BD66" s="283">
        <f t="shared" ca="1" si="64"/>
        <v>0.32686886671457421</v>
      </c>
      <c r="BE66" s="283">
        <f t="shared" ca="1" si="65"/>
        <v>0.32672240187000468</v>
      </c>
      <c r="BF66" s="283">
        <f t="shared" ca="1" si="66"/>
        <v>0.30879086209020951</v>
      </c>
      <c r="BG66" s="283">
        <f t="shared" ca="1" si="67"/>
        <v>0</v>
      </c>
      <c r="BH66" s="284">
        <f t="shared" ca="1" si="68"/>
        <v>3.1363067479185484E-2</v>
      </c>
    </row>
    <row r="67" spans="1:60" ht="15" thickBot="1" x14ac:dyDescent="0.25">
      <c r="A67" s="302">
        <v>2050</v>
      </c>
      <c r="B67" s="823">
        <f t="shared" si="73"/>
        <v>141725.82999999999</v>
      </c>
      <c r="C67" s="824">
        <f t="shared" si="73"/>
        <v>6735.78</v>
      </c>
      <c r="D67" s="824">
        <f t="shared" si="73"/>
        <v>6972.2</v>
      </c>
      <c r="E67" s="824">
        <f t="shared" si="73"/>
        <v>19198.87</v>
      </c>
      <c r="F67" s="824">
        <f t="shared" si="73"/>
        <v>21934.21</v>
      </c>
      <c r="G67" s="825">
        <f t="shared" si="73"/>
        <v>4685.4799999999996</v>
      </c>
      <c r="H67" s="978">
        <f t="shared" si="74"/>
        <v>1</v>
      </c>
      <c r="I67" s="979">
        <f t="shared" si="74"/>
        <v>1</v>
      </c>
      <c r="J67" s="979">
        <f t="shared" si="74"/>
        <v>1</v>
      </c>
      <c r="K67" s="979">
        <f t="shared" si="74"/>
        <v>0.84140729314826768</v>
      </c>
      <c r="L67" s="979">
        <f t="shared" si="74"/>
        <v>1</v>
      </c>
      <c r="M67" s="980">
        <f t="shared" si="74"/>
        <v>1</v>
      </c>
      <c r="N67" s="303">
        <f t="shared" si="28"/>
        <v>9660.6210562973247</v>
      </c>
      <c r="O67" s="304">
        <f t="shared" si="29"/>
        <v>8223.9992912447142</v>
      </c>
      <c r="P67" s="304">
        <f t="shared" si="30"/>
        <v>8178.5207807545739</v>
      </c>
      <c r="Q67" s="304">
        <f t="shared" si="31"/>
        <v>6763.9026863324452</v>
      </c>
      <c r="R67" s="304">
        <f t="shared" si="32"/>
        <v>4189.5841045373218</v>
      </c>
      <c r="S67" s="306">
        <f t="shared" si="33"/>
        <v>6778.054228168241</v>
      </c>
      <c r="T67" s="303">
        <f t="shared" si="34"/>
        <v>1436.6217650526105</v>
      </c>
      <c r="U67" s="304">
        <f t="shared" si="35"/>
        <v>1482.1002755427508</v>
      </c>
      <c r="V67" s="304">
        <f t="shared" si="36"/>
        <v>2896.7183699648795</v>
      </c>
      <c r="W67" s="304">
        <f t="shared" si="37"/>
        <v>5471.0369517600029</v>
      </c>
      <c r="X67" s="306">
        <f t="shared" si="38"/>
        <v>2882.5668281290837</v>
      </c>
      <c r="Y67" s="307">
        <f ca="1">IF(AND(Y$22=TRUE,INDEX(CDRANGE_CLS2,MATCH($A67,$A$24:$A$67,0),MATCH(Y$20,$B$20:$G$20,0))&lt;$D$6/OPDAYS_Cls2),86,payback(C67,T67,disc_rate/12,85))</f>
        <v>5</v>
      </c>
      <c r="Z67" s="308">
        <f ca="1">IF(AND(Z$22=TRUE,INDEX(CDRANGE_CLS2,MATCH($A67,$A$24:$A$67,0),MATCH(Z$20,$B$20:$G$20,0))&lt;$D$6/OPDAYS_Cls2),86,payback(D67,U67,disc_rate/12,85))</f>
        <v>5</v>
      </c>
      <c r="AA67" s="308">
        <f ca="1">IF(AND(AA$22=TRUE,INDEX(CDRANGE_CLS2,MATCH($A67,$A$24:$A$67,0),MATCH(AA$20,$B$20:$G$20,0))&lt;$D$6/OPDAYS_Cls2),86,payback(E67,V67,disc_rate/12,85))</f>
        <v>7</v>
      </c>
      <c r="AB67" s="308">
        <f>IF(AND(AB$22=TRUE,INDEX(CDRANGE_CLS2,MATCH($A67,$A$24:$A$67,0),MATCH(AB$20,$B$20:$G$20,0))&lt;$D$6/OPDAYS_Cls2),86,payback(F67,W67,disc_rate/12,85))</f>
        <v>86</v>
      </c>
      <c r="AC67" s="309">
        <f ca="1">IF(AND(AC$22=TRUE,INDEX(CDRANGE_CLS2,MATCH($A67,$A$24:$A$67,0),MATCH(AC$20,$B$20:$G$20,0))&lt;$D$6/OPDAYS_Cls2),86,payback(G67,X67,disc_rate/12,85))</f>
        <v>2</v>
      </c>
      <c r="AD67" s="310">
        <f t="shared" si="39"/>
        <v>0</v>
      </c>
      <c r="AE67" s="311">
        <f t="shared" si="40"/>
        <v>0</v>
      </c>
      <c r="AF67" s="311">
        <f t="shared" si="41"/>
        <v>0</v>
      </c>
      <c r="AG67" s="311">
        <f t="shared" si="42"/>
        <v>0</v>
      </c>
      <c r="AH67" s="312">
        <f t="shared" si="43"/>
        <v>1.0605082788761246E-2</v>
      </c>
      <c r="AI67" s="313">
        <f t="shared" si="44"/>
        <v>0.49999999962087194</v>
      </c>
      <c r="AJ67" s="314">
        <f t="shared" si="45"/>
        <v>0.49999999962087194</v>
      </c>
      <c r="AK67" s="314">
        <f t="shared" si="46"/>
        <v>0.49999999962087194</v>
      </c>
      <c r="AL67" s="314">
        <f t="shared" si="47"/>
        <v>0.49999890515837031</v>
      </c>
      <c r="AM67" s="315">
        <f t="shared" si="48"/>
        <v>0.16804211820484452</v>
      </c>
      <c r="AN67" s="313">
        <f t="shared" si="60"/>
        <v>0.99374519890748736</v>
      </c>
      <c r="AO67" s="314">
        <f t="shared" si="60"/>
        <v>0.99329991717245192</v>
      </c>
      <c r="AP67" s="314">
        <f t="shared" si="60"/>
        <v>0.95030314360815338</v>
      </c>
      <c r="AQ67" s="314">
        <f t="shared" si="60"/>
        <v>0.93563112657703895</v>
      </c>
      <c r="AR67" s="599">
        <f t="shared" si="60"/>
        <v>0.99696856293202085</v>
      </c>
      <c r="AS67" s="319">
        <f t="shared" ca="1" si="50"/>
        <v>0.99999999924174388</v>
      </c>
      <c r="AT67" s="320">
        <f t="shared" ca="1" si="51"/>
        <v>0.99999999924174388</v>
      </c>
      <c r="AU67" s="320">
        <f t="shared" ca="1" si="52"/>
        <v>0.99672728465125515</v>
      </c>
      <c r="AV67" s="320">
        <f t="shared" si="53"/>
        <v>0</v>
      </c>
      <c r="AW67" s="321">
        <f t="shared" ca="1" si="54"/>
        <v>0.33608423640968904</v>
      </c>
      <c r="AX67" s="310">
        <f t="shared" ca="1" si="55"/>
        <v>0.993745198153974</v>
      </c>
      <c r="AY67" s="311">
        <f t="shared" ca="1" si="56"/>
        <v>0.99329991641927617</v>
      </c>
      <c r="AZ67" s="311">
        <f t="shared" ca="1" si="57"/>
        <v>0.94719307192410651</v>
      </c>
      <c r="BA67" s="320">
        <f t="shared" si="61"/>
        <v>0</v>
      </c>
      <c r="BB67" s="321">
        <f t="shared" ca="1" si="62"/>
        <v>0.33506541819747326</v>
      </c>
      <c r="BC67" s="319">
        <f t="shared" ca="1" si="63"/>
        <v>6.2548018460262256E-3</v>
      </c>
      <c r="BD67" s="320">
        <f t="shared" ca="1" si="64"/>
        <v>0.32411508282139179</v>
      </c>
      <c r="BE67" s="320">
        <f t="shared" ca="1" si="65"/>
        <v>0.32396985190446403</v>
      </c>
      <c r="BF67" s="320">
        <f t="shared" ca="1" si="66"/>
        <v>0.30893186857639821</v>
      </c>
      <c r="BG67" s="320">
        <f t="shared" ca="1" si="67"/>
        <v>0</v>
      </c>
      <c r="BH67" s="321">
        <f t="shared" ca="1" si="68"/>
        <v>3.6728394851719783E-2</v>
      </c>
    </row>
    <row r="68" spans="1:60" x14ac:dyDescent="0.2">
      <c r="A68" s="227" t="str">
        <f>"Output generated: "&amp; TEXT(MAX($L$4,$L$5),"m/dd/yyyy hh:mm")</f>
        <v>Output generated: 7/21/2020 15:48</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53" t="s">
        <v>251</v>
      </c>
      <c r="C70" s="1554"/>
      <c r="D70" s="1554"/>
      <c r="E70" s="1554"/>
      <c r="F70" s="1554"/>
      <c r="G70" s="1554"/>
      <c r="H70" s="1554"/>
      <c r="I70" s="1554"/>
      <c r="J70" s="1554"/>
      <c r="K70" s="1554"/>
      <c r="L70" s="1554"/>
      <c r="M70" s="1554"/>
      <c r="N70" s="1555"/>
      <c r="O70" s="1553" t="s">
        <v>252</v>
      </c>
      <c r="P70" s="1554"/>
      <c r="Q70" s="1554"/>
      <c r="R70" s="1554"/>
      <c r="S70" s="1554"/>
      <c r="T70" s="1554"/>
      <c r="U70" s="1554"/>
      <c r="V70" s="1554"/>
      <c r="W70" s="1554"/>
      <c r="X70" s="1554"/>
      <c r="Y70" s="1554"/>
      <c r="Z70" s="1554"/>
      <c r="AA70" s="1555"/>
    </row>
    <row r="71" spans="1:60" x14ac:dyDescent="0.2">
      <c r="A71" s="324"/>
      <c r="B71" s="1556" t="s">
        <v>121</v>
      </c>
      <c r="C71" s="1557"/>
      <c r="D71" s="1557"/>
      <c r="E71" s="1557"/>
      <c r="F71" s="1557"/>
      <c r="G71" s="1557"/>
      <c r="H71" s="1557"/>
      <c r="I71" s="1557"/>
      <c r="J71" s="1557"/>
      <c r="K71" s="1557"/>
      <c r="L71" s="1557"/>
      <c r="M71" s="382"/>
      <c r="N71" s="325"/>
      <c r="O71" s="1556" t="s">
        <v>121</v>
      </c>
      <c r="P71" s="1557"/>
      <c r="Q71" s="1557"/>
      <c r="R71" s="1557"/>
      <c r="S71" s="1557"/>
      <c r="T71" s="1557"/>
      <c r="U71" s="1557"/>
      <c r="V71" s="1557"/>
      <c r="W71" s="1557"/>
      <c r="X71" s="1557"/>
      <c r="Y71" s="1557"/>
      <c r="Z71" s="382"/>
      <c r="AA71" s="325"/>
      <c r="AC71" s="955"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7"/>
      <c r="AC72" s="955"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10">
        <v>5.2963907111801883E-3</v>
      </c>
      <c r="Z73" s="384"/>
      <c r="AA73" s="336"/>
    </row>
    <row r="74" spans="1:60" s="228" customFormat="1" x14ac:dyDescent="0.2">
      <c r="A74" s="331" t="s">
        <v>125</v>
      </c>
      <c r="B74" s="924">
        <f t="array" ref="B74:L74">TRANSPOSE(Cls2CentVMTShr)</f>
        <v>6.3375455551975849E-3</v>
      </c>
      <c r="C74" s="925">
        <v>3.496913005496359E-2</v>
      </c>
      <c r="D74" s="925">
        <v>5.9955127131675522E-2</v>
      </c>
      <c r="E74" s="925">
        <v>8.4599669387910512E-2</v>
      </c>
      <c r="F74" s="925">
        <v>0.12702701008436962</v>
      </c>
      <c r="G74" s="925">
        <v>6.7204731283582092E-2</v>
      </c>
      <c r="H74" s="925">
        <v>8.8708982453757024E-2</v>
      </c>
      <c r="I74" s="925">
        <v>6.4694225377098208E-2</v>
      </c>
      <c r="J74" s="925">
        <v>3.2526447027526634E-2</v>
      </c>
      <c r="K74" s="925">
        <v>1.589064319454132E-2</v>
      </c>
      <c r="L74" s="1211">
        <v>3.2608183213810787E-2</v>
      </c>
      <c r="M74" s="1212"/>
      <c r="N74" s="1213"/>
      <c r="O74" s="924">
        <f t="array" ref="O74:Y74">TRANSPOSE(Cls2NCentVMTShr)</f>
        <v>8.1228463417563086E-3</v>
      </c>
      <c r="P74" s="925">
        <v>2.7563836768431361E-2</v>
      </c>
      <c r="Q74" s="925">
        <v>4.1883113088337191E-2</v>
      </c>
      <c r="R74" s="925">
        <v>6.4289357588678764E-2</v>
      </c>
      <c r="S74" s="925">
        <v>9.1183275251204537E-2</v>
      </c>
      <c r="T74" s="925">
        <v>5.1984283219922628E-2</v>
      </c>
      <c r="U74" s="925">
        <v>5.0286059545109812E-2</v>
      </c>
      <c r="V74" s="925">
        <v>1.5542287574292338E-2</v>
      </c>
      <c r="W74" s="925">
        <v>1.4506257462625264E-2</v>
      </c>
      <c r="X74" s="925">
        <v>4.9330966304706684E-3</v>
      </c>
      <c r="Y74" s="926">
        <v>1.5183891764738403E-2</v>
      </c>
      <c r="Z74" s="1212"/>
      <c r="AA74" s="1213"/>
      <c r="AB74" s="1550" t="str">
        <f>"% of miles on f2 for Tech "&amp; RIGHT(O69)&amp;" adopters"</f>
        <v>% of miles on f2 for Tech  adopters</v>
      </c>
      <c r="AC74" s="1551"/>
      <c r="AD74" s="1552"/>
      <c r="AE74" s="1174" t="s">
        <v>298</v>
      </c>
      <c r="AF74" s="1174"/>
      <c r="AG74" s="1174"/>
      <c r="AH74" s="1175" t="s">
        <v>297</v>
      </c>
      <c r="AI74" s="1176"/>
    </row>
    <row r="75" spans="1:60" ht="15" thickBot="1" x14ac:dyDescent="0.25">
      <c r="A75" s="943" t="s">
        <v>266</v>
      </c>
      <c r="B75" s="934">
        <f t="array" ref="B75:L75">TRANSPOSE(Cls2CentVMT/OPDAYS_Cls2)</f>
        <v>49.332453271995263</v>
      </c>
      <c r="C75" s="935">
        <v>120.11441047790339</v>
      </c>
      <c r="D75" s="935">
        <v>200.99157969807086</v>
      </c>
      <c r="E75" s="935">
        <v>280.98421424125928</v>
      </c>
      <c r="F75" s="935">
        <v>358.20644524895255</v>
      </c>
      <c r="G75" s="935">
        <v>432.82805471770689</v>
      </c>
      <c r="H75" s="935">
        <v>517.10615118099815</v>
      </c>
      <c r="I75" s="935">
        <v>597.8087063838957</v>
      </c>
      <c r="J75" s="935">
        <v>676.93419409560215</v>
      </c>
      <c r="K75" s="935">
        <v>746.82245226325631</v>
      </c>
      <c r="L75" s="936">
        <v>895.92826380844349</v>
      </c>
      <c r="M75" s="932"/>
      <c r="N75" s="933"/>
      <c r="O75" s="934">
        <f t="array" ref="O75:Y75">TRANSPOSE(Cls2NCentVMT/OPDAYS_Cls2)</f>
        <v>54.31462614952413</v>
      </c>
      <c r="P75" s="935">
        <v>126.62311644744663</v>
      </c>
      <c r="Q75" s="935">
        <v>206.96826351576016</v>
      </c>
      <c r="R75" s="935">
        <v>286.46600131499179</v>
      </c>
      <c r="S75" s="935">
        <v>358.9638908170715</v>
      </c>
      <c r="T75" s="935">
        <v>450.55545819643328</v>
      </c>
      <c r="U75" s="935">
        <v>511.93098482414172</v>
      </c>
      <c r="V75" s="935">
        <v>579.22933632093111</v>
      </c>
      <c r="W75" s="935">
        <v>695.25665569614875</v>
      </c>
      <c r="X75" s="935">
        <v>759.80682330760794</v>
      </c>
      <c r="Y75" s="1214">
        <v>882.81167173661356</v>
      </c>
      <c r="Z75" s="944"/>
      <c r="AA75" s="933"/>
      <c r="AB75" s="946" t="s">
        <v>186</v>
      </c>
      <c r="AC75" s="947" t="s">
        <v>15</v>
      </c>
      <c r="AD75" s="948" t="s">
        <v>18</v>
      </c>
      <c r="AE75" s="938" t="s">
        <v>186</v>
      </c>
      <c r="AF75" s="938" t="s">
        <v>15</v>
      </c>
      <c r="AG75" s="938" t="s">
        <v>18</v>
      </c>
      <c r="AH75" s="1173" t="s">
        <v>186</v>
      </c>
      <c r="AI75" s="938"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9">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50">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7">
        <f t="shared" ref="AD76:AD101" si="75">AB76*AH76+AC76*AI76</f>
        <v>0</v>
      </c>
      <c r="AE76" s="938">
        <f t="shared" ref="AE76:AE90" si="76">SUMPRODUCT($B$74:$L$74,B76:L76)</f>
        <v>0</v>
      </c>
      <c r="AF76" s="938">
        <f t="shared" ref="AF76:AF90" si="77">SUMPRODUCT($O$74:$Y$74,O76:Y76)</f>
        <v>0</v>
      </c>
      <c r="AG76" s="938">
        <f t="shared" ref="AG76:AG90" si="78">SUM(AE76:AF76)</f>
        <v>0</v>
      </c>
      <c r="AH76" s="1173">
        <f>IF(AG76&gt;0,AE76/AG76,0)</f>
        <v>0</v>
      </c>
      <c r="AI76" s="938">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9">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50">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7">
        <f t="shared" si="75"/>
        <v>0</v>
      </c>
      <c r="AE77" s="938">
        <f t="shared" si="76"/>
        <v>0</v>
      </c>
      <c r="AF77" s="938">
        <f t="shared" si="77"/>
        <v>0</v>
      </c>
      <c r="AG77" s="938">
        <f t="shared" si="78"/>
        <v>0</v>
      </c>
      <c r="AH77" s="1173">
        <f t="shared" ref="AH77:AH119" si="83">IF(AG77&gt;0,AE77/AG77,0)</f>
        <v>0</v>
      </c>
      <c r="AI77" s="938">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9">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50">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7">
        <f t="shared" si="75"/>
        <v>0</v>
      </c>
      <c r="AE78" s="938">
        <f t="shared" si="76"/>
        <v>0</v>
      </c>
      <c r="AF78" s="938">
        <f t="shared" si="77"/>
        <v>0</v>
      </c>
      <c r="AG78" s="938">
        <f t="shared" si="78"/>
        <v>0</v>
      </c>
      <c r="AH78" s="1173">
        <f t="shared" si="83"/>
        <v>0</v>
      </c>
      <c r="AI78" s="938">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9">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50">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7">
        <f t="shared" si="75"/>
        <v>0</v>
      </c>
      <c r="AE79" s="938">
        <f t="shared" si="76"/>
        <v>0</v>
      </c>
      <c r="AF79" s="938">
        <f t="shared" si="77"/>
        <v>0</v>
      </c>
      <c r="AG79" s="938">
        <f t="shared" si="78"/>
        <v>0</v>
      </c>
      <c r="AH79" s="1173">
        <f t="shared" si="83"/>
        <v>0</v>
      </c>
      <c r="AI79" s="938">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9">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50">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7">
        <f t="shared" si="75"/>
        <v>0</v>
      </c>
      <c r="AE80" s="938">
        <f t="shared" si="76"/>
        <v>0</v>
      </c>
      <c r="AF80" s="938">
        <f t="shared" si="77"/>
        <v>0</v>
      </c>
      <c r="AG80" s="938">
        <f t="shared" si="78"/>
        <v>0</v>
      </c>
      <c r="AH80" s="1173">
        <f t="shared" si="83"/>
        <v>0</v>
      </c>
      <c r="AI80" s="938">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9">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50">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7">
        <f t="shared" si="75"/>
        <v>0</v>
      </c>
      <c r="AE81" s="938">
        <f t="shared" si="76"/>
        <v>0</v>
      </c>
      <c r="AF81" s="938">
        <f t="shared" si="77"/>
        <v>0</v>
      </c>
      <c r="AG81" s="938">
        <f t="shared" si="78"/>
        <v>0</v>
      </c>
      <c r="AH81" s="1173">
        <f t="shared" si="83"/>
        <v>0</v>
      </c>
      <c r="AI81" s="938">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9">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50">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7">
        <f t="shared" si="75"/>
        <v>0</v>
      </c>
      <c r="AE82" s="938">
        <f t="shared" si="76"/>
        <v>0</v>
      </c>
      <c r="AF82" s="938">
        <f t="shared" si="77"/>
        <v>0</v>
      </c>
      <c r="AG82" s="938">
        <f t="shared" si="78"/>
        <v>0</v>
      </c>
      <c r="AH82" s="1173">
        <f t="shared" si="83"/>
        <v>0</v>
      </c>
      <c r="AI82" s="938">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9">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50">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7">
        <f t="shared" si="75"/>
        <v>0</v>
      </c>
      <c r="AE83" s="938">
        <f t="shared" si="76"/>
        <v>0</v>
      </c>
      <c r="AF83" s="938">
        <f t="shared" si="77"/>
        <v>0</v>
      </c>
      <c r="AG83" s="938">
        <f t="shared" si="78"/>
        <v>0</v>
      </c>
      <c r="AH83" s="1173">
        <f t="shared" si="83"/>
        <v>0</v>
      </c>
      <c r="AI83" s="938">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9">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50">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7">
        <f t="shared" si="75"/>
        <v>0</v>
      </c>
      <c r="AE84" s="938">
        <f t="shared" si="76"/>
        <v>0</v>
      </c>
      <c r="AF84" s="938">
        <f t="shared" si="77"/>
        <v>0</v>
      </c>
      <c r="AG84" s="938">
        <f t="shared" si="78"/>
        <v>0</v>
      </c>
      <c r="AH84" s="1173">
        <f t="shared" si="83"/>
        <v>0</v>
      </c>
      <c r="AI84" s="938">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9">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50">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7">
        <f t="shared" si="75"/>
        <v>0</v>
      </c>
      <c r="AE85" s="938">
        <f t="shared" si="76"/>
        <v>0</v>
      </c>
      <c r="AF85" s="938">
        <f t="shared" si="77"/>
        <v>0</v>
      </c>
      <c r="AG85" s="938">
        <f t="shared" si="78"/>
        <v>0</v>
      </c>
      <c r="AH85" s="1173">
        <f t="shared" si="83"/>
        <v>0</v>
      </c>
      <c r="AI85" s="938">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9">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50">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7">
        <f t="shared" si="75"/>
        <v>0</v>
      </c>
      <c r="AE86" s="938">
        <f t="shared" si="76"/>
        <v>0</v>
      </c>
      <c r="AF86" s="938">
        <f t="shared" si="77"/>
        <v>0</v>
      </c>
      <c r="AG86" s="938">
        <f t="shared" si="78"/>
        <v>0</v>
      </c>
      <c r="AH86" s="1173">
        <f t="shared" si="83"/>
        <v>0</v>
      </c>
      <c r="AI86" s="938">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9">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50">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7">
        <f t="shared" si="75"/>
        <v>0</v>
      </c>
      <c r="AE87" s="938">
        <f t="shared" si="76"/>
        <v>0</v>
      </c>
      <c r="AF87" s="938">
        <f t="shared" si="77"/>
        <v>0</v>
      </c>
      <c r="AG87" s="938">
        <f t="shared" si="78"/>
        <v>0</v>
      </c>
      <c r="AH87" s="1173">
        <f t="shared" si="83"/>
        <v>0</v>
      </c>
      <c r="AI87" s="938">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9">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50">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7">
        <f t="shared" si="75"/>
        <v>0</v>
      </c>
      <c r="AE88" s="938">
        <f t="shared" si="76"/>
        <v>0</v>
      </c>
      <c r="AF88" s="938">
        <f t="shared" si="77"/>
        <v>0</v>
      </c>
      <c r="AG88" s="938">
        <f t="shared" si="78"/>
        <v>0</v>
      </c>
      <c r="AH88" s="1173">
        <f t="shared" si="83"/>
        <v>0</v>
      </c>
      <c r="AI88" s="938">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9">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50">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7">
        <f t="shared" si="75"/>
        <v>0</v>
      </c>
      <c r="AE89" s="938">
        <f t="shared" si="76"/>
        <v>0</v>
      </c>
      <c r="AF89" s="938">
        <f t="shared" si="77"/>
        <v>0</v>
      </c>
      <c r="AG89" s="938">
        <f t="shared" si="78"/>
        <v>0</v>
      </c>
      <c r="AH89" s="1173">
        <f t="shared" si="83"/>
        <v>0</v>
      </c>
      <c r="AI89" s="938">
        <f t="shared" si="84"/>
        <v>0</v>
      </c>
    </row>
    <row r="90" spans="1:38" x14ac:dyDescent="0.2">
      <c r="A90" s="329">
        <v>2021</v>
      </c>
      <c r="B90" s="342">
        <v>1.2167783817670504E-2</v>
      </c>
      <c r="C90" s="343">
        <v>1.2167783817670504E-2</v>
      </c>
      <c r="D90" s="343">
        <v>1.2167783817670504E-2</v>
      </c>
      <c r="E90" s="343">
        <v>1.28456628671452E-2</v>
      </c>
      <c r="F90" s="343">
        <v>2.0495580644297212E-2</v>
      </c>
      <c r="G90" s="343">
        <v>2.4358079611735538E-2</v>
      </c>
      <c r="H90" s="343">
        <v>2.7822202641438275E-2</v>
      </c>
      <c r="I90" s="343">
        <v>2.9474414691383944E-2</v>
      </c>
      <c r="J90" s="343">
        <v>2.8350661009308165E-2</v>
      </c>
      <c r="K90" s="343">
        <v>2.7793546171796014E-2</v>
      </c>
      <c r="L90" s="379">
        <v>2.618069659582993E-2</v>
      </c>
      <c r="M90" s="282">
        <f t="shared" si="79"/>
        <v>1.3151753343408575E-2</v>
      </c>
      <c r="N90" s="284">
        <f t="shared" si="80"/>
        <v>1.0630688940053618E-2</v>
      </c>
      <c r="O90" s="342">
        <v>1.2167783817670504E-2</v>
      </c>
      <c r="P90" s="343">
        <v>1.2167783817670504E-2</v>
      </c>
      <c r="Q90" s="343">
        <v>1.2167783817670504E-2</v>
      </c>
      <c r="R90" s="343">
        <v>1.5291481597314584E-2</v>
      </c>
      <c r="S90" s="343">
        <v>2.180586488486632E-2</v>
      </c>
      <c r="T90" s="343">
        <v>2.6734022528630101E-2</v>
      </c>
      <c r="U90" s="343">
        <v>2.7822202641438275E-2</v>
      </c>
      <c r="V90" s="343">
        <v>2.9474414691383944E-2</v>
      </c>
      <c r="W90" s="343">
        <v>2.7793546171796014E-2</v>
      </c>
      <c r="X90" s="343">
        <v>2.7233973098824863E-2</v>
      </c>
      <c r="Y90" s="379">
        <v>2.6489374672282111E-2</v>
      </c>
      <c r="Z90" s="282">
        <f t="shared" si="81"/>
        <v>8.1019199413743335E-3</v>
      </c>
      <c r="AA90" s="284">
        <f t="shared" si="82"/>
        <v>7.305013512468316E-3</v>
      </c>
      <c r="AB90" s="949">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50">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7">
        <f t="shared" si="75"/>
        <v>0</v>
      </c>
      <c r="AE90" s="938">
        <f t="shared" si="76"/>
        <v>1.3151753343408575E-2</v>
      </c>
      <c r="AF90" s="938">
        <f t="shared" si="77"/>
        <v>8.1019199413743335E-3</v>
      </c>
      <c r="AG90" s="938">
        <f t="shared" si="78"/>
        <v>2.1253673284782906E-2</v>
      </c>
      <c r="AH90" s="1173">
        <f t="shared" si="83"/>
        <v>0.61879907379704091</v>
      </c>
      <c r="AI90" s="938">
        <f t="shared" si="84"/>
        <v>0.38120092620295914</v>
      </c>
    </row>
    <row r="91" spans="1:38" x14ac:dyDescent="0.2">
      <c r="A91" s="330">
        <v>2022</v>
      </c>
      <c r="B91" s="344">
        <v>3.4972827620437359E-2</v>
      </c>
      <c r="C91" s="345">
        <v>3.4972827620437359E-2</v>
      </c>
      <c r="D91" s="345">
        <v>3.4972827620437359E-2</v>
      </c>
      <c r="E91" s="345">
        <v>3.7426365594815179E-2</v>
      </c>
      <c r="F91" s="345">
        <v>5.4452899452474418E-2</v>
      </c>
      <c r="G91" s="345">
        <v>5.9168119317593242E-2</v>
      </c>
      <c r="H91" s="345">
        <v>5.9371794627590617E-2</v>
      </c>
      <c r="I91" s="345">
        <v>6.0466109587009723E-2</v>
      </c>
      <c r="J91" s="345">
        <v>6.2037920712922315E-2</v>
      </c>
      <c r="K91" s="345">
        <v>6.1527909627191298E-2</v>
      </c>
      <c r="L91" s="380">
        <v>6.1004387398543004E-2</v>
      </c>
      <c r="M91" s="296">
        <f t="shared" si="79"/>
        <v>3.1764489345165584E-2</v>
      </c>
      <c r="N91" s="298">
        <f t="shared" si="80"/>
        <v>2.7132960345801746E-2</v>
      </c>
      <c r="O91" s="344">
        <v>3.4972827620437359E-2</v>
      </c>
      <c r="P91" s="345">
        <v>3.4972827620437359E-2</v>
      </c>
      <c r="Q91" s="345">
        <v>3.4972827620437359E-2</v>
      </c>
      <c r="R91" s="345">
        <v>4.0724690072332238E-2</v>
      </c>
      <c r="S91" s="345">
        <v>5.511279408598866E-2</v>
      </c>
      <c r="T91" s="345">
        <v>5.931243987981915E-2</v>
      </c>
      <c r="U91" s="345">
        <v>6.0615870391450943E-2</v>
      </c>
      <c r="V91" s="345">
        <v>6.0466109587009723E-2</v>
      </c>
      <c r="W91" s="345">
        <v>6.10211550103852E-2</v>
      </c>
      <c r="X91" s="345">
        <v>6.0670091450987826E-2</v>
      </c>
      <c r="Y91" s="380">
        <v>6.1004387398543004E-2</v>
      </c>
      <c r="Z91" s="296">
        <f t="shared" si="81"/>
        <v>1.953835797590598E-2</v>
      </c>
      <c r="AA91" s="298">
        <f t="shared" si="82"/>
        <v>1.8536728623998654E-2</v>
      </c>
      <c r="AB91" s="949">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50">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7">
        <f t="shared" si="75"/>
        <v>0</v>
      </c>
      <c r="AE91" s="938">
        <f>SUMPRODUCT($B$74:$L$74,B91:L91)</f>
        <v>3.1764489345165584E-2</v>
      </c>
      <c r="AF91" s="938">
        <f>SUMPRODUCT($O$74:$Y$74,O91:Y91)</f>
        <v>1.953835797590598E-2</v>
      </c>
      <c r="AG91" s="938">
        <f>SUM(AE91:AF91)</f>
        <v>5.1302847321071564E-2</v>
      </c>
      <c r="AH91" s="1173">
        <f t="shared" si="83"/>
        <v>0.61915646019356485</v>
      </c>
      <c r="AI91" s="938">
        <f t="shared" si="84"/>
        <v>0.38084353980643509</v>
      </c>
      <c r="AK91" s="1172"/>
      <c r="AL91" s="1172"/>
    </row>
    <row r="92" spans="1:38" x14ac:dyDescent="0.2">
      <c r="A92" s="330">
        <v>2023</v>
      </c>
      <c r="B92" s="344">
        <v>8.8992333192876569E-2</v>
      </c>
      <c r="C92" s="345">
        <v>8.8992333192876569E-2</v>
      </c>
      <c r="D92" s="345">
        <v>8.8991113239137054E-2</v>
      </c>
      <c r="E92" s="345">
        <v>7.7118571474262529E-2</v>
      </c>
      <c r="F92" s="345">
        <v>0.10008989438888986</v>
      </c>
      <c r="G92" s="345">
        <v>0.11743899759928603</v>
      </c>
      <c r="H92" s="345">
        <v>0.12564222108301479</v>
      </c>
      <c r="I92" s="345">
        <v>0.13137084756162576</v>
      </c>
      <c r="J92" s="345">
        <v>0.13157646525278049</v>
      </c>
      <c r="K92" s="345">
        <v>0.13184808070080414</v>
      </c>
      <c r="L92" s="380">
        <v>0.13468296082680303</v>
      </c>
      <c r="M92" s="296">
        <f t="shared" si="79"/>
        <v>6.6553394098446822E-2</v>
      </c>
      <c r="N92" s="298">
        <f t="shared" si="80"/>
        <v>5.8703825013296379E-2</v>
      </c>
      <c r="O92" s="344">
        <v>8.8992333192876569E-2</v>
      </c>
      <c r="P92" s="345">
        <v>8.8992333192876569E-2</v>
      </c>
      <c r="Q92" s="345">
        <v>8.8149673437603021E-2</v>
      </c>
      <c r="R92" s="345">
        <v>8.6646398231986457E-2</v>
      </c>
      <c r="S92" s="345">
        <v>0.10463023422139384</v>
      </c>
      <c r="T92" s="345">
        <v>0.11860326644283373</v>
      </c>
      <c r="U92" s="345">
        <v>0.1232191197772106</v>
      </c>
      <c r="V92" s="345">
        <v>0.12916876571906971</v>
      </c>
      <c r="W92" s="345">
        <v>0.13354793405478324</v>
      </c>
      <c r="X92" s="345">
        <v>0.1350359372819166</v>
      </c>
      <c r="Y92" s="380">
        <v>0.13468296082680303</v>
      </c>
      <c r="Z92" s="296">
        <f t="shared" si="81"/>
        <v>4.0996518093646295E-2</v>
      </c>
      <c r="AA92" s="298">
        <f t="shared" si="82"/>
        <v>4.0579094094165019E-2</v>
      </c>
      <c r="AB92" s="949">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50">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7">
        <f t="shared" si="75"/>
        <v>0</v>
      </c>
      <c r="AE92" s="938">
        <f t="shared" ref="AE92:AE119" si="85">SUMPRODUCT($B$74:$L$74,B92:L92)</f>
        <v>6.6553394098446822E-2</v>
      </c>
      <c r="AF92" s="938">
        <f t="shared" ref="AF92:AF119" si="86">SUMPRODUCT($O$74:$Y$74,O92:Y92)</f>
        <v>4.0996518093646295E-2</v>
      </c>
      <c r="AG92" s="938">
        <f t="shared" ref="AG92:AG119" si="87">SUM(AE92:AF92)</f>
        <v>0.10754991219209312</v>
      </c>
      <c r="AH92" s="1173">
        <f t="shared" si="83"/>
        <v>0.61881402543199582</v>
      </c>
      <c r="AI92" s="938">
        <f t="shared" si="84"/>
        <v>0.38118597456800424</v>
      </c>
      <c r="AK92" s="1172"/>
      <c r="AL92" s="1172"/>
    </row>
    <row r="93" spans="1:38" x14ac:dyDescent="0.2">
      <c r="A93" s="330">
        <v>2024</v>
      </c>
      <c r="B93" s="344">
        <v>3.8318438666002423E-2</v>
      </c>
      <c r="C93" s="345">
        <v>3.8318438666002423E-2</v>
      </c>
      <c r="D93" s="345">
        <v>5.0165659621947072E-2</v>
      </c>
      <c r="E93" s="345">
        <v>0.1218452389158127</v>
      </c>
      <c r="F93" s="345">
        <v>0.1758793938045492</v>
      </c>
      <c r="G93" s="345">
        <v>0.19573440546372786</v>
      </c>
      <c r="H93" s="345">
        <v>0.21800095830171015</v>
      </c>
      <c r="I93" s="345">
        <v>0.22699365285109202</v>
      </c>
      <c r="J93" s="345">
        <v>0.24083235527560634</v>
      </c>
      <c r="K93" s="345">
        <v>0.24480601319079578</v>
      </c>
      <c r="L93" s="380">
        <v>0.24552738051504269</v>
      </c>
      <c r="M93" s="296">
        <f t="shared" si="79"/>
        <v>0.10414784378082527</v>
      </c>
      <c r="N93" s="298">
        <f t="shared" si="80"/>
        <v>7.6421195147962931E-2</v>
      </c>
      <c r="O93" s="344">
        <v>3.8318438666002423E-2</v>
      </c>
      <c r="P93" s="345">
        <v>3.7806903030579729E-2</v>
      </c>
      <c r="Q93" s="345">
        <v>6.3366603125108709E-2</v>
      </c>
      <c r="R93" s="345">
        <v>0.13822934845561038</v>
      </c>
      <c r="S93" s="345">
        <v>0.18422872625356151</v>
      </c>
      <c r="T93" s="345">
        <v>0.21094638524319897</v>
      </c>
      <c r="U93" s="345">
        <v>0.22459207666776035</v>
      </c>
      <c r="V93" s="345">
        <v>0.22699365285109202</v>
      </c>
      <c r="W93" s="345">
        <v>0.24480601319079578</v>
      </c>
      <c r="X93" s="345">
        <v>0.242043240192681</v>
      </c>
      <c r="Y93" s="380">
        <v>0.24809013858676535</v>
      </c>
      <c r="Z93" s="296">
        <f t="shared" si="81"/>
        <v>6.3992566731272224E-2</v>
      </c>
      <c r="AA93" s="298">
        <f t="shared" si="82"/>
        <v>5.1746074976336633E-2</v>
      </c>
      <c r="AB93" s="949">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50">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7">
        <f t="shared" si="75"/>
        <v>0</v>
      </c>
      <c r="AE93" s="938">
        <f t="shared" si="85"/>
        <v>0.10414784378082527</v>
      </c>
      <c r="AF93" s="938">
        <f t="shared" si="86"/>
        <v>6.3992566731272224E-2</v>
      </c>
      <c r="AG93" s="938">
        <f t="shared" si="87"/>
        <v>0.16814041051209749</v>
      </c>
      <c r="AH93" s="1173">
        <f t="shared" si="83"/>
        <v>0.61940995304833013</v>
      </c>
      <c r="AI93" s="938">
        <f t="shared" si="84"/>
        <v>0.38059004695166981</v>
      </c>
      <c r="AK93" s="1172"/>
      <c r="AL93" s="1172"/>
    </row>
    <row r="94" spans="1:38" ht="15" thickBot="1" x14ac:dyDescent="0.25">
      <c r="A94" s="328">
        <v>2025</v>
      </c>
      <c r="B94" s="346">
        <v>0</v>
      </c>
      <c r="C94" s="347">
        <v>4.7696371084037306E-4</v>
      </c>
      <c r="D94" s="347">
        <v>5.3002467890703731E-2</v>
      </c>
      <c r="E94" s="347">
        <v>0.15495838941372941</v>
      </c>
      <c r="F94" s="347">
        <v>0.23758807533953633</v>
      </c>
      <c r="G94" s="347">
        <v>0.28569525437950394</v>
      </c>
      <c r="H94" s="347">
        <v>0.31226518116618912</v>
      </c>
      <c r="I94" s="347">
        <v>0.33132045586478637</v>
      </c>
      <c r="J94" s="347">
        <v>0.3352205173837946</v>
      </c>
      <c r="K94" s="347">
        <v>0.34304466175499426</v>
      </c>
      <c r="L94" s="381">
        <v>0.35551759766486862</v>
      </c>
      <c r="M94" s="310">
        <f t="shared" si="79"/>
        <v>0.14276681526375545</v>
      </c>
      <c r="N94" s="312">
        <f t="shared" si="80"/>
        <v>9.7612845961488157E-2</v>
      </c>
      <c r="O94" s="346">
        <v>0</v>
      </c>
      <c r="P94" s="347">
        <v>2.1312500371599612E-3</v>
      </c>
      <c r="Q94" s="347">
        <v>6.7859802931701865E-2</v>
      </c>
      <c r="R94" s="347">
        <v>0.17739632789900964</v>
      </c>
      <c r="S94" s="347">
        <v>0.24984892566249706</v>
      </c>
      <c r="T94" s="347">
        <v>0.29070388451545953</v>
      </c>
      <c r="U94" s="347">
        <v>0.31226518116618912</v>
      </c>
      <c r="V94" s="347">
        <v>0.33132045586478637</v>
      </c>
      <c r="W94" s="347">
        <v>0.34700001161606681</v>
      </c>
      <c r="X94" s="347">
        <v>0.35328669686666858</v>
      </c>
      <c r="Y94" s="381">
        <v>0.35551759766486862</v>
      </c>
      <c r="Z94" s="310">
        <f t="shared" si="81"/>
        <v>8.5226370557006714E-2</v>
      </c>
      <c r="AA94" s="312">
        <f t="shared" si="82"/>
        <v>6.3505384882944077E-2</v>
      </c>
      <c r="AB94" s="949">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50">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7">
        <f t="shared" si="75"/>
        <v>0</v>
      </c>
      <c r="AE94" s="938">
        <f t="shared" si="85"/>
        <v>0.14276681526375545</v>
      </c>
      <c r="AF94" s="938">
        <f t="shared" si="86"/>
        <v>8.5226370557006714E-2</v>
      </c>
      <c r="AG94" s="938">
        <f t="shared" si="87"/>
        <v>0.22799318582076217</v>
      </c>
      <c r="AH94" s="1173">
        <f t="shared" si="83"/>
        <v>0.62618895713836031</v>
      </c>
      <c r="AI94" s="938">
        <f t="shared" si="84"/>
        <v>0.37381104286163969</v>
      </c>
      <c r="AK94" s="1172"/>
      <c r="AL94" s="1172"/>
    </row>
    <row r="95" spans="1:38" x14ac:dyDescent="0.2">
      <c r="A95" s="329">
        <v>2026</v>
      </c>
      <c r="B95" s="342">
        <v>0</v>
      </c>
      <c r="C95" s="343">
        <v>2.3138681644524614E-3</v>
      </c>
      <c r="D95" s="343">
        <v>9.8296222546688697E-2</v>
      </c>
      <c r="E95" s="343">
        <v>0.22040844040339627</v>
      </c>
      <c r="F95" s="343">
        <v>0.30764418499105622</v>
      </c>
      <c r="G95" s="343">
        <v>0.36341538118517064</v>
      </c>
      <c r="H95" s="343">
        <v>0.38176512718800676</v>
      </c>
      <c r="I95" s="343">
        <v>0.40373183129601292</v>
      </c>
      <c r="J95" s="343">
        <v>0.41315504965973915</v>
      </c>
      <c r="K95" s="343">
        <v>0.4213530062171742</v>
      </c>
      <c r="L95" s="379">
        <v>0.43346245124092414</v>
      </c>
      <c r="M95" s="282">
        <f t="shared" si="79"/>
        <v>0.18237668488966052</v>
      </c>
      <c r="N95" s="284">
        <f t="shared" si="80"/>
        <v>0.1279969638076682</v>
      </c>
      <c r="O95" s="342">
        <v>0</v>
      </c>
      <c r="P95" s="343">
        <v>7.2034425643970387E-3</v>
      </c>
      <c r="Q95" s="343">
        <v>0.12733861005932773</v>
      </c>
      <c r="R95" s="343">
        <v>0.24898201557757194</v>
      </c>
      <c r="S95" s="343">
        <v>0.32211760090835989</v>
      </c>
      <c r="T95" s="343">
        <v>0.37608524134987265</v>
      </c>
      <c r="U95" s="343">
        <v>0.39903493830705961</v>
      </c>
      <c r="V95" s="343">
        <v>0.40373183129601292</v>
      </c>
      <c r="W95" s="343">
        <v>0.4213530062171742</v>
      </c>
      <c r="X95" s="343">
        <v>0.42817716494024871</v>
      </c>
      <c r="Y95" s="379">
        <v>0.43346245124092414</v>
      </c>
      <c r="Z95" s="282">
        <f t="shared" si="81"/>
        <v>0.11160799767866361</v>
      </c>
      <c r="AA95" s="284">
        <f t="shared" si="82"/>
        <v>8.5448852397062999E-2</v>
      </c>
      <c r="AB95" s="949">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50">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7">
        <f t="shared" si="75"/>
        <v>0</v>
      </c>
      <c r="AE95" s="938">
        <f t="shared" si="85"/>
        <v>0.18237668488966052</v>
      </c>
      <c r="AF95" s="938">
        <f t="shared" si="86"/>
        <v>0.11160799767866361</v>
      </c>
      <c r="AG95" s="938">
        <f t="shared" si="87"/>
        <v>0.29398468256832411</v>
      </c>
      <c r="AH95" s="1173">
        <f t="shared" si="83"/>
        <v>0.62036118105328464</v>
      </c>
      <c r="AI95" s="938">
        <f t="shared" si="84"/>
        <v>0.37963881894671547</v>
      </c>
      <c r="AK95" s="1172"/>
      <c r="AL95" s="1172"/>
    </row>
    <row r="96" spans="1:38" x14ac:dyDescent="0.2">
      <c r="A96" s="330">
        <v>2027</v>
      </c>
      <c r="B96" s="344">
        <v>0</v>
      </c>
      <c r="C96" s="345">
        <v>5.848855779463826E-3</v>
      </c>
      <c r="D96" s="345">
        <v>0.13766347922691027</v>
      </c>
      <c r="E96" s="345">
        <v>0.26916928770946197</v>
      </c>
      <c r="F96" s="345">
        <v>0.34018844542694177</v>
      </c>
      <c r="G96" s="345">
        <v>0.40657771535581388</v>
      </c>
      <c r="H96" s="345">
        <v>0.42510519246522593</v>
      </c>
      <c r="I96" s="345">
        <v>0.45180315388209713</v>
      </c>
      <c r="J96" s="345">
        <v>0.45551536101314483</v>
      </c>
      <c r="K96" s="345">
        <v>0.46289280718888204</v>
      </c>
      <c r="L96" s="380">
        <v>0.46860661262467168</v>
      </c>
      <c r="M96" s="296">
        <f t="shared" si="79"/>
        <v>0.20615893583965347</v>
      </c>
      <c r="N96" s="298">
        <f t="shared" si="80"/>
        <v>0.14725286118733305</v>
      </c>
      <c r="O96" s="344">
        <v>0</v>
      </c>
      <c r="P96" s="345">
        <v>1.5341437913533042E-2</v>
      </c>
      <c r="Q96" s="345">
        <v>0.15539342935901571</v>
      </c>
      <c r="R96" s="345">
        <v>0.30084089429536848</v>
      </c>
      <c r="S96" s="345">
        <v>0.35567023377227569</v>
      </c>
      <c r="T96" s="345">
        <v>0.41946006106777944</v>
      </c>
      <c r="U96" s="345">
        <v>0.44221836716994162</v>
      </c>
      <c r="V96" s="345">
        <v>0.44665273256210825</v>
      </c>
      <c r="W96" s="345">
        <v>0.46289280718888204</v>
      </c>
      <c r="X96" s="345">
        <v>0.47147995632900075</v>
      </c>
      <c r="Y96" s="380">
        <v>0.4743564911241705</v>
      </c>
      <c r="Z96" s="296">
        <f t="shared" si="81"/>
        <v>0.12593130513531736</v>
      </c>
      <c r="AA96" s="298">
        <f t="shared" si="82"/>
        <v>9.7723099629169183E-2</v>
      </c>
      <c r="AB96" s="949">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50">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7">
        <f t="shared" si="75"/>
        <v>0</v>
      </c>
      <c r="AE96" s="938">
        <f t="shared" si="85"/>
        <v>0.20615893583965347</v>
      </c>
      <c r="AF96" s="938">
        <f t="shared" si="86"/>
        <v>0.12593130513531736</v>
      </c>
      <c r="AG96" s="938">
        <f t="shared" si="87"/>
        <v>0.33209024097497086</v>
      </c>
      <c r="AH96" s="1173">
        <f t="shared" si="83"/>
        <v>0.62079191256689581</v>
      </c>
      <c r="AI96" s="938">
        <f t="shared" si="84"/>
        <v>0.37920808743310408</v>
      </c>
      <c r="AK96" s="1172"/>
      <c r="AL96" s="1172"/>
    </row>
    <row r="97" spans="1:38" x14ac:dyDescent="0.2">
      <c r="A97" s="330">
        <v>2028</v>
      </c>
      <c r="B97" s="344">
        <v>0</v>
      </c>
      <c r="C97" s="345">
        <v>1.1439033001192178E-2</v>
      </c>
      <c r="D97" s="345">
        <v>0.16013333317554576</v>
      </c>
      <c r="E97" s="345">
        <v>0.31001713496753358</v>
      </c>
      <c r="F97" s="345">
        <v>0.39004942337353898</v>
      </c>
      <c r="G97" s="345">
        <v>0.43225418445732616</v>
      </c>
      <c r="H97" s="345">
        <v>0.44977796345805865</v>
      </c>
      <c r="I97" s="345">
        <v>0.47401866559327988</v>
      </c>
      <c r="J97" s="345">
        <v>0.47701131869602026</v>
      </c>
      <c r="K97" s="345">
        <v>0.48586052326998158</v>
      </c>
      <c r="L97" s="380">
        <v>0.48684471372367322</v>
      </c>
      <c r="M97" s="296">
        <f t="shared" si="79"/>
        <v>0.22450136993485312</v>
      </c>
      <c r="N97" s="298">
        <f t="shared" si="80"/>
        <v>0.16299449623214654</v>
      </c>
      <c r="O97" s="344">
        <v>0</v>
      </c>
      <c r="P97" s="345">
        <v>2.3371419111490505E-2</v>
      </c>
      <c r="Q97" s="345">
        <v>0.20056759176098896</v>
      </c>
      <c r="R97" s="345">
        <v>0.31801484963396498</v>
      </c>
      <c r="S97" s="345">
        <v>0.4048640980574123</v>
      </c>
      <c r="T97" s="345">
        <v>0.43807115879339892</v>
      </c>
      <c r="U97" s="345">
        <v>0.44977796345805865</v>
      </c>
      <c r="V97" s="345">
        <v>0.46940885593521653</v>
      </c>
      <c r="W97" s="345">
        <v>0.47701131869602026</v>
      </c>
      <c r="X97" s="345">
        <v>0.48289939866479442</v>
      </c>
      <c r="Y97" s="380">
        <v>0.48684471372367322</v>
      </c>
      <c r="Z97" s="296">
        <f t="shared" si="81"/>
        <v>0.1357865058961506</v>
      </c>
      <c r="AA97" s="298">
        <f t="shared" si="82"/>
        <v>0.10736898914751654</v>
      </c>
      <c r="AB97" s="949">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50">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7">
        <f t="shared" si="75"/>
        <v>0</v>
      </c>
      <c r="AE97" s="938">
        <f t="shared" si="85"/>
        <v>0.22450136993485312</v>
      </c>
      <c r="AF97" s="938">
        <f t="shared" si="86"/>
        <v>0.1357865058961506</v>
      </c>
      <c r="AG97" s="938">
        <f t="shared" si="87"/>
        <v>0.36028787583100375</v>
      </c>
      <c r="AH97" s="1173">
        <f t="shared" si="83"/>
        <v>0.62311663809680207</v>
      </c>
      <c r="AI97" s="938">
        <f t="shared" si="84"/>
        <v>0.37688336190319788</v>
      </c>
      <c r="AK97" s="1172"/>
      <c r="AL97" s="1172"/>
    </row>
    <row r="98" spans="1:38" x14ac:dyDescent="0.2">
      <c r="A98" s="330">
        <v>2029</v>
      </c>
      <c r="B98" s="344">
        <v>0</v>
      </c>
      <c r="C98" s="345">
        <v>1.5181123689611609E-2</v>
      </c>
      <c r="D98" s="345">
        <v>0.18860243343211133</v>
      </c>
      <c r="E98" s="345">
        <v>0.32154253432303909</v>
      </c>
      <c r="F98" s="345">
        <v>0.40935558410813</v>
      </c>
      <c r="G98" s="345">
        <v>0.43002377502490985</v>
      </c>
      <c r="H98" s="345">
        <v>0.47074859351432419</v>
      </c>
      <c r="I98" s="345">
        <v>0.47461592861092472</v>
      </c>
      <c r="J98" s="345">
        <v>0.48230272419930353</v>
      </c>
      <c r="K98" s="345">
        <v>0.4882561196386534</v>
      </c>
      <c r="L98" s="380">
        <v>0.49224519940708222</v>
      </c>
      <c r="M98" s="296">
        <f t="shared" si="79"/>
        <v>0.23190185183534859</v>
      </c>
      <c r="N98" s="298">
        <f t="shared" si="80"/>
        <v>0.17029749544886538</v>
      </c>
      <c r="O98" s="344">
        <v>0</v>
      </c>
      <c r="P98" s="345">
        <v>3.3835093176921946E-2</v>
      </c>
      <c r="Q98" s="345">
        <v>0.21002499509240549</v>
      </c>
      <c r="R98" s="345">
        <v>0.33806744954138218</v>
      </c>
      <c r="S98" s="345">
        <v>0.40158614903542317</v>
      </c>
      <c r="T98" s="345">
        <v>0.46076196281691528</v>
      </c>
      <c r="U98" s="345">
        <v>0.46538167441834005</v>
      </c>
      <c r="V98" s="345">
        <v>0.47461592861092472</v>
      </c>
      <c r="W98" s="345">
        <v>0.4882561196386534</v>
      </c>
      <c r="X98" s="345">
        <v>0.49424729754750196</v>
      </c>
      <c r="Y98" s="380">
        <v>0.49467070108802685</v>
      </c>
      <c r="Z98" s="296">
        <f t="shared" si="81"/>
        <v>0.13984437837812846</v>
      </c>
      <c r="AA98" s="298">
        <f t="shared" si="82"/>
        <v>0.11124673858620365</v>
      </c>
      <c r="AB98" s="949">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50">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7">
        <f t="shared" si="75"/>
        <v>0</v>
      </c>
      <c r="AE98" s="938">
        <f t="shared" si="85"/>
        <v>0.23190185183534859</v>
      </c>
      <c r="AF98" s="938">
        <f t="shared" si="86"/>
        <v>0.13984437837812846</v>
      </c>
      <c r="AG98" s="938">
        <f t="shared" si="87"/>
        <v>0.37174623021347708</v>
      </c>
      <c r="AH98" s="1173">
        <f t="shared" si="83"/>
        <v>0.62381762876836122</v>
      </c>
      <c r="AI98" s="938">
        <f t="shared" si="84"/>
        <v>0.37618237123163872</v>
      </c>
      <c r="AK98" s="1172"/>
      <c r="AL98" s="1172"/>
    </row>
    <row r="99" spans="1:38" ht="15" thickBot="1" x14ac:dyDescent="0.25">
      <c r="A99" s="328">
        <v>2030</v>
      </c>
      <c r="B99" s="346">
        <v>0</v>
      </c>
      <c r="C99" s="347">
        <v>2.5246811510953468E-2</v>
      </c>
      <c r="D99" s="347">
        <v>0.21083029850822768</v>
      </c>
      <c r="E99" s="347">
        <v>0.33936370893076667</v>
      </c>
      <c r="F99" s="347">
        <v>0.41779027205778818</v>
      </c>
      <c r="G99" s="347">
        <v>0.4446289462017991</v>
      </c>
      <c r="H99" s="347">
        <v>0.46716609751476856</v>
      </c>
      <c r="I99" s="347">
        <v>0.4841520280456727</v>
      </c>
      <c r="J99" s="347">
        <v>0.49012825071889982</v>
      </c>
      <c r="K99" s="347">
        <v>0.496142506878678</v>
      </c>
      <c r="L99" s="381">
        <v>0.49575509082309605</v>
      </c>
      <c r="M99" s="310">
        <f t="shared" si="79"/>
        <v>0.2379405884469874</v>
      </c>
      <c r="N99" s="312">
        <f t="shared" si="80"/>
        <v>0.17684872074111285</v>
      </c>
      <c r="O99" s="346">
        <v>0</v>
      </c>
      <c r="P99" s="347">
        <v>4.5141876575168036E-2</v>
      </c>
      <c r="Q99" s="347">
        <v>0.24125339377307006</v>
      </c>
      <c r="R99" s="347">
        <v>0.38027970271348532</v>
      </c>
      <c r="S99" s="347">
        <v>0.41779027205778818</v>
      </c>
      <c r="T99" s="347">
        <v>0.45651099804875211</v>
      </c>
      <c r="U99" s="347">
        <v>0.47643575880944866</v>
      </c>
      <c r="V99" s="347">
        <v>0.4841520280456727</v>
      </c>
      <c r="W99" s="347">
        <v>0.49012825071889982</v>
      </c>
      <c r="X99" s="347">
        <v>0.49413262590281998</v>
      </c>
      <c r="Y99" s="381">
        <v>0.49575509082309605</v>
      </c>
      <c r="Z99" s="310">
        <f t="shared" si="81"/>
        <v>0.14618147588687325</v>
      </c>
      <c r="AA99" s="312">
        <f t="shared" si="82"/>
        <v>0.11841511637634468</v>
      </c>
      <c r="AB99" s="949">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50">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7">
        <f t="shared" si="75"/>
        <v>0</v>
      </c>
      <c r="AE99" s="938">
        <f t="shared" si="85"/>
        <v>0.2379405884469874</v>
      </c>
      <c r="AF99" s="938">
        <f t="shared" si="86"/>
        <v>0.14618147588687325</v>
      </c>
      <c r="AG99" s="938">
        <f t="shared" si="87"/>
        <v>0.38412206433386065</v>
      </c>
      <c r="AH99" s="1173">
        <f t="shared" si="83"/>
        <v>0.61944004403813868</v>
      </c>
      <c r="AI99" s="938">
        <f t="shared" si="84"/>
        <v>0.38055995596186126</v>
      </c>
      <c r="AK99" s="1172"/>
      <c r="AL99" s="1172"/>
    </row>
    <row r="100" spans="1:38" x14ac:dyDescent="0.2">
      <c r="A100" s="329">
        <v>2031</v>
      </c>
      <c r="B100" s="342">
        <v>0</v>
      </c>
      <c r="C100" s="343">
        <v>2.8530026873237451E-2</v>
      </c>
      <c r="D100" s="343">
        <v>0.21116034126252448</v>
      </c>
      <c r="E100" s="343">
        <v>0.33989496337567526</v>
      </c>
      <c r="F100" s="343">
        <v>0.41844429879438166</v>
      </c>
      <c r="G100" s="343">
        <v>0.44532498734523474</v>
      </c>
      <c r="H100" s="343">
        <v>0.46789741927747935</v>
      </c>
      <c r="I100" s="343">
        <v>0.48490994030954193</v>
      </c>
      <c r="J100" s="343">
        <v>0.49089551841699902</v>
      </c>
      <c r="K100" s="343">
        <v>0.49490616222086747</v>
      </c>
      <c r="L100" s="379">
        <v>0.49653116701702865</v>
      </c>
      <c r="M100" s="282">
        <f t="shared" si="79"/>
        <v>0.23839451162782033</v>
      </c>
      <c r="N100" s="284">
        <f t="shared" si="80"/>
        <v>0.17740317748398815</v>
      </c>
      <c r="O100" s="342">
        <v>0</v>
      </c>
      <c r="P100" s="343">
        <v>5.0442568551934616E-2</v>
      </c>
      <c r="Q100" s="343">
        <v>0.24163106214012983</v>
      </c>
      <c r="R100" s="343">
        <v>0.37258740933086043</v>
      </c>
      <c r="S100" s="343">
        <v>0.41844429879438166</v>
      </c>
      <c r="T100" s="343">
        <v>0.45722563986365677</v>
      </c>
      <c r="U100" s="343">
        <v>0.47718159169587721</v>
      </c>
      <c r="V100" s="343">
        <v>0.48490994030954193</v>
      </c>
      <c r="W100" s="343">
        <v>0.49089551841699902</v>
      </c>
      <c r="X100" s="343">
        <v>0.49490616222086747</v>
      </c>
      <c r="Y100" s="379">
        <v>0.49643972539473996</v>
      </c>
      <c r="Z100" s="282">
        <f t="shared" si="81"/>
        <v>0.1460202812814152</v>
      </c>
      <c r="AA100" s="284">
        <f t="shared" si="82"/>
        <v>0.1183778478995853</v>
      </c>
      <c r="AB100" s="949">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50">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7">
        <f t="shared" si="75"/>
        <v>0</v>
      </c>
      <c r="AE100" s="938">
        <f t="shared" si="85"/>
        <v>0.23839451162782033</v>
      </c>
      <c r="AF100" s="938">
        <f t="shared" si="86"/>
        <v>0.1460202812814152</v>
      </c>
      <c r="AG100" s="938">
        <f t="shared" si="87"/>
        <v>0.38441479290923553</v>
      </c>
      <c r="AH100" s="1173">
        <f t="shared" si="83"/>
        <v>0.62014916185628643</v>
      </c>
      <c r="AI100" s="938">
        <f t="shared" si="84"/>
        <v>0.37985083814371357</v>
      </c>
      <c r="AK100" s="1172"/>
      <c r="AL100" s="1172"/>
    </row>
    <row r="101" spans="1:38" x14ac:dyDescent="0.2">
      <c r="A101" s="330">
        <v>2032</v>
      </c>
      <c r="B101" s="344">
        <v>0</v>
      </c>
      <c r="C101" s="345">
        <v>2.8546466617511101E-2</v>
      </c>
      <c r="D101" s="345">
        <v>0.21128201734879376</v>
      </c>
      <c r="E101" s="345">
        <v>0.35657459110751744</v>
      </c>
      <c r="F101" s="345">
        <v>0.41868541729369163</v>
      </c>
      <c r="G101" s="345">
        <v>0.44558159519713586</v>
      </c>
      <c r="H101" s="345">
        <v>0.46816703395234099</v>
      </c>
      <c r="I101" s="345">
        <v>0.48518935804194929</v>
      </c>
      <c r="J101" s="345">
        <v>0.49117838519534845</v>
      </c>
      <c r="K101" s="345">
        <v>0.49519134003659526</v>
      </c>
      <c r="L101" s="380">
        <v>0.49422879537708225</v>
      </c>
      <c r="M101" s="296">
        <f t="shared" si="79"/>
        <v>0.23984199654315314</v>
      </c>
      <c r="N101" s="298">
        <f t="shared" si="80"/>
        <v>0.17900468964881897</v>
      </c>
      <c r="O101" s="344">
        <v>0</v>
      </c>
      <c r="P101" s="345">
        <v>5.0471634873224265E-2</v>
      </c>
      <c r="Q101" s="345">
        <v>0.26580344581396037</v>
      </c>
      <c r="R101" s="345">
        <v>0.37280210389656121</v>
      </c>
      <c r="S101" s="345">
        <v>0.43259751371608141</v>
      </c>
      <c r="T101" s="345">
        <v>0.45748910518137664</v>
      </c>
      <c r="U101" s="345">
        <v>0.47745655615260307</v>
      </c>
      <c r="V101" s="345">
        <v>0.48518935804194929</v>
      </c>
      <c r="W101" s="345">
        <v>0.49108493434248218</v>
      </c>
      <c r="X101" s="345">
        <v>0.49430105779930894</v>
      </c>
      <c r="Y101" s="380">
        <v>0.4881257426027481</v>
      </c>
      <c r="Z101" s="296">
        <f t="shared" si="81"/>
        <v>0.14824322599561901</v>
      </c>
      <c r="AA101" s="298">
        <f t="shared" si="82"/>
        <v>0.12098401581705778</v>
      </c>
      <c r="AB101" s="949">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50">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7">
        <f t="shared" si="75"/>
        <v>0</v>
      </c>
      <c r="AE101" s="938">
        <f t="shared" si="85"/>
        <v>0.23984199654315314</v>
      </c>
      <c r="AF101" s="938">
        <f t="shared" si="86"/>
        <v>0.14824322599561901</v>
      </c>
      <c r="AG101" s="938">
        <f t="shared" si="87"/>
        <v>0.38808522253877215</v>
      </c>
      <c r="AH101" s="1173">
        <f t="shared" si="83"/>
        <v>0.61801373155658201</v>
      </c>
      <c r="AI101" s="938">
        <f t="shared" si="84"/>
        <v>0.38198626844341793</v>
      </c>
      <c r="AK101" s="1172"/>
      <c r="AL101" s="1172"/>
    </row>
    <row r="102" spans="1:38" x14ac:dyDescent="0.2">
      <c r="A102" s="330">
        <v>2033</v>
      </c>
      <c r="B102" s="344">
        <v>0</v>
      </c>
      <c r="C102" s="345">
        <v>3.2143600424908658E-2</v>
      </c>
      <c r="D102" s="345">
        <v>0.2263509896988761</v>
      </c>
      <c r="E102" s="345">
        <v>0.35665019442627205</v>
      </c>
      <c r="F102" s="345">
        <v>0.41877418976332609</v>
      </c>
      <c r="G102" s="345">
        <v>0.45758610506725833</v>
      </c>
      <c r="H102" s="345">
        <v>0.47755778967037593</v>
      </c>
      <c r="I102" s="345">
        <v>0.48529223111986103</v>
      </c>
      <c r="J102" s="345">
        <v>0.49037466356135367</v>
      </c>
      <c r="K102" s="345">
        <v>0.4900024398441824</v>
      </c>
      <c r="L102" s="380">
        <v>0.46722060332694171</v>
      </c>
      <c r="M102" s="296">
        <f t="shared" si="79"/>
        <v>0.24154609414624031</v>
      </c>
      <c r="N102" s="298">
        <f t="shared" si="80"/>
        <v>0.18145296831653748</v>
      </c>
      <c r="O102" s="344">
        <v>0</v>
      </c>
      <c r="P102" s="345">
        <v>5.6193655574750576E-2</v>
      </c>
      <c r="Q102" s="345">
        <v>0.25768047845512781</v>
      </c>
      <c r="R102" s="345">
        <v>0.37288114788061433</v>
      </c>
      <c r="S102" s="345">
        <v>0.43268923592102132</v>
      </c>
      <c r="T102" s="345">
        <v>0.46826629784377061</v>
      </c>
      <c r="U102" s="345">
        <v>0.47755778967037593</v>
      </c>
      <c r="V102" s="345">
        <v>0.48501068300059208</v>
      </c>
      <c r="W102" s="345">
        <v>0.4874786443822236</v>
      </c>
      <c r="X102" s="345">
        <v>0.47545337804537602</v>
      </c>
      <c r="Y102" s="380">
        <v>0.450716526800513</v>
      </c>
      <c r="Z102" s="296">
        <f t="shared" si="81"/>
        <v>0.14792342646935988</v>
      </c>
      <c r="AA102" s="298">
        <f t="shared" si="82"/>
        <v>0.120999535400013</v>
      </c>
      <c r="AB102" s="949">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50">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7">
        <f>AB102*AH102+AC102*AI102</f>
        <v>0</v>
      </c>
      <c r="AE102" s="938">
        <f t="shared" si="85"/>
        <v>0.24154609414624031</v>
      </c>
      <c r="AF102" s="938">
        <f t="shared" si="86"/>
        <v>0.14792342646935988</v>
      </c>
      <c r="AG102" s="938">
        <f t="shared" si="87"/>
        <v>0.3894695206156002</v>
      </c>
      <c r="AH102" s="1173">
        <f t="shared" si="83"/>
        <v>0.62019254745390517</v>
      </c>
      <c r="AI102" s="938">
        <f t="shared" si="84"/>
        <v>0.37980745254609483</v>
      </c>
      <c r="AK102" s="1172"/>
      <c r="AL102" s="1172"/>
    </row>
    <row r="103" spans="1:38" x14ac:dyDescent="0.2">
      <c r="A103" s="330">
        <v>2034</v>
      </c>
      <c r="B103" s="344">
        <v>0</v>
      </c>
      <c r="C103" s="345">
        <v>3.2146107829302155E-2</v>
      </c>
      <c r="D103" s="345">
        <v>0.22636864650951771</v>
      </c>
      <c r="E103" s="345">
        <v>0.35667801540004662</v>
      </c>
      <c r="F103" s="345">
        <v>0.41880685680215851</v>
      </c>
      <c r="G103" s="345">
        <v>0.45762179968127426</v>
      </c>
      <c r="H103" s="345">
        <v>0.47752851594696433</v>
      </c>
      <c r="I103" s="345">
        <v>0.48222902963570757</v>
      </c>
      <c r="J103" s="345">
        <v>0.4750866109337501</v>
      </c>
      <c r="K103" s="345">
        <v>0.4621694173559443</v>
      </c>
      <c r="L103" s="380">
        <v>0.42437259839367891</v>
      </c>
      <c r="M103" s="296">
        <f t="shared" si="79"/>
        <v>0.23901862798476531</v>
      </c>
      <c r="N103" s="298">
        <f t="shared" si="80"/>
        <v>0.18047023558388675</v>
      </c>
      <c r="O103" s="344">
        <v>0</v>
      </c>
      <c r="P103" s="345">
        <v>5.619803903575097E-2</v>
      </c>
      <c r="Q103" s="345">
        <v>0.25770057916429712</v>
      </c>
      <c r="R103" s="345">
        <v>0.37291023497154652</v>
      </c>
      <c r="S103" s="345">
        <v>0.43272298842157575</v>
      </c>
      <c r="T103" s="345">
        <v>0.46830282558045905</v>
      </c>
      <c r="U103" s="345">
        <v>0.47611626706250954</v>
      </c>
      <c r="V103" s="345">
        <v>0.47631801238977184</v>
      </c>
      <c r="W103" s="345">
        <v>0.45565542755181865</v>
      </c>
      <c r="X103" s="345">
        <v>0.43622106231705782</v>
      </c>
      <c r="Y103" s="380">
        <v>0.4101044011177718</v>
      </c>
      <c r="Z103" s="296">
        <f t="shared" si="81"/>
        <v>0.14645182051681149</v>
      </c>
      <c r="AA103" s="298">
        <f t="shared" si="82"/>
        <v>0.1203935995989826</v>
      </c>
      <c r="AB103" s="949">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50">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7">
        <f t="shared" ref="AD103:AD119" si="88">AB103*AH103+AC103*AI103</f>
        <v>0</v>
      </c>
      <c r="AE103" s="938">
        <f t="shared" si="85"/>
        <v>0.23901862798476531</v>
      </c>
      <c r="AF103" s="938">
        <f t="shared" si="86"/>
        <v>0.14645182051681149</v>
      </c>
      <c r="AG103" s="938">
        <f t="shared" si="87"/>
        <v>0.3854704485015768</v>
      </c>
      <c r="AH103" s="1173">
        <f t="shared" si="83"/>
        <v>0.62006991434464676</v>
      </c>
      <c r="AI103" s="938">
        <f t="shared" si="84"/>
        <v>0.37993008565535319</v>
      </c>
      <c r="AK103" s="1172"/>
      <c r="AL103" s="1172"/>
    </row>
    <row r="104" spans="1:38" ht="15" thickBot="1" x14ac:dyDescent="0.25">
      <c r="A104" s="328">
        <v>2035</v>
      </c>
      <c r="B104" s="346">
        <v>0</v>
      </c>
      <c r="C104" s="347">
        <v>3.6109391212090641E-2</v>
      </c>
      <c r="D104" s="347">
        <v>0.22637514278026866</v>
      </c>
      <c r="E104" s="347">
        <v>0.35668825125644577</v>
      </c>
      <c r="F104" s="347">
        <v>0.41881887561649561</v>
      </c>
      <c r="G104" s="347">
        <v>0.45749237502227158</v>
      </c>
      <c r="H104" s="347">
        <v>0.46953326949612867</v>
      </c>
      <c r="I104" s="347">
        <v>0.45473511177362308</v>
      </c>
      <c r="J104" s="347">
        <v>0.4314481612716714</v>
      </c>
      <c r="K104" s="347">
        <v>0.41706669635150689</v>
      </c>
      <c r="L104" s="381">
        <v>0.38473714006407106</v>
      </c>
      <c r="M104" s="310">
        <f t="shared" si="79"/>
        <v>0.23323480160560259</v>
      </c>
      <c r="N104" s="312">
        <f t="shared" si="80"/>
        <v>0.17809818661850388</v>
      </c>
      <c r="O104" s="346">
        <v>0</v>
      </c>
      <c r="P104" s="347">
        <v>6.2414537376666766E-2</v>
      </c>
      <c r="Q104" s="347">
        <v>0.25770797459100803</v>
      </c>
      <c r="R104" s="347">
        <v>0.37292093665611953</v>
      </c>
      <c r="S104" s="347">
        <v>0.43273540659757437</v>
      </c>
      <c r="T104" s="347">
        <v>0.46284702973964176</v>
      </c>
      <c r="U104" s="347">
        <v>0.45489310105688663</v>
      </c>
      <c r="V104" s="347">
        <v>0.43781964782671012</v>
      </c>
      <c r="W104" s="347">
        <v>0.41225706319864092</v>
      </c>
      <c r="X104" s="347">
        <v>0.39762675568938888</v>
      </c>
      <c r="Y104" s="381">
        <v>0.37553778454259357</v>
      </c>
      <c r="Z104" s="310">
        <f t="shared" si="81"/>
        <v>0.14333131040588376</v>
      </c>
      <c r="AA104" s="312">
        <f t="shared" si="82"/>
        <v>0.11911949607662103</v>
      </c>
      <c r="AB104" s="949">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50">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7">
        <f t="shared" si="88"/>
        <v>0</v>
      </c>
      <c r="AE104" s="938">
        <f t="shared" si="85"/>
        <v>0.23323480160560259</v>
      </c>
      <c r="AF104" s="938">
        <f t="shared" si="86"/>
        <v>0.14333131040588376</v>
      </c>
      <c r="AG104" s="938">
        <f t="shared" si="87"/>
        <v>0.37656611201148638</v>
      </c>
      <c r="AH104" s="1173">
        <f t="shared" si="83"/>
        <v>0.61937278519233363</v>
      </c>
      <c r="AI104" s="938">
        <f t="shared" si="84"/>
        <v>0.38062721480766631</v>
      </c>
      <c r="AK104" s="1172"/>
      <c r="AL104" s="1172"/>
    </row>
    <row r="105" spans="1:38" x14ac:dyDescent="0.2">
      <c r="A105" s="329">
        <v>2036</v>
      </c>
      <c r="B105" s="342">
        <v>0</v>
      </c>
      <c r="C105" s="343">
        <v>3.6109772434228513E-2</v>
      </c>
      <c r="D105" s="343">
        <v>0.24983989556314673</v>
      </c>
      <c r="E105" s="343">
        <v>0.35669201696539676</v>
      </c>
      <c r="F105" s="343">
        <v>0.41882329726476447</v>
      </c>
      <c r="G105" s="343">
        <v>0.45635163379437754</v>
      </c>
      <c r="H105" s="343">
        <v>0.46113032066035003</v>
      </c>
      <c r="I105" s="343">
        <v>0.43778725768883264</v>
      </c>
      <c r="J105" s="343">
        <v>0.41783109291848813</v>
      </c>
      <c r="K105" s="343">
        <v>0.40245303366289997</v>
      </c>
      <c r="L105" s="379">
        <v>0.37546253507912025</v>
      </c>
      <c r="M105" s="282">
        <f t="shared" si="79"/>
        <v>0.23174645550837908</v>
      </c>
      <c r="N105" s="284">
        <f t="shared" si="80"/>
        <v>0.17879005090781683</v>
      </c>
      <c r="O105" s="342">
        <v>0</v>
      </c>
      <c r="P105" s="343">
        <v>6.2415196313374756E-2</v>
      </c>
      <c r="Q105" s="343">
        <v>0.28222879747905028</v>
      </c>
      <c r="R105" s="343">
        <v>0.38877824612242284</v>
      </c>
      <c r="S105" s="343">
        <v>0.43249547979145891</v>
      </c>
      <c r="T105" s="343">
        <v>0.45519832622607548</v>
      </c>
      <c r="U105" s="343">
        <v>0.44401071282879462</v>
      </c>
      <c r="V105" s="343">
        <v>0.42550641948248819</v>
      </c>
      <c r="W105" s="343">
        <v>0.39756323526191867</v>
      </c>
      <c r="X105" s="343">
        <v>0.38787356638735332</v>
      </c>
      <c r="Y105" s="379">
        <v>0.37106495447213578</v>
      </c>
      <c r="Z105" s="282">
        <f t="shared" si="81"/>
        <v>0.14389051452126311</v>
      </c>
      <c r="AA105" s="284">
        <f t="shared" si="82"/>
        <v>0.12088441965992949</v>
      </c>
      <c r="AB105" s="949">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50">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7">
        <f t="shared" si="88"/>
        <v>0</v>
      </c>
      <c r="AE105" s="938">
        <f t="shared" si="85"/>
        <v>0.23174645550837908</v>
      </c>
      <c r="AF105" s="938">
        <f t="shared" si="86"/>
        <v>0.14389051452126311</v>
      </c>
      <c r="AG105" s="938">
        <f t="shared" si="87"/>
        <v>0.37563697002964219</v>
      </c>
      <c r="AH105" s="1173">
        <f t="shared" si="83"/>
        <v>0.61694261746944545</v>
      </c>
      <c r="AI105" s="938">
        <f t="shared" si="84"/>
        <v>0.38305738253055455</v>
      </c>
      <c r="AK105" s="1172"/>
      <c r="AL105" s="1172"/>
    </row>
    <row r="106" spans="1:38" x14ac:dyDescent="0.2">
      <c r="A106" s="330">
        <v>2037</v>
      </c>
      <c r="B106" s="344">
        <v>0</v>
      </c>
      <c r="C106" s="345">
        <v>4.0469726754837815E-2</v>
      </c>
      <c r="D106" s="345">
        <v>0.24185085448541466</v>
      </c>
      <c r="E106" s="345">
        <v>0.38122146016825131</v>
      </c>
      <c r="F106" s="345">
        <v>0.43274165587616625</v>
      </c>
      <c r="G106" s="345">
        <v>0.45346571134022917</v>
      </c>
      <c r="H106" s="345">
        <v>0.44980041494411965</v>
      </c>
      <c r="I106" s="345">
        <v>0.42546308652797421</v>
      </c>
      <c r="J106" s="345">
        <v>0.40824374375112527</v>
      </c>
      <c r="K106" s="345">
        <v>0.3926269673271206</v>
      </c>
      <c r="L106" s="380">
        <v>0.37098579239194629</v>
      </c>
      <c r="M106" s="296">
        <f t="shared" si="79"/>
        <v>0.23265284748768852</v>
      </c>
      <c r="N106" s="298">
        <f t="shared" si="80"/>
        <v>0.18083760970471494</v>
      </c>
      <c r="O106" s="344">
        <v>0</v>
      </c>
      <c r="P106" s="345">
        <v>7.2701345311747462E-2</v>
      </c>
      <c r="Q106" s="345">
        <v>0.27389424110246408</v>
      </c>
      <c r="R106" s="345">
        <v>0.38877975608820986</v>
      </c>
      <c r="S106" s="345">
        <v>0.4314526282574378</v>
      </c>
      <c r="T106" s="345">
        <v>0.44559129379812251</v>
      </c>
      <c r="U106" s="345">
        <v>0.43009227640673925</v>
      </c>
      <c r="V106" s="345">
        <v>0.41192379285477915</v>
      </c>
      <c r="W106" s="345">
        <v>0.3926269673271206</v>
      </c>
      <c r="X106" s="345">
        <v>0.37839308090744939</v>
      </c>
      <c r="Y106" s="380">
        <v>0.36271383404450952</v>
      </c>
      <c r="Z106" s="296">
        <f t="shared" si="81"/>
        <v>0.1420743690026017</v>
      </c>
      <c r="AA106" s="298">
        <f t="shared" si="82"/>
        <v>0.12000361514022953</v>
      </c>
      <c r="AB106" s="949">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50">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7">
        <f t="shared" si="88"/>
        <v>0</v>
      </c>
      <c r="AE106" s="938">
        <f t="shared" si="85"/>
        <v>0.23265284748768852</v>
      </c>
      <c r="AF106" s="938">
        <f t="shared" si="86"/>
        <v>0.1420743690026017</v>
      </c>
      <c r="AG106" s="938">
        <f t="shared" si="87"/>
        <v>0.37472721649029023</v>
      </c>
      <c r="AH106" s="1173">
        <f t="shared" si="83"/>
        <v>0.62085922038629648</v>
      </c>
      <c r="AI106" s="938">
        <f t="shared" si="84"/>
        <v>0.37914077961370352</v>
      </c>
      <c r="AK106" s="1172"/>
      <c r="AL106" s="1172"/>
    </row>
    <row r="107" spans="1:38" x14ac:dyDescent="0.2">
      <c r="A107" s="330">
        <v>2038</v>
      </c>
      <c r="B107" s="344">
        <v>0</v>
      </c>
      <c r="C107" s="345">
        <v>4.0469784577963151E-2</v>
      </c>
      <c r="D107" s="345">
        <v>0.24185120004179458</v>
      </c>
      <c r="E107" s="345">
        <v>0.37292685497063183</v>
      </c>
      <c r="F107" s="345">
        <v>0.43245038263791441</v>
      </c>
      <c r="G107" s="345">
        <v>0.44728177450502415</v>
      </c>
      <c r="H107" s="345">
        <v>0.43737896543361193</v>
      </c>
      <c r="I107" s="345">
        <v>0.41187132060264714</v>
      </c>
      <c r="J107" s="345">
        <v>0.39357480458425054</v>
      </c>
      <c r="K107" s="345">
        <v>0.3829766714385916</v>
      </c>
      <c r="L107" s="380">
        <v>0.36667298423439698</v>
      </c>
      <c r="M107" s="296">
        <f t="shared" si="79"/>
        <v>0.22874624635357158</v>
      </c>
      <c r="N107" s="298">
        <f t="shared" si="80"/>
        <v>0.17830338519020408</v>
      </c>
      <c r="O107" s="344">
        <v>0</v>
      </c>
      <c r="P107" s="345">
        <v>6.9158186709066358E-2</v>
      </c>
      <c r="Q107" s="345">
        <v>0.27389463244241874</v>
      </c>
      <c r="R107" s="345">
        <v>0.38878031157653087</v>
      </c>
      <c r="S107" s="345">
        <v>0.42856510982277557</v>
      </c>
      <c r="T107" s="345">
        <v>0.43471402882777982</v>
      </c>
      <c r="U107" s="345">
        <v>0.41780322533318581</v>
      </c>
      <c r="V107" s="345">
        <v>0.40236787137713381</v>
      </c>
      <c r="W107" s="345">
        <v>0.3829766714385916</v>
      </c>
      <c r="X107" s="345">
        <v>0.37377887318287201</v>
      </c>
      <c r="Y107" s="380">
        <v>0.35880259004282555</v>
      </c>
      <c r="Z107" s="296">
        <f t="shared" si="81"/>
        <v>0.14015938910006295</v>
      </c>
      <c r="AA107" s="298">
        <f t="shared" si="82"/>
        <v>0.11861121018019836</v>
      </c>
      <c r="AB107" s="949">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50">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7">
        <f t="shared" si="88"/>
        <v>0</v>
      </c>
      <c r="AE107" s="938">
        <f t="shared" si="85"/>
        <v>0.22874624635357158</v>
      </c>
      <c r="AF107" s="938">
        <f t="shared" si="86"/>
        <v>0.14015938910006295</v>
      </c>
      <c r="AG107" s="938">
        <f t="shared" si="87"/>
        <v>0.36890563545363453</v>
      </c>
      <c r="AH107" s="1173">
        <f t="shared" si="83"/>
        <v>0.62006709675846439</v>
      </c>
      <c r="AI107" s="938">
        <f t="shared" si="84"/>
        <v>0.37993290324153567</v>
      </c>
      <c r="AK107" s="1172"/>
      <c r="AL107" s="1172"/>
    </row>
    <row r="108" spans="1:38" x14ac:dyDescent="0.2">
      <c r="A108" s="330">
        <v>2039</v>
      </c>
      <c r="B108" s="344">
        <v>0</v>
      </c>
      <c r="C108" s="345">
        <v>4.7778625334233327E-2</v>
      </c>
      <c r="D108" s="345">
        <v>0.24185132716513097</v>
      </c>
      <c r="E108" s="345">
        <v>0.37292705099077161</v>
      </c>
      <c r="F108" s="345">
        <v>0.43037750171762773</v>
      </c>
      <c r="G108" s="345">
        <v>0.43489974305873852</v>
      </c>
      <c r="H108" s="345">
        <v>0.41775920144082118</v>
      </c>
      <c r="I108" s="345">
        <v>0.39747501577065419</v>
      </c>
      <c r="J108" s="345">
        <v>0.3838374152808825</v>
      </c>
      <c r="K108" s="345">
        <v>0.3737015041845369</v>
      </c>
      <c r="L108" s="380">
        <v>0.35871843231944955</v>
      </c>
      <c r="M108" s="296">
        <f t="shared" si="79"/>
        <v>0.22451110977363167</v>
      </c>
      <c r="N108" s="298">
        <f t="shared" si="80"/>
        <v>0.17633006694405026</v>
      </c>
      <c r="O108" s="344">
        <v>0</v>
      </c>
      <c r="P108" s="345">
        <v>6.9158223060423879E-2</v>
      </c>
      <c r="Q108" s="345">
        <v>0.27389477640862392</v>
      </c>
      <c r="R108" s="345">
        <v>0.38836814334081071</v>
      </c>
      <c r="S108" s="345">
        <v>0.41961622433081036</v>
      </c>
      <c r="T108" s="345">
        <v>0.41690233372810498</v>
      </c>
      <c r="U108" s="345">
        <v>0.40424658147825565</v>
      </c>
      <c r="V108" s="345">
        <v>0.39348363694735655</v>
      </c>
      <c r="W108" s="345">
        <v>0.37366005302818395</v>
      </c>
      <c r="X108" s="345">
        <v>0.36502790947345104</v>
      </c>
      <c r="Y108" s="380">
        <v>0.35505943236304655</v>
      </c>
      <c r="Z108" s="296">
        <f t="shared" si="81"/>
        <v>0.13733603536650729</v>
      </c>
      <c r="AA108" s="298">
        <f t="shared" si="82"/>
        <v>0.11666924125183505</v>
      </c>
      <c r="AB108" s="949">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50">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7">
        <f t="shared" si="88"/>
        <v>0</v>
      </c>
      <c r="AE108" s="938">
        <f t="shared" si="85"/>
        <v>0.22451110977363167</v>
      </c>
      <c r="AF108" s="938">
        <f t="shared" si="86"/>
        <v>0.13733603536650729</v>
      </c>
      <c r="AG108" s="938">
        <f t="shared" si="87"/>
        <v>0.36184714514013894</v>
      </c>
      <c r="AH108" s="1173">
        <f t="shared" si="83"/>
        <v>0.62045842502552084</v>
      </c>
      <c r="AI108" s="938">
        <f t="shared" si="84"/>
        <v>0.37954157497447916</v>
      </c>
      <c r="AK108" s="1172"/>
      <c r="AL108" s="1172"/>
    </row>
    <row r="109" spans="1:38" ht="15" thickBot="1" x14ac:dyDescent="0.25">
      <c r="A109" s="328">
        <v>2040</v>
      </c>
      <c r="B109" s="346">
        <v>0</v>
      </c>
      <c r="C109" s="347">
        <v>4.7778634573048706E-2</v>
      </c>
      <c r="D109" s="347">
        <v>0.24185137393122658</v>
      </c>
      <c r="E109" s="347">
        <v>0.37282815218266119</v>
      </c>
      <c r="F109" s="347">
        <v>0.4235716037322777</v>
      </c>
      <c r="G109" s="347">
        <v>0.42063982589120874</v>
      </c>
      <c r="H109" s="347">
        <v>0.40215671438832096</v>
      </c>
      <c r="I109" s="347">
        <v>0.38073133005976134</v>
      </c>
      <c r="J109" s="347">
        <v>0.36037470039905423</v>
      </c>
      <c r="K109" s="347">
        <v>0.34928354324238564</v>
      </c>
      <c r="L109" s="381">
        <v>0.32188453576557169</v>
      </c>
      <c r="M109" s="310">
        <f t="shared" si="79"/>
        <v>0.21786031648861284</v>
      </c>
      <c r="N109" s="312">
        <f t="shared" si="80"/>
        <v>0.17259368742336773</v>
      </c>
      <c r="O109" s="346">
        <v>0</v>
      </c>
      <c r="P109" s="347">
        <v>6.9158236433350562E-2</v>
      </c>
      <c r="Q109" s="347">
        <v>0.27389384754806334</v>
      </c>
      <c r="R109" s="347">
        <v>0.38601724795375419</v>
      </c>
      <c r="S109" s="347">
        <v>0.40754968852467244</v>
      </c>
      <c r="T109" s="347">
        <v>0.39959104213345298</v>
      </c>
      <c r="U109" s="347">
        <v>0.38978322179954716</v>
      </c>
      <c r="V109" s="347">
        <v>0.38358889095710091</v>
      </c>
      <c r="W109" s="347">
        <v>0.36903815328446615</v>
      </c>
      <c r="X109" s="347">
        <v>0.36076258810698369</v>
      </c>
      <c r="Y109" s="381">
        <v>0.35150220152216388</v>
      </c>
      <c r="Z109" s="310">
        <f t="shared" si="81"/>
        <v>0.13416148526459309</v>
      </c>
      <c r="AA109" s="312">
        <f t="shared" si="82"/>
        <v>0.11437147185638959</v>
      </c>
      <c r="AB109" s="949">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50">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7">
        <f t="shared" si="88"/>
        <v>0</v>
      </c>
      <c r="AE109" s="938">
        <f t="shared" si="85"/>
        <v>0.21786031648861284</v>
      </c>
      <c r="AF109" s="938">
        <f t="shared" si="86"/>
        <v>0.13416148526459309</v>
      </c>
      <c r="AG109" s="938">
        <f t="shared" si="87"/>
        <v>0.35202180175320597</v>
      </c>
      <c r="AH109" s="1173">
        <f t="shared" si="83"/>
        <v>0.61888302202756607</v>
      </c>
      <c r="AI109" s="938">
        <f t="shared" si="84"/>
        <v>0.38111697797243393</v>
      </c>
      <c r="AK109" s="1172"/>
      <c r="AL109" s="1172"/>
    </row>
    <row r="110" spans="1:38" x14ac:dyDescent="0.2">
      <c r="A110" s="329">
        <v>2041</v>
      </c>
      <c r="B110" s="342">
        <v>0</v>
      </c>
      <c r="C110" s="343">
        <v>4.5253770226509615E-2</v>
      </c>
      <c r="D110" s="343">
        <v>0.24174771458391126</v>
      </c>
      <c r="E110" s="343">
        <v>0.36244945139771312</v>
      </c>
      <c r="F110" s="343">
        <v>0.37698097002436104</v>
      </c>
      <c r="G110" s="343">
        <v>0.35025758779253197</v>
      </c>
      <c r="H110" s="343">
        <v>0.32358571996543001</v>
      </c>
      <c r="I110" s="343">
        <v>0.30380824221641384</v>
      </c>
      <c r="J110" s="343">
        <v>0.29386276713311704</v>
      </c>
      <c r="K110" s="343">
        <v>0.28624176783193772</v>
      </c>
      <c r="L110" s="379">
        <v>0.27123440247601949</v>
      </c>
      <c r="M110" s="282">
        <f t="shared" si="79"/>
        <v>0.18947627371121215</v>
      </c>
      <c r="N110" s="284">
        <f t="shared" si="80"/>
        <v>0.15426361101151154</v>
      </c>
      <c r="O110" s="342">
        <v>0</v>
      </c>
      <c r="P110" s="343">
        <v>7.6451308466199713E-2</v>
      </c>
      <c r="Q110" s="343">
        <v>0.27355747550846676</v>
      </c>
      <c r="R110" s="343">
        <v>0.3738075516836612</v>
      </c>
      <c r="S110" s="343">
        <v>0.39800227079861383</v>
      </c>
      <c r="T110" s="343">
        <v>0.38047291455929627</v>
      </c>
      <c r="U110" s="343">
        <v>0.3823468238183993</v>
      </c>
      <c r="V110" s="343">
        <v>0.36934563788880631</v>
      </c>
      <c r="W110" s="343">
        <v>0.36043470103604247</v>
      </c>
      <c r="X110" s="343">
        <v>0.3549338234663626</v>
      </c>
      <c r="Y110" s="379">
        <v>0.34812786688629194</v>
      </c>
      <c r="Z110" s="282">
        <f t="shared" si="81"/>
        <v>0.13089894832567001</v>
      </c>
      <c r="AA110" s="284">
        <f t="shared" si="82"/>
        <v>0.11214209049008619</v>
      </c>
      <c r="AB110" s="949">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50">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7">
        <f t="shared" si="88"/>
        <v>0</v>
      </c>
      <c r="AE110" s="938">
        <f t="shared" si="85"/>
        <v>0.18947627371121215</v>
      </c>
      <c r="AF110" s="938">
        <f t="shared" si="86"/>
        <v>0.13089894832567001</v>
      </c>
      <c r="AG110" s="938">
        <f t="shared" si="87"/>
        <v>0.32037522203688218</v>
      </c>
      <c r="AH110" s="1173">
        <f t="shared" si="83"/>
        <v>0.59141987481603464</v>
      </c>
      <c r="AI110" s="938">
        <f t="shared" si="84"/>
        <v>0.4085801251839653</v>
      </c>
      <c r="AK110" s="1172"/>
      <c r="AL110" s="1172"/>
    </row>
    <row r="111" spans="1:38" x14ac:dyDescent="0.2">
      <c r="A111" s="330">
        <v>2042</v>
      </c>
      <c r="B111" s="344">
        <v>0</v>
      </c>
      <c r="C111" s="345">
        <v>5.0440151717087066E-2</v>
      </c>
      <c r="D111" s="345">
        <v>0.23590599282925503</v>
      </c>
      <c r="E111" s="345">
        <v>0.2889942873081115</v>
      </c>
      <c r="F111" s="345">
        <v>0.29367234640707396</v>
      </c>
      <c r="G111" s="345">
        <v>0.28512515269188898</v>
      </c>
      <c r="H111" s="345">
        <v>0.27663983589507218</v>
      </c>
      <c r="I111" s="345">
        <v>0.27552013693743921</v>
      </c>
      <c r="J111" s="345">
        <v>0.27205302211199767</v>
      </c>
      <c r="K111" s="345">
        <v>0.26456665034668486</v>
      </c>
      <c r="L111" s="380">
        <v>0.25939951459947869</v>
      </c>
      <c r="M111" s="296">
        <f t="shared" si="79"/>
        <v>0.16069912209050843</v>
      </c>
      <c r="N111" s="298">
        <f t="shared" si="80"/>
        <v>0.13114988158089824</v>
      </c>
      <c r="O111" s="344">
        <v>0</v>
      </c>
      <c r="P111" s="345">
        <v>7.6386598605050926E-2</v>
      </c>
      <c r="Q111" s="345">
        <v>0.28066624850536198</v>
      </c>
      <c r="R111" s="345">
        <v>0.3448994215516944</v>
      </c>
      <c r="S111" s="345">
        <v>0.36754713511953835</v>
      </c>
      <c r="T111" s="345">
        <v>0.36087918020524662</v>
      </c>
      <c r="U111" s="345">
        <v>0.36323208466593732</v>
      </c>
      <c r="V111" s="345">
        <v>0.36025242544651814</v>
      </c>
      <c r="W111" s="345">
        <v>0.35256280489390068</v>
      </c>
      <c r="X111" s="345">
        <v>0.35071976317304843</v>
      </c>
      <c r="Y111" s="380">
        <v>0.34491814813067651</v>
      </c>
      <c r="Z111" s="296">
        <f t="shared" si="81"/>
        <v>0.12425460147132629</v>
      </c>
      <c r="AA111" s="298">
        <f t="shared" si="82"/>
        <v>0.10677520226897122</v>
      </c>
      <c r="AB111" s="949">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50">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7">
        <f t="shared" si="88"/>
        <v>0</v>
      </c>
      <c r="AE111" s="938">
        <f t="shared" si="85"/>
        <v>0.16069912209050843</v>
      </c>
      <c r="AF111" s="938">
        <f t="shared" si="86"/>
        <v>0.12425460147132629</v>
      </c>
      <c r="AG111" s="938">
        <f t="shared" si="87"/>
        <v>0.28495372356183474</v>
      </c>
      <c r="AH111" s="1173">
        <f t="shared" si="83"/>
        <v>0.56394813895329521</v>
      </c>
      <c r="AI111" s="938">
        <f t="shared" si="84"/>
        <v>0.43605186104670479</v>
      </c>
      <c r="AK111" s="1172"/>
      <c r="AL111" s="1172"/>
    </row>
    <row r="112" spans="1:38" x14ac:dyDescent="0.2">
      <c r="A112" s="330">
        <v>2043</v>
      </c>
      <c r="B112" s="344">
        <v>0</v>
      </c>
      <c r="C112" s="345">
        <v>4.6781417302069216E-2</v>
      </c>
      <c r="D112" s="345">
        <v>0.19019862924351147</v>
      </c>
      <c r="E112" s="345">
        <v>0.23946815263968146</v>
      </c>
      <c r="F112" s="345">
        <v>0.25785159904617011</v>
      </c>
      <c r="G112" s="345">
        <v>0.26649338272392509</v>
      </c>
      <c r="H112" s="345">
        <v>0.26060940081873485</v>
      </c>
      <c r="I112" s="345">
        <v>0.26328915675187786</v>
      </c>
      <c r="J112" s="345">
        <v>0.2620385977497659</v>
      </c>
      <c r="K112" s="345">
        <v>0.25850624620545481</v>
      </c>
      <c r="L112" s="380">
        <v>0.25553387583646159</v>
      </c>
      <c r="M112" s="296">
        <f t="shared" si="79"/>
        <v>0.14507714219399251</v>
      </c>
      <c r="N112" s="298">
        <f t="shared" si="80"/>
        <v>0.11574332657368214</v>
      </c>
      <c r="O112" s="344">
        <v>0</v>
      </c>
      <c r="P112" s="345">
        <v>8.4622404416296274E-2</v>
      </c>
      <c r="Q112" s="345">
        <v>0.25037332207808599</v>
      </c>
      <c r="R112" s="345">
        <v>0.31190436194349247</v>
      </c>
      <c r="S112" s="345">
        <v>0.34341280650246264</v>
      </c>
      <c r="T112" s="345">
        <v>0.34660241565975142</v>
      </c>
      <c r="U112" s="345">
        <v>0.35398008487435184</v>
      </c>
      <c r="V112" s="345">
        <v>0.35174575734374219</v>
      </c>
      <c r="W112" s="345">
        <v>0.34552299073143694</v>
      </c>
      <c r="X112" s="345">
        <v>0.34425668658824793</v>
      </c>
      <c r="Y112" s="380">
        <v>0.34183634105286409</v>
      </c>
      <c r="Z112" s="296">
        <f t="shared" si="81"/>
        <v>0.11737054627078579</v>
      </c>
      <c r="AA112" s="298">
        <f t="shared" si="82"/>
        <v>0.10033959827718998</v>
      </c>
      <c r="AB112" s="949">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50">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7">
        <f t="shared" si="88"/>
        <v>0</v>
      </c>
      <c r="AE112" s="938">
        <f t="shared" si="85"/>
        <v>0.14507714219399251</v>
      </c>
      <c r="AF112" s="938">
        <f t="shared" si="86"/>
        <v>0.11737054627078579</v>
      </c>
      <c r="AG112" s="938">
        <f t="shared" si="87"/>
        <v>0.26244768846477828</v>
      </c>
      <c r="AH112" s="1173">
        <f t="shared" si="83"/>
        <v>0.55278498752509508</v>
      </c>
      <c r="AI112" s="938">
        <f t="shared" si="84"/>
        <v>0.44721501247490497</v>
      </c>
      <c r="AK112" s="1172"/>
      <c r="AL112" s="1172"/>
    </row>
    <row r="113" spans="1:39" x14ac:dyDescent="0.2">
      <c r="A113" s="330">
        <v>2044</v>
      </c>
      <c r="B113" s="344">
        <v>0</v>
      </c>
      <c r="C113" s="345">
        <v>3.3342393340012606E-2</v>
      </c>
      <c r="D113" s="345">
        <v>0.14409585917698112</v>
      </c>
      <c r="E113" s="345">
        <v>0.2144057658371615</v>
      </c>
      <c r="F113" s="345">
        <v>0.23799535766822053</v>
      </c>
      <c r="G113" s="345">
        <v>0.25158760933962154</v>
      </c>
      <c r="H113" s="345">
        <v>0.2531898065575291</v>
      </c>
      <c r="I113" s="345">
        <v>0.25796631706857598</v>
      </c>
      <c r="J113" s="345">
        <v>0.25702893338691835</v>
      </c>
      <c r="K113" s="345">
        <v>0.25551151709225384</v>
      </c>
      <c r="L113" s="380">
        <v>0.25403242409300852</v>
      </c>
      <c r="M113" s="296">
        <f t="shared" si="79"/>
        <v>0.13493677065549245</v>
      </c>
      <c r="N113" s="298">
        <f t="shared" si="80"/>
        <v>0.10441903179874656</v>
      </c>
      <c r="O113" s="344">
        <v>0</v>
      </c>
      <c r="P113" s="345">
        <v>6.5899394912579651E-2</v>
      </c>
      <c r="Q113" s="345">
        <v>0.20444016123402223</v>
      </c>
      <c r="R113" s="345">
        <v>0.30368886370518633</v>
      </c>
      <c r="S113" s="345">
        <v>0.32937192547324251</v>
      </c>
      <c r="T113" s="345">
        <v>0.34239357402033738</v>
      </c>
      <c r="U113" s="345">
        <v>0.34223200759429456</v>
      </c>
      <c r="V113" s="345">
        <v>0.34440616112756867</v>
      </c>
      <c r="W113" s="345">
        <v>0.34230310245542811</v>
      </c>
      <c r="X113" s="345">
        <v>0.34135911261289664</v>
      </c>
      <c r="Y113" s="380">
        <v>0.33928508926687106</v>
      </c>
      <c r="Z113" s="296">
        <f t="shared" si="81"/>
        <v>0.11209880918294875</v>
      </c>
      <c r="AA113" s="298">
        <f t="shared" si="82"/>
        <v>9.3950551222333797E-2</v>
      </c>
      <c r="AB113" s="949">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50">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7">
        <f t="shared" si="88"/>
        <v>0</v>
      </c>
      <c r="AE113" s="938">
        <f t="shared" si="85"/>
        <v>0.13493677065549245</v>
      </c>
      <c r="AF113" s="938">
        <f t="shared" si="86"/>
        <v>0.11209880918294875</v>
      </c>
      <c r="AG113" s="938">
        <f t="shared" si="87"/>
        <v>0.24703557983844121</v>
      </c>
      <c r="AH113" s="1173">
        <f t="shared" si="83"/>
        <v>0.5462240327637814</v>
      </c>
      <c r="AI113" s="938">
        <f t="shared" si="84"/>
        <v>0.45377596723621855</v>
      </c>
      <c r="AK113" s="1172"/>
      <c r="AL113" s="1172"/>
    </row>
    <row r="114" spans="1:39" ht="15" thickBot="1" x14ac:dyDescent="0.25">
      <c r="A114" s="328">
        <v>2045</v>
      </c>
      <c r="B114" s="346">
        <v>0</v>
      </c>
      <c r="C114" s="347">
        <v>5.0419652658307279E-2</v>
      </c>
      <c r="D114" s="347">
        <v>0.15535184612283193</v>
      </c>
      <c r="E114" s="347">
        <v>0.23086318524085572</v>
      </c>
      <c r="F114" s="347">
        <v>0.24195996196541292</v>
      </c>
      <c r="G114" s="347">
        <v>0.25339262161879089</v>
      </c>
      <c r="H114" s="347">
        <v>0.25757282242080953</v>
      </c>
      <c r="I114" s="347">
        <v>0.25621638985183176</v>
      </c>
      <c r="J114" s="347">
        <v>0.25570716001338167</v>
      </c>
      <c r="K114" s="347">
        <v>0.2543612405978547</v>
      </c>
      <c r="L114" s="381">
        <v>0.25295342700564311</v>
      </c>
      <c r="M114" s="310">
        <f t="shared" si="79"/>
        <v>0.13840515845354345</v>
      </c>
      <c r="N114" s="312">
        <f t="shared" si="80"/>
        <v>0.10916310329096204</v>
      </c>
      <c r="O114" s="346">
        <v>0</v>
      </c>
      <c r="P114" s="347">
        <v>6.3551379848537759E-2</v>
      </c>
      <c r="Q114" s="347">
        <v>0.16810859538105868</v>
      </c>
      <c r="R114" s="347">
        <v>0.28964951157265784</v>
      </c>
      <c r="S114" s="347">
        <v>0.31577903817132214</v>
      </c>
      <c r="T114" s="347">
        <v>0.33397849491013648</v>
      </c>
      <c r="U114" s="347">
        <v>0.33777099206089189</v>
      </c>
      <c r="V114" s="347">
        <v>0.34022024507454796</v>
      </c>
      <c r="W114" s="347">
        <v>0.33874804553193233</v>
      </c>
      <c r="X114" s="347">
        <v>0.33815051098956428</v>
      </c>
      <c r="Y114" s="381">
        <v>0.33645317737818609</v>
      </c>
      <c r="Z114" s="310">
        <f t="shared" si="81"/>
        <v>0.10753314906775338</v>
      </c>
      <c r="AA114" s="312">
        <f t="shared" si="82"/>
        <v>8.8982848711504733E-2</v>
      </c>
      <c r="AB114" s="949">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50">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7">
        <f t="shared" si="88"/>
        <v>0</v>
      </c>
      <c r="AE114" s="938">
        <f t="shared" si="85"/>
        <v>0.13840515845354345</v>
      </c>
      <c r="AF114" s="938">
        <f t="shared" si="86"/>
        <v>0.10753314906775338</v>
      </c>
      <c r="AG114" s="938">
        <f t="shared" si="87"/>
        <v>0.24593830752129683</v>
      </c>
      <c r="AH114" s="1173">
        <f t="shared" si="83"/>
        <v>0.56276372659659113</v>
      </c>
      <c r="AI114" s="938">
        <f t="shared" si="84"/>
        <v>0.43723627340340881</v>
      </c>
      <c r="AK114" s="1172"/>
      <c r="AL114" s="1172"/>
    </row>
    <row r="115" spans="1:39" x14ac:dyDescent="0.2">
      <c r="A115" s="329">
        <v>2046</v>
      </c>
      <c r="B115" s="342">
        <v>0</v>
      </c>
      <c r="C115" s="343">
        <v>5.178939831938021E-2</v>
      </c>
      <c r="D115" s="343">
        <v>0.15966496324306576</v>
      </c>
      <c r="E115" s="343">
        <v>0.23047040499438112</v>
      </c>
      <c r="F115" s="343">
        <v>0.24612548308721019</v>
      </c>
      <c r="G115" s="343">
        <v>0.25375409179941355</v>
      </c>
      <c r="H115" s="343">
        <v>0.2559056756919989</v>
      </c>
      <c r="I115" s="343">
        <v>0.25484851685348703</v>
      </c>
      <c r="J115" s="343">
        <v>0.25451136764542537</v>
      </c>
      <c r="K115" s="343">
        <v>0.25335083610799009</v>
      </c>
      <c r="L115" s="379">
        <v>0.25283816288414351</v>
      </c>
      <c r="M115" s="282">
        <f t="shared" si="79"/>
        <v>0.13893675409200157</v>
      </c>
      <c r="N115" s="284">
        <f t="shared" si="80"/>
        <v>0.10995858028813041</v>
      </c>
      <c r="O115" s="342">
        <v>0</v>
      </c>
      <c r="P115" s="343">
        <v>7.4517084507043779E-2</v>
      </c>
      <c r="Q115" s="343">
        <v>0.15146003713305597</v>
      </c>
      <c r="R115" s="343">
        <v>0.28011962782529465</v>
      </c>
      <c r="S115" s="343">
        <v>0.31034244875930977</v>
      </c>
      <c r="T115" s="343">
        <v>0.32911131603322208</v>
      </c>
      <c r="U115" s="343">
        <v>0.33316363982093677</v>
      </c>
      <c r="V115" s="343">
        <v>0.33589551307195503</v>
      </c>
      <c r="W115" s="343">
        <v>0.33509519595054377</v>
      </c>
      <c r="X115" s="343">
        <v>0.3365518143736988</v>
      </c>
      <c r="Y115" s="379">
        <v>0.33357737407941057</v>
      </c>
      <c r="Z115" s="282">
        <f t="shared" si="81"/>
        <v>0.10537325617017303</v>
      </c>
      <c r="AA115" s="284">
        <f t="shared" si="82"/>
        <v>8.7206663367899714E-2</v>
      </c>
      <c r="AB115" s="949">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50">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7">
        <f t="shared" si="88"/>
        <v>0</v>
      </c>
      <c r="AE115" s="938">
        <f t="shared" si="85"/>
        <v>0.13893675409200157</v>
      </c>
      <c r="AF115" s="938">
        <f t="shared" si="86"/>
        <v>0.10537325617017303</v>
      </c>
      <c r="AG115" s="938">
        <f t="shared" si="87"/>
        <v>0.24431001026217458</v>
      </c>
      <c r="AH115" s="1173">
        <f t="shared" si="83"/>
        <v>0.56869038621424228</v>
      </c>
      <c r="AI115" s="938">
        <f t="shared" si="84"/>
        <v>0.43130961378575772</v>
      </c>
      <c r="AK115" s="1172"/>
      <c r="AL115" s="1172"/>
    </row>
    <row r="116" spans="1:39" x14ac:dyDescent="0.2">
      <c r="A116" s="330">
        <v>2047</v>
      </c>
      <c r="B116" s="344">
        <v>0</v>
      </c>
      <c r="C116" s="345">
        <v>5.7351457951815371E-2</v>
      </c>
      <c r="D116" s="345">
        <v>0.16004153088431619</v>
      </c>
      <c r="E116" s="345">
        <v>0.23287436684755425</v>
      </c>
      <c r="F116" s="345">
        <v>0.24988229537134671</v>
      </c>
      <c r="G116" s="345">
        <v>0.25344273678126689</v>
      </c>
      <c r="H116" s="345">
        <v>0.25498109297787624</v>
      </c>
      <c r="I116" s="345">
        <v>0.2549843800309794</v>
      </c>
      <c r="J116" s="345">
        <v>0.25464701727662092</v>
      </c>
      <c r="K116" s="345">
        <v>0.25348544451457267</v>
      </c>
      <c r="L116" s="380">
        <v>0.25219645697764265</v>
      </c>
      <c r="M116" s="296">
        <f t="shared" si="79"/>
        <v>0.13972589524123563</v>
      </c>
      <c r="N116" s="298">
        <f t="shared" si="80"/>
        <v>0.11106144244175431</v>
      </c>
      <c r="O116" s="344">
        <v>0</v>
      </c>
      <c r="P116" s="345">
        <v>7.2647197176512135E-2</v>
      </c>
      <c r="Q116" s="345">
        <v>0.15357193582232626</v>
      </c>
      <c r="R116" s="345">
        <v>0.27415337252098015</v>
      </c>
      <c r="S116" s="345">
        <v>0.30132976723608462</v>
      </c>
      <c r="T116" s="345">
        <v>0.32398513627299008</v>
      </c>
      <c r="U116" s="345">
        <v>0.32830767950205869</v>
      </c>
      <c r="V116" s="345">
        <v>0.33134269419032863</v>
      </c>
      <c r="W116" s="345">
        <v>0.33291886138087656</v>
      </c>
      <c r="X116" s="345">
        <v>0.33270849024665811</v>
      </c>
      <c r="Y116" s="380">
        <v>0.33143232681330498</v>
      </c>
      <c r="Z116" s="296">
        <f t="shared" si="81"/>
        <v>0.10354026601686465</v>
      </c>
      <c r="AA116" s="298">
        <f t="shared" si="82"/>
        <v>8.5695951997957528E-2</v>
      </c>
      <c r="AB116" s="949">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50">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7">
        <f t="shared" si="88"/>
        <v>0</v>
      </c>
      <c r="AE116" s="938">
        <f t="shared" si="85"/>
        <v>0.13972589524123563</v>
      </c>
      <c r="AF116" s="938">
        <f t="shared" si="86"/>
        <v>0.10354026601686465</v>
      </c>
      <c r="AG116" s="938">
        <f t="shared" si="87"/>
        <v>0.2432661612581003</v>
      </c>
      <c r="AH116" s="1173">
        <f t="shared" si="83"/>
        <v>0.57437456372318629</v>
      </c>
      <c r="AI116" s="938">
        <f t="shared" si="84"/>
        <v>0.42562543627681371</v>
      </c>
      <c r="AK116" s="1172"/>
      <c r="AL116" s="1172"/>
    </row>
    <row r="117" spans="1:39" x14ac:dyDescent="0.2">
      <c r="A117" s="330">
        <v>2048</v>
      </c>
      <c r="B117" s="344">
        <v>0</v>
      </c>
      <c r="C117" s="345">
        <v>5.9900084822429416E-2</v>
      </c>
      <c r="D117" s="345">
        <v>0.1598604887614207</v>
      </c>
      <c r="E117" s="345">
        <v>0.23335469662008732</v>
      </c>
      <c r="F117" s="345">
        <v>0.24938854986391518</v>
      </c>
      <c r="G117" s="345">
        <v>0.25234135675349006</v>
      </c>
      <c r="H117" s="345">
        <v>0.25357965712846087</v>
      </c>
      <c r="I117" s="345">
        <v>0.25375596072361761</v>
      </c>
      <c r="J117" s="345">
        <v>0.25360561879030102</v>
      </c>
      <c r="K117" s="345">
        <v>0.2526459345435233</v>
      </c>
      <c r="L117" s="380">
        <v>0.2523155533572608</v>
      </c>
      <c r="M117" s="296">
        <f t="shared" si="79"/>
        <v>0.13946094146459007</v>
      </c>
      <c r="N117" s="298">
        <f t="shared" si="80"/>
        <v>0.11107670994500302</v>
      </c>
      <c r="O117" s="344">
        <v>0</v>
      </c>
      <c r="P117" s="345">
        <v>7.3882131284872171E-2</v>
      </c>
      <c r="Q117" s="345">
        <v>0.15658255202585067</v>
      </c>
      <c r="R117" s="345">
        <v>0.26931122310026623</v>
      </c>
      <c r="S117" s="345">
        <v>0.29991907418854324</v>
      </c>
      <c r="T117" s="345">
        <v>0.32258037878410895</v>
      </c>
      <c r="U117" s="345">
        <v>0.3269086455816993</v>
      </c>
      <c r="V117" s="345">
        <v>0.32995030241249534</v>
      </c>
      <c r="W117" s="345">
        <v>0.3298879216181676</v>
      </c>
      <c r="X117" s="345">
        <v>0.33133331568344948</v>
      </c>
      <c r="Y117" s="380">
        <v>0.33006666094567466</v>
      </c>
      <c r="Z117" s="296">
        <f t="shared" si="81"/>
        <v>0.10302396347802421</v>
      </c>
      <c r="AA117" s="298">
        <f t="shared" si="82"/>
        <v>8.5388172851265556E-2</v>
      </c>
      <c r="AB117" s="949">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50">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7">
        <f t="shared" si="88"/>
        <v>0</v>
      </c>
      <c r="AE117" s="938">
        <f t="shared" si="85"/>
        <v>0.13946094146459007</v>
      </c>
      <c r="AF117" s="938">
        <f t="shared" si="86"/>
        <v>0.10302396347802421</v>
      </c>
      <c r="AG117" s="938">
        <f t="shared" si="87"/>
        <v>0.24248490494261427</v>
      </c>
      <c r="AH117" s="1173">
        <f t="shared" si="83"/>
        <v>0.57513246648320016</v>
      </c>
      <c r="AI117" s="938">
        <f t="shared" si="84"/>
        <v>0.42486753351679996</v>
      </c>
      <c r="AK117" s="1172"/>
      <c r="AL117" s="1172"/>
    </row>
    <row r="118" spans="1:39" x14ac:dyDescent="0.2">
      <c r="A118" s="330">
        <v>2049</v>
      </c>
      <c r="B118" s="344">
        <v>0</v>
      </c>
      <c r="C118" s="345">
        <v>6.1361027843889838E-2</v>
      </c>
      <c r="D118" s="345">
        <v>0.16086943112535765</v>
      </c>
      <c r="E118" s="345">
        <v>0.23545515992557814</v>
      </c>
      <c r="F118" s="345">
        <v>0.2481175413247993</v>
      </c>
      <c r="G118" s="345">
        <v>0.25076204292879695</v>
      </c>
      <c r="H118" s="345">
        <v>0.25368532996102694</v>
      </c>
      <c r="I118" s="345">
        <v>0.25386179455895208</v>
      </c>
      <c r="J118" s="345">
        <v>0.25371134227613612</v>
      </c>
      <c r="K118" s="345">
        <v>0.25315909486466942</v>
      </c>
      <c r="L118" s="380">
        <v>0.25242023676372549</v>
      </c>
      <c r="M118" s="296">
        <f t="shared" si="79"/>
        <v>0.13951385712436776</v>
      </c>
      <c r="N118" s="298">
        <f t="shared" si="80"/>
        <v>0.1112960098178095</v>
      </c>
      <c r="O118" s="344">
        <v>0</v>
      </c>
      <c r="P118" s="345">
        <v>7.8089521736632153E-2</v>
      </c>
      <c r="Q118" s="345">
        <v>0.15293025950542596</v>
      </c>
      <c r="R118" s="345">
        <v>0.26295028893748768</v>
      </c>
      <c r="S118" s="345">
        <v>0.29373598448688787</v>
      </c>
      <c r="T118" s="345">
        <v>0.31675914212459194</v>
      </c>
      <c r="U118" s="345">
        <v>0.32137278866561075</v>
      </c>
      <c r="V118" s="345">
        <v>0.32473412670539442</v>
      </c>
      <c r="W118" s="345">
        <v>0.32667374473766736</v>
      </c>
      <c r="X118" s="345">
        <v>0.32686886671457421</v>
      </c>
      <c r="Y118" s="380">
        <v>0.32686886671457421</v>
      </c>
      <c r="Z118" s="296">
        <f t="shared" si="81"/>
        <v>0.101234966434228</v>
      </c>
      <c r="AA118" s="298">
        <f t="shared" si="82"/>
        <v>8.4055473859787844E-2</v>
      </c>
      <c r="AB118" s="949">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50">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7">
        <f t="shared" si="88"/>
        <v>0</v>
      </c>
      <c r="AE118" s="938">
        <f t="shared" si="85"/>
        <v>0.13951385712436776</v>
      </c>
      <c r="AF118" s="938">
        <f t="shared" si="86"/>
        <v>0.101234966434228</v>
      </c>
      <c r="AG118" s="938">
        <f t="shared" si="87"/>
        <v>0.24074882355859575</v>
      </c>
      <c r="AH118" s="1173">
        <f t="shared" si="83"/>
        <v>0.57949964225022077</v>
      </c>
      <c r="AI118" s="938">
        <f t="shared" si="84"/>
        <v>0.42050035774977923</v>
      </c>
      <c r="AK118" s="1172"/>
      <c r="AL118" s="1172"/>
    </row>
    <row r="119" spans="1:39" ht="15" thickBot="1" x14ac:dyDescent="0.25">
      <c r="A119" s="328">
        <v>2050</v>
      </c>
      <c r="B119" s="346">
        <v>0</v>
      </c>
      <c r="C119" s="347">
        <v>6.2562299192731916E-2</v>
      </c>
      <c r="D119" s="347">
        <v>0.16175006370216932</v>
      </c>
      <c r="E119" s="347">
        <v>0.23469112834625019</v>
      </c>
      <c r="F119" s="347">
        <v>0.24820489595167095</v>
      </c>
      <c r="G119" s="347">
        <v>0.25085123300368023</v>
      </c>
      <c r="H119" s="347">
        <v>0.25377663960261249</v>
      </c>
      <c r="I119" s="347">
        <v>0.25278861488072035</v>
      </c>
      <c r="J119" s="347">
        <v>0.25284140430258079</v>
      </c>
      <c r="K119" s="347">
        <v>0.25324992145806779</v>
      </c>
      <c r="L119" s="381">
        <v>0.25251049667522896</v>
      </c>
      <c r="M119" s="310">
        <f t="shared" si="79"/>
        <v>0.13947587852029189</v>
      </c>
      <c r="N119" s="312">
        <f>SUMPRODUCT($B$73:$L$73,$B119:$L119)</f>
        <v>0.11138535844665151</v>
      </c>
      <c r="O119" s="346">
        <v>0</v>
      </c>
      <c r="P119" s="347">
        <v>7.2873824258486444E-2</v>
      </c>
      <c r="Q119" s="347">
        <v>0.15548562402126989</v>
      </c>
      <c r="R119" s="347">
        <v>0.26107231277434634</v>
      </c>
      <c r="S119" s="347">
        <v>0.291803899971879</v>
      </c>
      <c r="T119" s="347">
        <v>0.31479747808274022</v>
      </c>
      <c r="U119" s="347">
        <v>0.31941547779169177</v>
      </c>
      <c r="V119" s="347">
        <v>0.3227824334340702</v>
      </c>
      <c r="W119" s="347">
        <v>0.32472918926323185</v>
      </c>
      <c r="X119" s="347">
        <v>0.32493368639696957</v>
      </c>
      <c r="Y119" s="381">
        <v>0.32411508282139179</v>
      </c>
      <c r="Z119" s="310">
        <f>SUMPRODUCT($O$74:$Y$74,$O119:$Y119)</f>
        <v>0.10059101800725796</v>
      </c>
      <c r="AA119" s="312">
        <f t="shared" si="82"/>
        <v>8.3408195503042667E-2</v>
      </c>
      <c r="AB119" s="951">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2">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8">
        <f t="shared" si="88"/>
        <v>0</v>
      </c>
      <c r="AE119" s="938">
        <f t="shared" si="85"/>
        <v>0.13947587852029189</v>
      </c>
      <c r="AF119" s="938">
        <f t="shared" si="86"/>
        <v>0.10059101800725796</v>
      </c>
      <c r="AG119" s="938">
        <f t="shared" si="87"/>
        <v>0.24006689652754987</v>
      </c>
      <c r="AH119" s="1173">
        <f t="shared" si="83"/>
        <v>0.58098755196048346</v>
      </c>
      <c r="AI119" s="938">
        <f t="shared" si="84"/>
        <v>0.41901244803951648</v>
      </c>
      <c r="AK119" s="1172"/>
      <c r="AL119" s="1172"/>
    </row>
    <row r="120" spans="1:39" x14ac:dyDescent="0.2">
      <c r="B120" s="227" t="str">
        <f>"Output generated: "&amp; TEXT($L$4,"m/dd/yyyy hh:mm")</f>
        <v>Output generated: 7/21/2020 15:48</v>
      </c>
      <c r="O120" s="227" t="str">
        <f>"Output generated: "&amp; TEXT($L$5,"m/dd/yyyy hh:mm")</f>
        <v>Output generated: 7/21/2020 15:48</v>
      </c>
      <c r="AB120"/>
      <c r="AC120"/>
      <c r="AD120"/>
      <c r="AE120" s="938"/>
      <c r="AF120" s="938"/>
      <c r="AG120" s="938"/>
      <c r="AH120" s="938"/>
      <c r="AI120" s="938"/>
    </row>
    <row r="121" spans="1:39" ht="15" thickBot="1" x14ac:dyDescent="0.25">
      <c r="AE121" s="938"/>
      <c r="AF121" s="938"/>
      <c r="AG121" s="938"/>
      <c r="AH121" s="938"/>
      <c r="AI121" s="938"/>
    </row>
    <row r="122" spans="1:39" ht="15" x14ac:dyDescent="0.2">
      <c r="A122" s="333"/>
      <c r="B122" s="1553" t="s">
        <v>253</v>
      </c>
      <c r="C122" s="1554"/>
      <c r="D122" s="1554"/>
      <c r="E122" s="1554"/>
      <c r="F122" s="1554"/>
      <c r="G122" s="1554"/>
      <c r="H122" s="1554"/>
      <c r="I122" s="1554"/>
      <c r="J122" s="1554"/>
      <c r="K122" s="1554"/>
      <c r="L122" s="1554"/>
      <c r="M122" s="1554"/>
      <c r="N122" s="1555"/>
      <c r="O122" s="1553" t="s">
        <v>254</v>
      </c>
      <c r="P122" s="1554"/>
      <c r="Q122" s="1554"/>
      <c r="R122" s="1554"/>
      <c r="S122" s="1554"/>
      <c r="T122" s="1554"/>
      <c r="U122" s="1554"/>
      <c r="V122" s="1554"/>
      <c r="W122" s="1554"/>
      <c r="X122" s="1554"/>
      <c r="Y122" s="1554"/>
      <c r="Z122" s="1554"/>
      <c r="AA122" s="1555"/>
      <c r="AE122" s="938"/>
      <c r="AF122" s="938"/>
      <c r="AG122" s="938"/>
      <c r="AH122" s="938"/>
      <c r="AI122" s="938"/>
    </row>
    <row r="123" spans="1:39" x14ac:dyDescent="0.2">
      <c r="A123" s="324"/>
      <c r="B123" s="1556" t="s">
        <v>121</v>
      </c>
      <c r="C123" s="1557"/>
      <c r="D123" s="1557"/>
      <c r="E123" s="1557"/>
      <c r="F123" s="1557"/>
      <c r="G123" s="1557"/>
      <c r="H123" s="1557"/>
      <c r="I123" s="1557"/>
      <c r="J123" s="1557"/>
      <c r="K123" s="1557"/>
      <c r="L123" s="1557"/>
      <c r="M123" s="382"/>
      <c r="N123" s="325"/>
      <c r="O123" s="1556" t="s">
        <v>121</v>
      </c>
      <c r="P123" s="1557"/>
      <c r="Q123" s="1557"/>
      <c r="R123" s="1557"/>
      <c r="S123" s="1557"/>
      <c r="T123" s="1557"/>
      <c r="U123" s="1557"/>
      <c r="V123" s="1557"/>
      <c r="W123" s="1557"/>
      <c r="X123" s="1557"/>
      <c r="Y123" s="1557"/>
      <c r="Z123" s="382"/>
      <c r="AA123" s="325"/>
      <c r="AC123" s="955" t="s">
        <v>267</v>
      </c>
      <c r="AD123" s="234" t="b">
        <f>INDEX(TECH_OPT_FUEL2_Cls1,MATCH(RIGHT(O122),TECH_OPT_ROWS_Cls1,0))&lt;&gt;"N/A"</f>
        <v>0</v>
      </c>
      <c r="AE123" s="938"/>
      <c r="AF123" s="938"/>
      <c r="AG123" s="938"/>
      <c r="AH123" s="938"/>
      <c r="AI123" s="938"/>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7"/>
      <c r="AC124" s="955" t="s">
        <v>268</v>
      </c>
      <c r="AD124" s="234">
        <f>MATCH(RIGHT(O122),TECH_OPT_ROWS_Cls1,0)</f>
        <v>3</v>
      </c>
      <c r="AE124" s="938"/>
      <c r="AF124" s="938"/>
      <c r="AG124" s="938"/>
      <c r="AH124" s="938"/>
      <c r="AI124" s="938"/>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10">
        <v>5.2963907111801883E-3</v>
      </c>
      <c r="Z125" s="1215"/>
      <c r="AA125" s="1216"/>
    </row>
    <row r="126" spans="1:39" x14ac:dyDescent="0.2">
      <c r="A126" s="331" t="s">
        <v>125</v>
      </c>
      <c r="B126" s="924">
        <f t="array" ref="B126:L126">TRANSPOSE(Cls2CentVMTShr)</f>
        <v>6.3375455551975849E-3</v>
      </c>
      <c r="C126" s="925">
        <v>3.496913005496359E-2</v>
      </c>
      <c r="D126" s="925">
        <v>5.9955127131675522E-2</v>
      </c>
      <c r="E126" s="925">
        <v>8.4599669387910512E-2</v>
      </c>
      <c r="F126" s="925">
        <v>0.12702701008436962</v>
      </c>
      <c r="G126" s="925">
        <v>6.7204731283582092E-2</v>
      </c>
      <c r="H126" s="925">
        <v>8.8708982453757024E-2</v>
      </c>
      <c r="I126" s="925">
        <v>6.4694225377098208E-2</v>
      </c>
      <c r="J126" s="925">
        <v>3.2526447027526634E-2</v>
      </c>
      <c r="K126" s="925">
        <v>1.589064319454132E-2</v>
      </c>
      <c r="L126" s="1211">
        <v>3.2608183213810787E-2</v>
      </c>
      <c r="M126" s="1212"/>
      <c r="N126" s="1213"/>
      <c r="O126" s="924">
        <f t="array" ref="O126:Y126">TRANSPOSE(Cls2NCentVMTShr)</f>
        <v>8.1228463417563086E-3</v>
      </c>
      <c r="P126" s="925">
        <v>2.7563836768431361E-2</v>
      </c>
      <c r="Q126" s="925">
        <v>4.1883113088337191E-2</v>
      </c>
      <c r="R126" s="925">
        <v>6.4289357588678764E-2</v>
      </c>
      <c r="S126" s="925">
        <v>9.1183275251204537E-2</v>
      </c>
      <c r="T126" s="925">
        <v>5.1984283219922628E-2</v>
      </c>
      <c r="U126" s="925">
        <v>5.0286059545109812E-2</v>
      </c>
      <c r="V126" s="925">
        <v>1.5542287574292338E-2</v>
      </c>
      <c r="W126" s="925">
        <v>1.4506257462625264E-2</v>
      </c>
      <c r="X126" s="925">
        <v>4.9330966304706684E-3</v>
      </c>
      <c r="Y126" s="926">
        <v>1.5183891764738403E-2</v>
      </c>
      <c r="Z126" s="1212"/>
      <c r="AA126" s="1213"/>
      <c r="AB126" s="1550" t="str">
        <f>"% of miles on f2 for Tech "&amp; RIGHT(O121)&amp;" adopters"</f>
        <v>% of miles on f2 for Tech  adopters</v>
      </c>
      <c r="AC126" s="1551"/>
      <c r="AD126" s="1552"/>
      <c r="AE126" s="938" t="s">
        <v>305</v>
      </c>
      <c r="AF126" s="938"/>
      <c r="AG126" s="938"/>
      <c r="AH126" s="1173" t="s">
        <v>306</v>
      </c>
      <c r="AI126" s="938"/>
    </row>
    <row r="127" spans="1:39" ht="15" thickBot="1" x14ac:dyDescent="0.25">
      <c r="A127" s="943" t="s">
        <v>266</v>
      </c>
      <c r="B127" s="934">
        <f t="array" ref="B127:L127">TRANSPOSE(Cls2CentVMT/OPDAYS_Cls2)</f>
        <v>49.332453271995263</v>
      </c>
      <c r="C127" s="935">
        <v>120.11441047790339</v>
      </c>
      <c r="D127" s="935">
        <v>200.99157969807086</v>
      </c>
      <c r="E127" s="935">
        <v>280.98421424125928</v>
      </c>
      <c r="F127" s="935">
        <v>358.20644524895255</v>
      </c>
      <c r="G127" s="935">
        <v>432.82805471770689</v>
      </c>
      <c r="H127" s="935">
        <v>517.10615118099815</v>
      </c>
      <c r="I127" s="935">
        <v>597.8087063838957</v>
      </c>
      <c r="J127" s="935">
        <v>676.93419409560215</v>
      </c>
      <c r="K127" s="935">
        <v>746.82245226325631</v>
      </c>
      <c r="L127" s="936">
        <v>895.92826380844349</v>
      </c>
      <c r="M127" s="932"/>
      <c r="N127" s="933"/>
      <c r="O127" s="934">
        <f t="array" ref="O127:Y127">TRANSPOSE(Cls2NCentVMT/OPDAYS_Cls2)</f>
        <v>54.31462614952413</v>
      </c>
      <c r="P127" s="935">
        <v>126.62311644744663</v>
      </c>
      <c r="Q127" s="935">
        <v>206.96826351576016</v>
      </c>
      <c r="R127" s="935">
        <v>286.46600131499179</v>
      </c>
      <c r="S127" s="935">
        <v>358.9638908170715</v>
      </c>
      <c r="T127" s="935">
        <v>450.55545819643328</v>
      </c>
      <c r="U127" s="935">
        <v>511.93098482414172</v>
      </c>
      <c r="V127" s="935">
        <v>579.22933632093111</v>
      </c>
      <c r="W127" s="935">
        <v>695.25665569614875</v>
      </c>
      <c r="X127" s="935">
        <v>759.80682330760794</v>
      </c>
      <c r="Y127" s="1214">
        <v>882.81167173661356</v>
      </c>
      <c r="Z127" s="944"/>
      <c r="AA127" s="933"/>
      <c r="AB127" s="946" t="s">
        <v>186</v>
      </c>
      <c r="AC127" s="947" t="s">
        <v>15</v>
      </c>
      <c r="AD127" s="948" t="s">
        <v>18</v>
      </c>
      <c r="AE127" s="938" t="s">
        <v>186</v>
      </c>
      <c r="AF127" s="938" t="s">
        <v>15</v>
      </c>
      <c r="AG127" s="938" t="s">
        <v>18</v>
      </c>
      <c r="AH127" s="1173" t="s">
        <v>186</v>
      </c>
      <c r="AI127" s="938"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9">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50">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7">
        <f>AB128*AH128+AC128*AI128</f>
        <v>0</v>
      </c>
      <c r="AE128" s="938">
        <f t="shared" ref="AE128" si="91">SUMPRODUCT($B$74:$L$74,B128:L128)</f>
        <v>0</v>
      </c>
      <c r="AF128" s="938">
        <f t="shared" ref="AF128" si="92">SUMPRODUCT($O$74:$Y$74,O128:Y128)</f>
        <v>0</v>
      </c>
      <c r="AG128" s="938">
        <f t="shared" ref="AG128" si="93">SUM(AE128:AF128)</f>
        <v>0</v>
      </c>
      <c r="AH128" s="1173">
        <f>IF(AG128&gt;0,AE128/AG128,0)</f>
        <v>0</v>
      </c>
      <c r="AI128" s="938">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9">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50">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7">
        <f t="shared" ref="AD129:AD153" si="96">AB129*AH129+AC129*AI129</f>
        <v>0</v>
      </c>
      <c r="AE129" s="938">
        <f t="shared" ref="AE129:AE143" si="97">SUMPRODUCT($B$74:$L$74,B129:L129)</f>
        <v>0</v>
      </c>
      <c r="AF129" s="938">
        <f t="shared" ref="AF129:AF143" si="98">SUMPRODUCT($O$74:$Y$74,O129:Y129)</f>
        <v>0</v>
      </c>
      <c r="AG129" s="938">
        <f t="shared" ref="AG129:AG143" si="99">SUM(AE129:AF129)</f>
        <v>0</v>
      </c>
      <c r="AH129" s="1173">
        <f>IF(AG129&gt;0,AE129/AG129,0)</f>
        <v>0</v>
      </c>
      <c r="AI129" s="938">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9">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50">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7">
        <f t="shared" si="96"/>
        <v>0</v>
      </c>
      <c r="AE130" s="938">
        <f t="shared" si="97"/>
        <v>0</v>
      </c>
      <c r="AF130" s="938">
        <f t="shared" si="98"/>
        <v>0</v>
      </c>
      <c r="AG130" s="938">
        <f t="shared" si="99"/>
        <v>0</v>
      </c>
      <c r="AH130" s="1173">
        <f t="shared" ref="AH130:AH172" si="100">IF(AG130&gt;0,AE130/AG130,0)</f>
        <v>0</v>
      </c>
      <c r="AI130" s="938">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9">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50">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7">
        <f t="shared" si="96"/>
        <v>0</v>
      </c>
      <c r="AE131" s="938">
        <f t="shared" si="97"/>
        <v>0</v>
      </c>
      <c r="AF131" s="938">
        <f t="shared" si="98"/>
        <v>0</v>
      </c>
      <c r="AG131" s="938">
        <f t="shared" si="99"/>
        <v>0</v>
      </c>
      <c r="AH131" s="1173">
        <f t="shared" si="100"/>
        <v>0</v>
      </c>
      <c r="AI131" s="938">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9">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50">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7">
        <f t="shared" si="96"/>
        <v>0</v>
      </c>
      <c r="AE132" s="938">
        <f t="shared" si="97"/>
        <v>0</v>
      </c>
      <c r="AF132" s="938">
        <f t="shared" si="98"/>
        <v>0</v>
      </c>
      <c r="AG132" s="938">
        <f t="shared" si="99"/>
        <v>0</v>
      </c>
      <c r="AH132" s="1173">
        <f t="shared" si="100"/>
        <v>0</v>
      </c>
      <c r="AI132" s="938">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9">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50">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7">
        <f t="shared" si="96"/>
        <v>0</v>
      </c>
      <c r="AE133" s="938">
        <f t="shared" si="97"/>
        <v>0</v>
      </c>
      <c r="AF133" s="938">
        <f t="shared" si="98"/>
        <v>0</v>
      </c>
      <c r="AG133" s="938">
        <f t="shared" si="99"/>
        <v>0</v>
      </c>
      <c r="AH133" s="1173">
        <f t="shared" si="100"/>
        <v>0</v>
      </c>
      <c r="AI133" s="938">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9">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50">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7">
        <f t="shared" si="96"/>
        <v>0</v>
      </c>
      <c r="AE134" s="938">
        <f t="shared" si="97"/>
        <v>0</v>
      </c>
      <c r="AF134" s="938">
        <f t="shared" si="98"/>
        <v>0</v>
      </c>
      <c r="AG134" s="938">
        <f t="shared" si="99"/>
        <v>0</v>
      </c>
      <c r="AH134" s="1173">
        <f t="shared" si="100"/>
        <v>0</v>
      </c>
      <c r="AI134" s="938">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9">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50">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7">
        <f t="shared" si="96"/>
        <v>0</v>
      </c>
      <c r="AE135" s="938">
        <f t="shared" si="97"/>
        <v>0</v>
      </c>
      <c r="AF135" s="938">
        <f t="shared" si="98"/>
        <v>0</v>
      </c>
      <c r="AG135" s="938">
        <f t="shared" si="99"/>
        <v>0</v>
      </c>
      <c r="AH135" s="1173">
        <f t="shared" si="100"/>
        <v>0</v>
      </c>
      <c r="AI135" s="938">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9">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50">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7">
        <f t="shared" si="96"/>
        <v>0</v>
      </c>
      <c r="AE136" s="938">
        <f t="shared" si="97"/>
        <v>0</v>
      </c>
      <c r="AF136" s="938">
        <f t="shared" si="98"/>
        <v>0</v>
      </c>
      <c r="AG136" s="938">
        <f t="shared" si="99"/>
        <v>0</v>
      </c>
      <c r="AH136" s="1173">
        <f t="shared" si="100"/>
        <v>0</v>
      </c>
      <c r="AI136" s="938">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9">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50">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7">
        <f t="shared" si="96"/>
        <v>0</v>
      </c>
      <c r="AE137" s="938">
        <f t="shared" si="97"/>
        <v>0</v>
      </c>
      <c r="AF137" s="938">
        <f t="shared" si="98"/>
        <v>0</v>
      </c>
      <c r="AG137" s="938">
        <f t="shared" si="99"/>
        <v>0</v>
      </c>
      <c r="AH137" s="1173">
        <f t="shared" si="100"/>
        <v>0</v>
      </c>
      <c r="AI137" s="938">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9">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50">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7">
        <f t="shared" si="96"/>
        <v>0</v>
      </c>
      <c r="AE138" s="938">
        <f t="shared" si="97"/>
        <v>0</v>
      </c>
      <c r="AF138" s="938">
        <f t="shared" si="98"/>
        <v>0</v>
      </c>
      <c r="AG138" s="938">
        <f t="shared" si="99"/>
        <v>0</v>
      </c>
      <c r="AH138" s="1173">
        <f t="shared" si="100"/>
        <v>0</v>
      </c>
      <c r="AI138" s="938">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9">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50">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7">
        <f t="shared" si="96"/>
        <v>0</v>
      </c>
      <c r="AE139" s="938">
        <f t="shared" si="97"/>
        <v>0</v>
      </c>
      <c r="AF139" s="938">
        <f t="shared" si="98"/>
        <v>0</v>
      </c>
      <c r="AG139" s="938">
        <f t="shared" si="99"/>
        <v>0</v>
      </c>
      <c r="AH139" s="1173">
        <f t="shared" si="100"/>
        <v>0</v>
      </c>
      <c r="AI139" s="938">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9">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50">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7">
        <f t="shared" si="96"/>
        <v>0</v>
      </c>
      <c r="AE140" s="938">
        <f t="shared" si="97"/>
        <v>0</v>
      </c>
      <c r="AF140" s="938">
        <f t="shared" si="98"/>
        <v>0</v>
      </c>
      <c r="AG140" s="938">
        <f t="shared" si="99"/>
        <v>0</v>
      </c>
      <c r="AH140" s="1173">
        <f t="shared" si="100"/>
        <v>0</v>
      </c>
      <c r="AI140" s="938">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9">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50">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7">
        <f t="shared" si="96"/>
        <v>0</v>
      </c>
      <c r="AE141" s="938">
        <f t="shared" si="97"/>
        <v>0</v>
      </c>
      <c r="AF141" s="938">
        <f t="shared" si="98"/>
        <v>0</v>
      </c>
      <c r="AG141" s="938">
        <f t="shared" si="99"/>
        <v>0</v>
      </c>
      <c r="AH141" s="1173">
        <f t="shared" si="100"/>
        <v>0</v>
      </c>
      <c r="AI141" s="938">
        <f t="shared" si="101"/>
        <v>0</v>
      </c>
    </row>
    <row r="142" spans="1:35" x14ac:dyDescent="0.2">
      <c r="A142" s="329">
        <v>2021</v>
      </c>
      <c r="B142" s="342">
        <v>1.1537312339601806E-2</v>
      </c>
      <c r="C142" s="343">
        <v>1.1537312339601806E-2</v>
      </c>
      <c r="D142" s="343">
        <v>1.1537312339601806E-2</v>
      </c>
      <c r="E142" s="343">
        <v>1.1742587032886838E-2</v>
      </c>
      <c r="F142" s="343">
        <v>1.3536504983699963E-2</v>
      </c>
      <c r="G142" s="343">
        <v>1.4199383290848664E-2</v>
      </c>
      <c r="H142" s="343">
        <v>1.4704862887569357E-2</v>
      </c>
      <c r="I142" s="343">
        <v>1.5208243537809295E-2</v>
      </c>
      <c r="J142" s="343">
        <v>1.7218605023263774E-2</v>
      </c>
      <c r="K142" s="343">
        <v>1.851375162917868E-2</v>
      </c>
      <c r="L142" s="379">
        <v>2.0698204146004404E-2</v>
      </c>
      <c r="M142" s="282">
        <f t="shared" si="94"/>
        <v>8.653000777971976E-3</v>
      </c>
      <c r="N142" s="284">
        <f t="shared" si="95"/>
        <v>7.6880517854242348E-3</v>
      </c>
      <c r="O142" s="342">
        <v>1.1537312339601806E-2</v>
      </c>
      <c r="P142" s="343">
        <v>1.1537312339601806E-2</v>
      </c>
      <c r="Q142" s="343">
        <v>1.1537312339601806E-2</v>
      </c>
      <c r="R142" s="343">
        <v>1.2408217576382663E-2</v>
      </c>
      <c r="S142" s="343">
        <v>1.377500217214645E-2</v>
      </c>
      <c r="T142" s="343">
        <v>1.4553820173558395E-2</v>
      </c>
      <c r="U142" s="343">
        <v>1.4704862887569357E-2</v>
      </c>
      <c r="V142" s="343">
        <v>1.5208243537809295E-2</v>
      </c>
      <c r="W142" s="343">
        <v>1.851375162917868E-2</v>
      </c>
      <c r="X142" s="343">
        <v>1.9073324702149834E-2</v>
      </c>
      <c r="Y142" s="379">
        <v>2.0772529306979801E-2</v>
      </c>
      <c r="Z142" s="282">
        <f t="shared" si="89"/>
        <v>5.3591671717112292E-3</v>
      </c>
      <c r="AA142" s="284">
        <f t="shared" si="90"/>
        <v>5.3133485999506099E-3</v>
      </c>
      <c r="AB142" s="949">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50">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7">
        <f t="shared" si="96"/>
        <v>0</v>
      </c>
      <c r="AE142" s="938">
        <f t="shared" si="97"/>
        <v>8.653000777971976E-3</v>
      </c>
      <c r="AF142" s="938">
        <f t="shared" si="98"/>
        <v>5.3591671717112292E-3</v>
      </c>
      <c r="AG142" s="938">
        <f t="shared" si="99"/>
        <v>1.4012167949683206E-2</v>
      </c>
      <c r="AH142" s="1173">
        <f t="shared" si="100"/>
        <v>0.61753476043424149</v>
      </c>
      <c r="AI142" s="938">
        <f t="shared" si="101"/>
        <v>0.3824652395657584</v>
      </c>
    </row>
    <row r="143" spans="1:35" x14ac:dyDescent="0.2">
      <c r="A143" s="330">
        <v>2022</v>
      </c>
      <c r="B143" s="344">
        <v>2.3872676274455978E-2</v>
      </c>
      <c r="C143" s="345">
        <v>2.3872676274455978E-2</v>
      </c>
      <c r="D143" s="345">
        <v>2.3872676274455978E-2</v>
      </c>
      <c r="E143" s="345">
        <v>2.43410180943547E-2</v>
      </c>
      <c r="F143" s="345">
        <v>2.7085966890734704E-2</v>
      </c>
      <c r="G143" s="345">
        <v>3.7690893213499888E-2</v>
      </c>
      <c r="H143" s="345">
        <v>4.4346120728428549E-2</v>
      </c>
      <c r="I143" s="345">
        <v>4.9219717961793127E-2</v>
      </c>
      <c r="J143" s="345">
        <v>5.2435226050730047E-2</v>
      </c>
      <c r="K143" s="345">
        <v>5.4799223963464545E-2</v>
      </c>
      <c r="L143" s="380">
        <v>5.6758652298056919E-2</v>
      </c>
      <c r="M143" s="296">
        <f t="shared" si="94"/>
        <v>2.1995541882165411E-2</v>
      </c>
      <c r="N143" s="298">
        <f t="shared" si="95"/>
        <v>1.8048160051544707E-2</v>
      </c>
      <c r="O143" s="344">
        <v>2.3872676274455978E-2</v>
      </c>
      <c r="P143" s="345">
        <v>2.3872676274455978E-2</v>
      </c>
      <c r="Q143" s="345">
        <v>2.3872676274455978E-2</v>
      </c>
      <c r="R143" s="345">
        <v>2.4921265960372078E-2</v>
      </c>
      <c r="S143" s="345">
        <v>3.0378157863562117E-2</v>
      </c>
      <c r="T143" s="345">
        <v>4.1069964768412591E-2</v>
      </c>
      <c r="U143" s="345">
        <v>4.6215058380802275E-2</v>
      </c>
      <c r="V143" s="345">
        <v>4.9219717961793127E-2</v>
      </c>
      <c r="W143" s="345">
        <v>5.3451991753267147E-2</v>
      </c>
      <c r="X143" s="345">
        <v>5.5657042139668003E-2</v>
      </c>
      <c r="Y143" s="380">
        <v>5.6758652298056919E-2</v>
      </c>
      <c r="Z143" s="296">
        <f t="shared" si="89"/>
        <v>1.3359670765678764E-2</v>
      </c>
      <c r="AA143" s="298">
        <f t="shared" si="90"/>
        <v>1.2304976088340282E-2</v>
      </c>
      <c r="AB143" s="949">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50">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7">
        <f t="shared" si="96"/>
        <v>0</v>
      </c>
      <c r="AE143" s="938">
        <f t="shared" si="97"/>
        <v>2.1995541882165411E-2</v>
      </c>
      <c r="AF143" s="938">
        <f t="shared" si="98"/>
        <v>1.3359670765678764E-2</v>
      </c>
      <c r="AG143" s="938">
        <f t="shared" si="99"/>
        <v>3.5355212647844178E-2</v>
      </c>
      <c r="AH143" s="1173">
        <f t="shared" si="100"/>
        <v>0.6221300972292868</v>
      </c>
      <c r="AI143" s="938">
        <f t="shared" si="101"/>
        <v>0.37786990277071303</v>
      </c>
    </row>
    <row r="144" spans="1:35" x14ac:dyDescent="0.2">
      <c r="A144" s="330">
        <v>2023</v>
      </c>
      <c r="B144" s="344">
        <v>1.7263826294576002E-2</v>
      </c>
      <c r="C144" s="345">
        <v>1.7263826294576002E-2</v>
      </c>
      <c r="D144" s="345">
        <v>1.726504624831552E-2</v>
      </c>
      <c r="E144" s="345">
        <v>4.5183416622858463E-2</v>
      </c>
      <c r="F144" s="345">
        <v>7.4722883248920749E-2</v>
      </c>
      <c r="G144" s="345">
        <v>9.2601070682590297E-2</v>
      </c>
      <c r="H144" s="345">
        <v>0.10814846766884391</v>
      </c>
      <c r="I144" s="345">
        <v>0.11587211987489639</v>
      </c>
      <c r="J144" s="345">
        <v>0.12143722495180051</v>
      </c>
      <c r="K144" s="345">
        <v>0.126185989243639</v>
      </c>
      <c r="L144" s="380">
        <v>0.13076686108366775</v>
      </c>
      <c r="M144" s="296">
        <f t="shared" si="94"/>
        <v>4.8594961258433107E-2</v>
      </c>
      <c r="N144" s="298">
        <f t="shared" si="95"/>
        <v>3.425696191667793E-2</v>
      </c>
      <c r="O144" s="344">
        <v>1.7263826294576002E-2</v>
      </c>
      <c r="P144" s="345">
        <v>1.7263826294576002E-2</v>
      </c>
      <c r="Q144" s="345">
        <v>1.8115451413188936E-2</v>
      </c>
      <c r="R144" s="345">
        <v>5.2583542184023828E-2</v>
      </c>
      <c r="S144" s="345">
        <v>7.9166631122355113E-2</v>
      </c>
      <c r="T144" s="345">
        <v>9.9726760474304954E-2</v>
      </c>
      <c r="U144" s="345">
        <v>0.11057156897464809</v>
      </c>
      <c r="V144" s="345">
        <v>0.11807420171745241</v>
      </c>
      <c r="W144" s="345">
        <v>0.12448613588965984</v>
      </c>
      <c r="X144" s="345">
        <v>0.12717720679580605</v>
      </c>
      <c r="Y144" s="380">
        <v>0.13076686108366775</v>
      </c>
      <c r="Z144" s="296">
        <f t="shared" si="89"/>
        <v>2.8972386175440585E-2</v>
      </c>
      <c r="AA144" s="298">
        <f t="shared" si="90"/>
        <v>2.2517889538845398E-2</v>
      </c>
      <c r="AB144" s="949">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50">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7">
        <f t="shared" si="96"/>
        <v>0</v>
      </c>
      <c r="AE144" s="938">
        <f>SUMPRODUCT($B$74:$L$74,B144:L144)</f>
        <v>4.8594961258433107E-2</v>
      </c>
      <c r="AF144" s="938">
        <f>SUMPRODUCT($O$74:$Y$74,O144:Y144)</f>
        <v>2.8972386175440585E-2</v>
      </c>
      <c r="AG144" s="938">
        <f>SUM(AE144:AF144)</f>
        <v>7.7567347433873696E-2</v>
      </c>
      <c r="AH144" s="1173">
        <f t="shared" si="100"/>
        <v>0.62648734120836602</v>
      </c>
      <c r="AI144" s="938">
        <f t="shared" si="101"/>
        <v>0.37351265879163392</v>
      </c>
    </row>
    <row r="145" spans="1:35" x14ac:dyDescent="0.2">
      <c r="A145" s="330">
        <v>2024</v>
      </c>
      <c r="B145" s="344">
        <v>0</v>
      </c>
      <c r="C145" s="345">
        <v>0</v>
      </c>
      <c r="D145" s="345">
        <v>2.6525490558362334E-2</v>
      </c>
      <c r="E145" s="345">
        <v>9.016917207354927E-2</v>
      </c>
      <c r="F145" s="345">
        <v>0.14870888195059176</v>
      </c>
      <c r="G145" s="345">
        <v>0.17835998962500582</v>
      </c>
      <c r="H145" s="345">
        <v>0.20213580132992542</v>
      </c>
      <c r="I145" s="345">
        <v>0.22013251831503339</v>
      </c>
      <c r="J145" s="345">
        <v>0.22895754541519592</v>
      </c>
      <c r="K145" s="345">
        <v>0.23430561114868695</v>
      </c>
      <c r="L145" s="380">
        <v>0.24134385090524824</v>
      </c>
      <c r="M145" s="296">
        <f t="shared" si="94"/>
        <v>9.1308091978465733E-2</v>
      </c>
      <c r="N145" s="298">
        <f t="shared" si="95"/>
        <v>6.120574008659134E-2</v>
      </c>
      <c r="O145" s="344">
        <v>0</v>
      </c>
      <c r="P145" s="345">
        <v>5.115356354226929E-4</v>
      </c>
      <c r="Q145" s="345">
        <v>3.8792467001363101E-2</v>
      </c>
      <c r="R145" s="345">
        <v>0.10437902682013753</v>
      </c>
      <c r="S145" s="345">
        <v>0.15704099337031838</v>
      </c>
      <c r="T145" s="345">
        <v>0.19444370088331717</v>
      </c>
      <c r="U145" s="345">
        <v>0.20950500464970484</v>
      </c>
      <c r="V145" s="345">
        <v>0.22013251831503339</v>
      </c>
      <c r="W145" s="345">
        <v>0.23430561114868695</v>
      </c>
      <c r="X145" s="345">
        <v>0.23706838414680165</v>
      </c>
      <c r="Y145" s="380">
        <v>0.24479088051096456</v>
      </c>
      <c r="Z145" s="296">
        <f t="shared" si="89"/>
        <v>5.5018639333283235E-2</v>
      </c>
      <c r="AA145" s="298">
        <f t="shared" si="90"/>
        <v>4.0289708258276047E-2</v>
      </c>
      <c r="AB145" s="949">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50">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7">
        <f t="shared" si="96"/>
        <v>0</v>
      </c>
      <c r="AE145" s="938">
        <f t="shared" ref="AE145:AE172" si="102">SUMPRODUCT($B$74:$L$74,B145:L145)</f>
        <v>9.1308091978465733E-2</v>
      </c>
      <c r="AF145" s="938">
        <f t="shared" ref="AF145:AF172" si="103">SUMPRODUCT($O$74:$Y$74,O145:Y145)</f>
        <v>5.5018639333283235E-2</v>
      </c>
      <c r="AG145" s="938">
        <f t="shared" ref="AG145:AG172" si="104">SUM(AE145:AF145)</f>
        <v>0.14632673131174898</v>
      </c>
      <c r="AH145" s="1173">
        <f t="shared" si="100"/>
        <v>0.62400144635182153</v>
      </c>
      <c r="AI145" s="938">
        <f t="shared" si="101"/>
        <v>0.37599855364817841</v>
      </c>
    </row>
    <row r="146" spans="1:35" ht="15" thickBot="1" x14ac:dyDescent="0.25">
      <c r="A146" s="328">
        <v>2025</v>
      </c>
      <c r="B146" s="346">
        <v>0</v>
      </c>
      <c r="C146" s="347">
        <v>1.5740897683954029E-4</v>
      </c>
      <c r="D146" s="347">
        <v>3.8393384773298754E-2</v>
      </c>
      <c r="E146" s="347">
        <v>0.13325161204706437</v>
      </c>
      <c r="F146" s="347">
        <v>0.21183083984624271</v>
      </c>
      <c r="G146" s="347">
        <v>0.26038629031342136</v>
      </c>
      <c r="H146" s="347">
        <v>0.30102636688682083</v>
      </c>
      <c r="I146" s="347">
        <v>0.32136868737970287</v>
      </c>
      <c r="J146" s="347">
        <v>0.33491077915778233</v>
      </c>
      <c r="K146" s="347">
        <v>0.34272769414870263</v>
      </c>
      <c r="L146" s="381">
        <v>0.35518910527163361</v>
      </c>
      <c r="M146" s="310">
        <f t="shared" si="94"/>
        <v>0.13340398957128166</v>
      </c>
      <c r="N146" s="312">
        <f t="shared" si="95"/>
        <v>8.9271174407423409E-2</v>
      </c>
      <c r="O146" s="346">
        <v>0</v>
      </c>
      <c r="P146" s="347">
        <v>7.8449185809284527E-4</v>
      </c>
      <c r="Q146" s="347">
        <v>5.5607785533247758E-2</v>
      </c>
      <c r="R146" s="347">
        <v>0.15409293831916274</v>
      </c>
      <c r="S146" s="347">
        <v>0.22396642506345313</v>
      </c>
      <c r="T146" s="347">
        <v>0.27859207865304947</v>
      </c>
      <c r="U146" s="347">
        <v>0.30102636688682083</v>
      </c>
      <c r="V146" s="347">
        <v>0.32136868737970287</v>
      </c>
      <c r="W146" s="347">
        <v>0.33877234428762998</v>
      </c>
      <c r="X146" s="347">
        <v>0.34609297664483274</v>
      </c>
      <c r="Y146" s="381">
        <v>0.35518910527163361</v>
      </c>
      <c r="Z146" s="310">
        <f t="shared" si="89"/>
        <v>7.9308604733586099E-2</v>
      </c>
      <c r="AA146" s="312">
        <f t="shared" si="90"/>
        <v>5.809506895838526E-2</v>
      </c>
      <c r="AB146" s="949">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50">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7">
        <f t="shared" si="96"/>
        <v>0</v>
      </c>
      <c r="AE146" s="938">
        <f t="shared" si="102"/>
        <v>0.13340398957128166</v>
      </c>
      <c r="AF146" s="938">
        <f t="shared" si="103"/>
        <v>7.9308604733586099E-2</v>
      </c>
      <c r="AG146" s="938">
        <f t="shared" si="104"/>
        <v>0.21271259430486777</v>
      </c>
      <c r="AH146" s="1173">
        <f t="shared" si="100"/>
        <v>0.62715604596539309</v>
      </c>
      <c r="AI146" s="938">
        <f t="shared" si="101"/>
        <v>0.37284395403460685</v>
      </c>
    </row>
    <row r="147" spans="1:35" x14ac:dyDescent="0.2">
      <c r="A147" s="329">
        <v>2026</v>
      </c>
      <c r="B147" s="342">
        <v>0</v>
      </c>
      <c r="C147" s="343">
        <v>1.1979331113918512E-3</v>
      </c>
      <c r="D147" s="343">
        <v>8.1315254544365792E-2</v>
      </c>
      <c r="E147" s="343">
        <v>0.20613468086809006</v>
      </c>
      <c r="F147" s="343">
        <v>0.29236086940314854</v>
      </c>
      <c r="G147" s="343">
        <v>0.34932321439045477</v>
      </c>
      <c r="H147" s="343">
        <v>0.38144481471750358</v>
      </c>
      <c r="I147" s="343">
        <v>0.40339308809739827</v>
      </c>
      <c r="J147" s="343">
        <v>0.41280840009634889</v>
      </c>
      <c r="K147" s="343">
        <v>0.42099947832066498</v>
      </c>
      <c r="L147" s="379">
        <v>0.43309876315435109</v>
      </c>
      <c r="M147" s="282">
        <f t="shared" si="94"/>
        <v>0.17714447441845468</v>
      </c>
      <c r="N147" s="284">
        <f t="shared" si="95"/>
        <v>0.12263121456038696</v>
      </c>
      <c r="O147" s="342">
        <v>0</v>
      </c>
      <c r="P147" s="343">
        <v>4.6354489844620279E-3</v>
      </c>
      <c r="Q147" s="343">
        <v>0.10685766721467603</v>
      </c>
      <c r="R147" s="343">
        <v>0.23407480366213665</v>
      </c>
      <c r="S147" s="343">
        <v>0.30696893874003695</v>
      </c>
      <c r="T147" s="343">
        <v>0.36258029157115934</v>
      </c>
      <c r="U147" s="343">
        <v>0.38708216269820372</v>
      </c>
      <c r="V147" s="343">
        <v>0.40339308809739827</v>
      </c>
      <c r="W147" s="343">
        <v>0.42099947832066498</v>
      </c>
      <c r="X147" s="343">
        <v>0.42781791136849046</v>
      </c>
      <c r="Y147" s="379">
        <v>0.43309876315435109</v>
      </c>
      <c r="Z147" s="282">
        <f t="shared" si="89"/>
        <v>0.10701893780363786</v>
      </c>
      <c r="AA147" s="284">
        <f t="shared" si="90"/>
        <v>8.0936154781229536E-2</v>
      </c>
      <c r="AB147" s="949">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50">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7">
        <f t="shared" si="96"/>
        <v>0</v>
      </c>
      <c r="AE147" s="938">
        <f t="shared" si="102"/>
        <v>0.17714447441845468</v>
      </c>
      <c r="AF147" s="938">
        <f t="shared" si="103"/>
        <v>0.10701893780363786</v>
      </c>
      <c r="AG147" s="938">
        <f t="shared" si="104"/>
        <v>0.28416341222209252</v>
      </c>
      <c r="AH147" s="1173">
        <f t="shared" si="100"/>
        <v>0.62338945409342339</v>
      </c>
      <c r="AI147" s="938">
        <f t="shared" si="101"/>
        <v>0.37661054590657672</v>
      </c>
    </row>
    <row r="148" spans="1:35" x14ac:dyDescent="0.2">
      <c r="A148" s="330">
        <v>2027</v>
      </c>
      <c r="B148" s="344">
        <v>0</v>
      </c>
      <c r="C148" s="345">
        <v>3.7168276047765264E-3</v>
      </c>
      <c r="D148" s="345">
        <v>0.11553233063975984</v>
      </c>
      <c r="E148" s="345">
        <v>0.25307625770507275</v>
      </c>
      <c r="F148" s="345">
        <v>0.33993370568710402</v>
      </c>
      <c r="G148" s="345">
        <v>0.39201319311417537</v>
      </c>
      <c r="H148" s="345">
        <v>0.42478686540977184</v>
      </c>
      <c r="I148" s="345">
        <v>0.44116784896857592</v>
      </c>
      <c r="J148" s="345">
        <v>0.45517426223064217</v>
      </c>
      <c r="K148" s="345">
        <v>0.46254618403086117</v>
      </c>
      <c r="L148" s="380">
        <v>0.46825571085775103</v>
      </c>
      <c r="M148" s="296">
        <f t="shared" si="94"/>
        <v>0.20164054984545457</v>
      </c>
      <c r="N148" s="298">
        <f t="shared" si="95"/>
        <v>0.14243006120045731</v>
      </c>
      <c r="O148" s="344">
        <v>0</v>
      </c>
      <c r="P148" s="345">
        <v>1.019432042124749E-2</v>
      </c>
      <c r="Q148" s="345">
        <v>0.14316880132423493</v>
      </c>
      <c r="R148" s="345">
        <v>0.28436505041591675</v>
      </c>
      <c r="S148" s="345">
        <v>0.35540390096751068</v>
      </c>
      <c r="T148" s="345">
        <v>0.40566645925249084</v>
      </c>
      <c r="U148" s="345">
        <v>0.43038580061658904</v>
      </c>
      <c r="V148" s="345">
        <v>0.4463182702885648</v>
      </c>
      <c r="W148" s="345">
        <v>0.46254618403086117</v>
      </c>
      <c r="X148" s="345">
        <v>0.46538236715342207</v>
      </c>
      <c r="Y148" s="380">
        <v>0.47016004986846544</v>
      </c>
      <c r="Z148" s="296">
        <f t="shared" si="89"/>
        <v>0.12277783036458903</v>
      </c>
      <c r="AA148" s="298">
        <f t="shared" si="90"/>
        <v>9.4569424544274208E-2</v>
      </c>
      <c r="AB148" s="949">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50">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7">
        <f t="shared" si="96"/>
        <v>0</v>
      </c>
      <c r="AE148" s="938">
        <f t="shared" si="102"/>
        <v>0.20164054984545457</v>
      </c>
      <c r="AF148" s="938">
        <f t="shared" si="103"/>
        <v>0.12277783036458903</v>
      </c>
      <c r="AG148" s="938">
        <f t="shared" si="104"/>
        <v>0.3244183802100436</v>
      </c>
      <c r="AH148" s="1173">
        <f t="shared" si="100"/>
        <v>0.62154477719450751</v>
      </c>
      <c r="AI148" s="938">
        <f t="shared" si="101"/>
        <v>0.37845522280549249</v>
      </c>
    </row>
    <row r="149" spans="1:35" x14ac:dyDescent="0.2">
      <c r="A149" s="330">
        <v>2028</v>
      </c>
      <c r="B149" s="344">
        <v>0</v>
      </c>
      <c r="C149" s="345">
        <v>8.6533350106302604E-3</v>
      </c>
      <c r="D149" s="345">
        <v>0.14754989937315088</v>
      </c>
      <c r="E149" s="345">
        <v>0.29306670575613969</v>
      </c>
      <c r="F149" s="345">
        <v>0.37389972156670348</v>
      </c>
      <c r="G149" s="345">
        <v>0.41807974576823331</v>
      </c>
      <c r="H149" s="345">
        <v>0.44948404455147334</v>
      </c>
      <c r="I149" s="345">
        <v>0.46449229906211148</v>
      </c>
      <c r="J149" s="345">
        <v>0.47669960345736784</v>
      </c>
      <c r="K149" s="345">
        <v>0.47962271110459931</v>
      </c>
      <c r="L149" s="380">
        <v>0.48652657260169768</v>
      </c>
      <c r="M149" s="296">
        <f t="shared" si="94"/>
        <v>0.21844946675026716</v>
      </c>
      <c r="N149" s="298">
        <f t="shared" si="95"/>
        <v>0.15719397431536394</v>
      </c>
      <c r="O149" s="344">
        <v>0</v>
      </c>
      <c r="P149" s="345">
        <v>2.0609412454626452E-2</v>
      </c>
      <c r="Q149" s="345">
        <v>0.18618692333123879</v>
      </c>
      <c r="R149" s="345">
        <v>0.31780703470198468</v>
      </c>
      <c r="S149" s="345">
        <v>0.38923694534107822</v>
      </c>
      <c r="T149" s="345">
        <v>0.43778488999754872</v>
      </c>
      <c r="U149" s="345">
        <v>0.44948404455147334</v>
      </c>
      <c r="V149" s="345">
        <v>0.46910210872017477</v>
      </c>
      <c r="W149" s="345">
        <v>0.47669960345736784</v>
      </c>
      <c r="X149" s="345">
        <v>0.48258383570978658</v>
      </c>
      <c r="Y149" s="380">
        <v>0.48652657260169768</v>
      </c>
      <c r="Z149" s="296">
        <f t="shared" si="89"/>
        <v>0.13362443377773175</v>
      </c>
      <c r="AA149" s="298">
        <f t="shared" si="90"/>
        <v>0.10502503017422404</v>
      </c>
      <c r="AB149" s="949">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50">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7">
        <f t="shared" si="96"/>
        <v>0</v>
      </c>
      <c r="AE149" s="938">
        <f t="shared" si="102"/>
        <v>0.21844946675026716</v>
      </c>
      <c r="AF149" s="938">
        <f t="shared" si="103"/>
        <v>0.13362443377773175</v>
      </c>
      <c r="AG149" s="938">
        <f t="shared" si="104"/>
        <v>0.35207390052799892</v>
      </c>
      <c r="AH149" s="1173">
        <f t="shared" si="100"/>
        <v>0.62046481270739584</v>
      </c>
      <c r="AI149" s="938">
        <f t="shared" si="101"/>
        <v>0.37953518729260416</v>
      </c>
    </row>
    <row r="150" spans="1:35" x14ac:dyDescent="0.2">
      <c r="A150" s="330">
        <v>2029</v>
      </c>
      <c r="B150" s="344">
        <v>0</v>
      </c>
      <c r="C150" s="345">
        <v>1.5172725410122653E-2</v>
      </c>
      <c r="D150" s="345">
        <v>0.17466002041263604</v>
      </c>
      <c r="E150" s="345">
        <v>0.32136465525914087</v>
      </c>
      <c r="F150" s="345">
        <v>0.39359455433952584</v>
      </c>
      <c r="G150" s="345">
        <v>0.42978588355367275</v>
      </c>
      <c r="H150" s="345">
        <v>0.45975730367050799</v>
      </c>
      <c r="I150" s="345">
        <v>0.47435336851986171</v>
      </c>
      <c r="J150" s="345">
        <v>0.48203591173147015</v>
      </c>
      <c r="K150" s="345">
        <v>0.48798601372035944</v>
      </c>
      <c r="L150" s="380">
        <v>0.49197288670834932</v>
      </c>
      <c r="M150" s="296">
        <f t="shared" si="94"/>
        <v>0.2280186640796126</v>
      </c>
      <c r="N150" s="298">
        <f t="shared" si="95"/>
        <v>0.1666688877147714</v>
      </c>
      <c r="O150" s="344">
        <v>0</v>
      </c>
      <c r="P150" s="345">
        <v>3.0038411898835826E-2</v>
      </c>
      <c r="Q150" s="345">
        <v>0.20990880813256541</v>
      </c>
      <c r="R150" s="345">
        <v>0.33788042880527486</v>
      </c>
      <c r="S150" s="345">
        <v>0.40136398941223272</v>
      </c>
      <c r="T150" s="345">
        <v>0.44852100543329765</v>
      </c>
      <c r="U150" s="345">
        <v>0.46512422276649196</v>
      </c>
      <c r="V150" s="345">
        <v>0.47435336851986171</v>
      </c>
      <c r="W150" s="345">
        <v>0.48798601372035944</v>
      </c>
      <c r="X150" s="345">
        <v>0.48997078856792958</v>
      </c>
      <c r="Y150" s="380">
        <v>0.4927790261595924</v>
      </c>
      <c r="Z150" s="296">
        <f t="shared" si="89"/>
        <v>0.13899547826404171</v>
      </c>
      <c r="AA150" s="298">
        <f t="shared" si="90"/>
        <v>0.11048951474159055</v>
      </c>
      <c r="AB150" s="949">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50">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7">
        <f t="shared" si="96"/>
        <v>0</v>
      </c>
      <c r="AE150" s="938">
        <f t="shared" si="102"/>
        <v>0.2280186640796126</v>
      </c>
      <c r="AF150" s="938">
        <f t="shared" si="103"/>
        <v>0.13899547826404171</v>
      </c>
      <c r="AG150" s="938">
        <f t="shared" si="104"/>
        <v>0.36701414234365431</v>
      </c>
      <c r="AH150" s="1173">
        <f t="shared" si="100"/>
        <v>0.62128032076242701</v>
      </c>
      <c r="AI150" s="938">
        <f t="shared" si="101"/>
        <v>0.37871967923757299</v>
      </c>
    </row>
    <row r="151" spans="1:35" ht="15" thickBot="1" x14ac:dyDescent="0.25">
      <c r="A151" s="328">
        <v>2030</v>
      </c>
      <c r="B151" s="346">
        <v>0</v>
      </c>
      <c r="C151" s="347">
        <v>2.5235498808214303E-2</v>
      </c>
      <c r="D151" s="347">
        <v>0.21073582873748462</v>
      </c>
      <c r="E151" s="347">
        <v>0.33921164534214565</v>
      </c>
      <c r="F151" s="347">
        <v>0.41760306674859288</v>
      </c>
      <c r="G151" s="347">
        <v>0.44442971490102962</v>
      </c>
      <c r="H151" s="347">
        <v>0.46695676766776167</v>
      </c>
      <c r="I151" s="347">
        <v>0.48393508706793908</v>
      </c>
      <c r="J151" s="347">
        <v>0.48990863188893224</v>
      </c>
      <c r="K151" s="347">
        <v>0.49190133179888684</v>
      </c>
      <c r="L151" s="381">
        <v>0.49553295069377812</v>
      </c>
      <c r="M151" s="310">
        <f t="shared" si="94"/>
        <v>0.23777010868601944</v>
      </c>
      <c r="N151" s="312">
        <f t="shared" si="95"/>
        <v>0.17674314508429687</v>
      </c>
      <c r="O151" s="346">
        <v>0</v>
      </c>
      <c r="P151" s="347">
        <v>4.5121649203859734E-2</v>
      </c>
      <c r="Q151" s="347">
        <v>0.24114529188751577</v>
      </c>
      <c r="R151" s="347">
        <v>0.36356372107056079</v>
      </c>
      <c r="S151" s="347">
        <v>0.41760306674859288</v>
      </c>
      <c r="T151" s="347">
        <v>0.45630644258574465</v>
      </c>
      <c r="U151" s="347">
        <v>0.47622227537169332</v>
      </c>
      <c r="V151" s="347">
        <v>0.48393508706793908</v>
      </c>
      <c r="W151" s="347">
        <v>0.48990863188893224</v>
      </c>
      <c r="X151" s="347">
        <v>0.49391121277474498</v>
      </c>
      <c r="Y151" s="381">
        <v>0.49553295069377812</v>
      </c>
      <c r="Z151" s="310">
        <f t="shared" si="89"/>
        <v>0.14505226926451392</v>
      </c>
      <c r="AA151" s="312">
        <f t="shared" si="90"/>
        <v>0.11721861717518588</v>
      </c>
      <c r="AB151" s="949">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50">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7">
        <f t="shared" si="96"/>
        <v>0</v>
      </c>
      <c r="AE151" s="938">
        <f t="shared" si="102"/>
        <v>0.23777010868601944</v>
      </c>
      <c r="AF151" s="938">
        <f t="shared" si="103"/>
        <v>0.14505226926451392</v>
      </c>
      <c r="AG151" s="938">
        <f t="shared" si="104"/>
        <v>0.38282237795053337</v>
      </c>
      <c r="AH151" s="1173">
        <f t="shared" si="100"/>
        <v>0.62109772672887753</v>
      </c>
      <c r="AI151" s="938">
        <f t="shared" si="101"/>
        <v>0.37890227327112247</v>
      </c>
    </row>
    <row r="152" spans="1:35" x14ac:dyDescent="0.2">
      <c r="A152" s="329">
        <v>2031</v>
      </c>
      <c r="B152" s="342">
        <v>0</v>
      </c>
      <c r="C152" s="343">
        <v>2.8517243012866917E-2</v>
      </c>
      <c r="D152" s="343">
        <v>0.21106572360476736</v>
      </c>
      <c r="E152" s="343">
        <v>0.33974266174021772</v>
      </c>
      <c r="F152" s="343">
        <v>0.41825680042599939</v>
      </c>
      <c r="G152" s="343">
        <v>0.44512544415927746</v>
      </c>
      <c r="H152" s="343">
        <v>0.46768776173658905</v>
      </c>
      <c r="I152" s="343">
        <v>0.48469265972313569</v>
      </c>
      <c r="J152" s="343">
        <v>0.49067555578633454</v>
      </c>
      <c r="K152" s="343">
        <v>0.49468440248322471</v>
      </c>
      <c r="L152" s="379">
        <v>0.49630867914006421</v>
      </c>
      <c r="M152" s="282">
        <f t="shared" si="94"/>
        <v>0.23828769076279649</v>
      </c>
      <c r="N152" s="284">
        <f t="shared" si="95"/>
        <v>0.17732368588517813</v>
      </c>
      <c r="O152" s="342">
        <v>0</v>
      </c>
      <c r="P152" s="343">
        <v>5.0419966023168547E-2</v>
      </c>
      <c r="Q152" s="343">
        <v>0.24152279102726656</v>
      </c>
      <c r="R152" s="343">
        <v>0.37242045871991752</v>
      </c>
      <c r="S152" s="343">
        <v>0.41825680042599939</v>
      </c>
      <c r="T152" s="343">
        <v>0.45702076418079057</v>
      </c>
      <c r="U152" s="343">
        <v>0.47696777406203017</v>
      </c>
      <c r="V152" s="343">
        <v>0.48469265972313569</v>
      </c>
      <c r="W152" s="343">
        <v>0.49067555578633454</v>
      </c>
      <c r="X152" s="343">
        <v>0.49468440248322471</v>
      </c>
      <c r="Y152" s="379">
        <v>0.49621727849134123</v>
      </c>
      <c r="Z152" s="282">
        <f t="shared" si="89"/>
        <v>0.14595485186925722</v>
      </c>
      <c r="AA152" s="284">
        <f t="shared" si="90"/>
        <v>0.11832480463098845</v>
      </c>
      <c r="AB152" s="949">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50">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7">
        <f t="shared" si="96"/>
        <v>0</v>
      </c>
      <c r="AE152" s="938">
        <f t="shared" si="102"/>
        <v>0.23828769076279649</v>
      </c>
      <c r="AF152" s="938">
        <f t="shared" si="103"/>
        <v>0.14595485186925722</v>
      </c>
      <c r="AG152" s="938">
        <f t="shared" si="104"/>
        <v>0.38424254263205371</v>
      </c>
      <c r="AH152" s="1173">
        <f t="shared" si="100"/>
        <v>0.62014916185628632</v>
      </c>
      <c r="AI152" s="938">
        <f t="shared" si="101"/>
        <v>0.37985083814371362</v>
      </c>
    </row>
    <row r="153" spans="1:35" x14ac:dyDescent="0.2">
      <c r="A153" s="330">
        <v>2032</v>
      </c>
      <c r="B153" s="344">
        <v>0</v>
      </c>
      <c r="C153" s="345">
        <v>2.8533675390747391E-2</v>
      </c>
      <c r="D153" s="345">
        <v>0.2111873451698788</v>
      </c>
      <c r="E153" s="345">
        <v>0.35641481559084337</v>
      </c>
      <c r="F153" s="345">
        <v>0.41849781088386795</v>
      </c>
      <c r="G153" s="345">
        <v>0.44538193702919965</v>
      </c>
      <c r="H153" s="345">
        <v>0.46795725560131712</v>
      </c>
      <c r="I153" s="345">
        <v>0.4849719522528122</v>
      </c>
      <c r="J153" s="345">
        <v>0.49095829581648942</v>
      </c>
      <c r="K153" s="345">
        <v>0.49496945251521807</v>
      </c>
      <c r="L153" s="380">
        <v>0.49400733915696471</v>
      </c>
      <c r="M153" s="296">
        <f t="shared" si="94"/>
        <v>0.23973452708269941</v>
      </c>
      <c r="N153" s="298">
        <f t="shared" si="95"/>
        <v>0.17892448043736928</v>
      </c>
      <c r="O153" s="344">
        <v>0</v>
      </c>
      <c r="P153" s="345">
        <v>5.0449019320292651E-2</v>
      </c>
      <c r="Q153" s="345">
        <v>0.24933282586821096</v>
      </c>
      <c r="R153" s="345">
        <v>0.3726350570843297</v>
      </c>
      <c r="S153" s="345">
        <v>0.43240367351268588</v>
      </c>
      <c r="T153" s="345">
        <v>0.45728411144380798</v>
      </c>
      <c r="U153" s="345">
        <v>0.4772426153114685</v>
      </c>
      <c r="V153" s="345">
        <v>0.4849719522528122</v>
      </c>
      <c r="W153" s="345">
        <v>0.49086488683749385</v>
      </c>
      <c r="X153" s="345">
        <v>0.49407956919952628</v>
      </c>
      <c r="Y153" s="380">
        <v>0.48790702106545608</v>
      </c>
      <c r="Z153" s="296">
        <f t="shared" si="89"/>
        <v>0.14749194805726107</v>
      </c>
      <c r="AA153" s="298">
        <f t="shared" si="90"/>
        <v>0.11991084216034831</v>
      </c>
      <c r="AB153" s="949">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50">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7">
        <f t="shared" si="96"/>
        <v>0</v>
      </c>
      <c r="AE153" s="938">
        <f t="shared" si="102"/>
        <v>0.23973452708269941</v>
      </c>
      <c r="AF153" s="938">
        <f t="shared" si="103"/>
        <v>0.14749194805726107</v>
      </c>
      <c r="AG153" s="938">
        <f t="shared" si="104"/>
        <v>0.38722647513996045</v>
      </c>
      <c r="AH153" s="1173">
        <f t="shared" si="100"/>
        <v>0.619106756571975</v>
      </c>
      <c r="AI153" s="938">
        <f t="shared" si="101"/>
        <v>0.38089324342802511</v>
      </c>
    </row>
    <row r="154" spans="1:35" x14ac:dyDescent="0.2">
      <c r="A154" s="330">
        <v>2033</v>
      </c>
      <c r="B154" s="344">
        <v>0</v>
      </c>
      <c r="C154" s="345">
        <v>3.2129197378551071E-2</v>
      </c>
      <c r="D154" s="345">
        <v>0.22624956534831733</v>
      </c>
      <c r="E154" s="345">
        <v>0.35649038503292907</v>
      </c>
      <c r="F154" s="345">
        <v>0.41858654357594233</v>
      </c>
      <c r="G154" s="345">
        <v>0.45738106786555266</v>
      </c>
      <c r="H154" s="345">
        <v>0.47734380346807986</v>
      </c>
      <c r="I154" s="345">
        <v>0.48507477923490111</v>
      </c>
      <c r="J154" s="345">
        <v>0.49015493431763202</v>
      </c>
      <c r="K154" s="345">
        <v>0.48978287738810683</v>
      </c>
      <c r="L154" s="380">
        <v>0.46701124905672997</v>
      </c>
      <c r="M154" s="296">
        <f t="shared" si="94"/>
        <v>0.24143786110621079</v>
      </c>
      <c r="N154" s="298">
        <f t="shared" si="95"/>
        <v>0.18137166206957581</v>
      </c>
      <c r="O154" s="344">
        <v>0</v>
      </c>
      <c r="P154" s="345">
        <v>5.6168476073526492E-2</v>
      </c>
      <c r="Q154" s="345">
        <v>0.25756501584896135</v>
      </c>
      <c r="R154" s="345">
        <v>0.37271406565000542</v>
      </c>
      <c r="S154" s="345">
        <v>0.43249535461833527</v>
      </c>
      <c r="T154" s="345">
        <v>0.46805647501414416</v>
      </c>
      <c r="U154" s="345">
        <v>0.47734380346807986</v>
      </c>
      <c r="V154" s="345">
        <v>0.48479335727295614</v>
      </c>
      <c r="W154" s="345">
        <v>0.4872602127995585</v>
      </c>
      <c r="X154" s="345">
        <v>0.47524033479712963</v>
      </c>
      <c r="Y154" s="380">
        <v>0.45051456774975884</v>
      </c>
      <c r="Z154" s="296">
        <f t="shared" si="89"/>
        <v>0.14785714428750568</v>
      </c>
      <c r="AA154" s="298">
        <f t="shared" si="90"/>
        <v>0.12094531739410903</v>
      </c>
      <c r="AB154" s="949">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50">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7">
        <f>AB154*AH154+AC154*AI154</f>
        <v>0</v>
      </c>
      <c r="AE154" s="938">
        <f t="shared" si="102"/>
        <v>0.24143786110621079</v>
      </c>
      <c r="AF154" s="938">
        <f t="shared" si="103"/>
        <v>0.14785714428750568</v>
      </c>
      <c r="AG154" s="938">
        <f t="shared" si="104"/>
        <v>0.38929500539371648</v>
      </c>
      <c r="AH154" s="1173">
        <f t="shared" si="100"/>
        <v>0.62019254745390517</v>
      </c>
      <c r="AI154" s="938">
        <f t="shared" si="101"/>
        <v>0.37980745254609477</v>
      </c>
    </row>
    <row r="155" spans="1:35" x14ac:dyDescent="0.2">
      <c r="A155" s="330">
        <v>2034</v>
      </c>
      <c r="B155" s="344">
        <v>0</v>
      </c>
      <c r="C155" s="345">
        <v>3.2131703659415742E-2</v>
      </c>
      <c r="D155" s="345">
        <v>0.2262672142472173</v>
      </c>
      <c r="E155" s="345">
        <v>0.35651819354055903</v>
      </c>
      <c r="F155" s="345">
        <v>0.41861919597718383</v>
      </c>
      <c r="G155" s="345">
        <v>0.45741674648536829</v>
      </c>
      <c r="H155" s="345">
        <v>0.47731454286176744</v>
      </c>
      <c r="I155" s="345">
        <v>0.48201295032358937</v>
      </c>
      <c r="J155" s="345">
        <v>0.47487373202812999</v>
      </c>
      <c r="K155" s="345">
        <v>0.46196232644343793</v>
      </c>
      <c r="L155" s="380">
        <v>0.4241824436466452</v>
      </c>
      <c r="M155" s="296">
        <f t="shared" si="94"/>
        <v>0.23891152746292946</v>
      </c>
      <c r="N155" s="298">
        <f t="shared" si="95"/>
        <v>0.18038936968414568</v>
      </c>
      <c r="O155" s="344">
        <v>0</v>
      </c>
      <c r="P155" s="345">
        <v>5.6172857570366337E-2</v>
      </c>
      <c r="Q155" s="345">
        <v>0.25758510755131614</v>
      </c>
      <c r="R155" s="345">
        <v>0.37274313970746564</v>
      </c>
      <c r="S155" s="345">
        <v>0.4325290919949204</v>
      </c>
      <c r="T155" s="345">
        <v>0.46809298638332303</v>
      </c>
      <c r="U155" s="345">
        <v>0.47590292678402635</v>
      </c>
      <c r="V155" s="345">
        <v>0.47610458171235198</v>
      </c>
      <c r="W155" s="345">
        <v>0.45545125545661597</v>
      </c>
      <c r="X155" s="345">
        <v>0.43602559845801109</v>
      </c>
      <c r="Y155" s="380">
        <v>0.40992063972755205</v>
      </c>
      <c r="Z155" s="296">
        <f t="shared" si="89"/>
        <v>0.14638619773864808</v>
      </c>
      <c r="AA155" s="298">
        <f t="shared" si="90"/>
        <v>0.12033965310346688</v>
      </c>
      <c r="AB155" s="949">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50">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7">
        <f t="shared" ref="AD155:AD171" si="105">AB155*AH155+AC155*AI155</f>
        <v>0</v>
      </c>
      <c r="AE155" s="938">
        <f t="shared" si="102"/>
        <v>0.23891152746292946</v>
      </c>
      <c r="AF155" s="938">
        <f t="shared" si="103"/>
        <v>0.14638619773864808</v>
      </c>
      <c r="AG155" s="938">
        <f t="shared" si="104"/>
        <v>0.38529772520157757</v>
      </c>
      <c r="AH155" s="1173">
        <f t="shared" si="100"/>
        <v>0.62006991434464676</v>
      </c>
      <c r="AI155" s="938">
        <f t="shared" si="101"/>
        <v>0.37993008565535313</v>
      </c>
    </row>
    <row r="156" spans="1:35" ht="15" thickBot="1" x14ac:dyDescent="0.25">
      <c r="A156" s="328">
        <v>2035</v>
      </c>
      <c r="B156" s="346">
        <v>0</v>
      </c>
      <c r="C156" s="347">
        <v>3.6093211156692472E-2</v>
      </c>
      <c r="D156" s="347">
        <v>0.22627370760709054</v>
      </c>
      <c r="E156" s="347">
        <v>0.35652842481043046</v>
      </c>
      <c r="F156" s="347">
        <v>0.41863120940607751</v>
      </c>
      <c r="G156" s="347">
        <v>0.45728737981953815</v>
      </c>
      <c r="H156" s="347">
        <v>0.46932287895625185</v>
      </c>
      <c r="I156" s="347">
        <v>0.4545313520575765</v>
      </c>
      <c r="J156" s="347">
        <v>0.43125483607519233</v>
      </c>
      <c r="K156" s="347">
        <v>0.41687981526530787</v>
      </c>
      <c r="L156" s="381">
        <v>0.38456474534815338</v>
      </c>
      <c r="M156" s="310">
        <f t="shared" si="94"/>
        <v>0.23313029272622005</v>
      </c>
      <c r="N156" s="312">
        <f t="shared" si="95"/>
        <v>0.17801838359693323</v>
      </c>
      <c r="O156" s="346">
        <v>0</v>
      </c>
      <c r="P156" s="347">
        <v>6.2386570395266426E-2</v>
      </c>
      <c r="Q156" s="347">
        <v>0.25759249966425168</v>
      </c>
      <c r="R156" s="347">
        <v>0.37275383659678057</v>
      </c>
      <c r="S156" s="347">
        <v>0.4325415046065279</v>
      </c>
      <c r="T156" s="347">
        <v>0.46263963519958756</v>
      </c>
      <c r="U156" s="347">
        <v>0.4546892705483046</v>
      </c>
      <c r="V156" s="347">
        <v>0.4376234676664123</v>
      </c>
      <c r="W156" s="347">
        <v>0.41207233723409437</v>
      </c>
      <c r="X156" s="347">
        <v>0.39744858533760802</v>
      </c>
      <c r="Y156" s="381">
        <v>0.37536951191450313</v>
      </c>
      <c r="Z156" s="310">
        <f t="shared" si="89"/>
        <v>0.14326708587966458</v>
      </c>
      <c r="AA156" s="312">
        <f t="shared" si="90"/>
        <v>0.11906612048703544</v>
      </c>
      <c r="AB156" s="949">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50">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7">
        <f t="shared" si="105"/>
        <v>0</v>
      </c>
      <c r="AE156" s="938">
        <f t="shared" si="102"/>
        <v>0.23313029272622005</v>
      </c>
      <c r="AF156" s="938">
        <f t="shared" si="103"/>
        <v>0.14326708587966458</v>
      </c>
      <c r="AG156" s="938">
        <f t="shared" si="104"/>
        <v>0.37639737860588462</v>
      </c>
      <c r="AH156" s="1173">
        <f t="shared" si="100"/>
        <v>0.61937278519233363</v>
      </c>
      <c r="AI156" s="938">
        <f t="shared" si="101"/>
        <v>0.38062721480766637</v>
      </c>
    </row>
    <row r="157" spans="1:35" x14ac:dyDescent="0.2">
      <c r="A157" s="329">
        <v>2036</v>
      </c>
      <c r="B157" s="342">
        <v>0</v>
      </c>
      <c r="C157" s="343">
        <v>3.6093592208010651E-2</v>
      </c>
      <c r="D157" s="343">
        <v>0.23375156560091151</v>
      </c>
      <c r="E157" s="343">
        <v>0.35653218883202592</v>
      </c>
      <c r="F157" s="343">
        <v>0.41863562907307478</v>
      </c>
      <c r="G157" s="343">
        <v>0.45614714974000864</v>
      </c>
      <c r="H157" s="343">
        <v>0.46092369535087757</v>
      </c>
      <c r="I157" s="343">
        <v>0.43759109204205082</v>
      </c>
      <c r="J157" s="343">
        <v>0.41764386931810143</v>
      </c>
      <c r="K157" s="343">
        <v>0.40227270073118193</v>
      </c>
      <c r="L157" s="379">
        <v>0.37529429616914145</v>
      </c>
      <c r="M157" s="282">
        <f t="shared" si="94"/>
        <v>0.23068474760376467</v>
      </c>
      <c r="N157" s="284">
        <f t="shared" si="95"/>
        <v>0.17724239146060322</v>
      </c>
      <c r="O157" s="342">
        <v>0</v>
      </c>
      <c r="P157" s="343">
        <v>6.2387229036715154E-2</v>
      </c>
      <c r="Q157" s="343">
        <v>0.26543482992876322</v>
      </c>
      <c r="R157" s="343">
        <v>0.38860404064986531</v>
      </c>
      <c r="S157" s="343">
        <v>0.43230168530787472</v>
      </c>
      <c r="T157" s="343">
        <v>0.45499435895085244</v>
      </c>
      <c r="U157" s="343">
        <v>0.44381175854876381</v>
      </c>
      <c r="V157" s="343">
        <v>0.4253157566878964</v>
      </c>
      <c r="W157" s="343">
        <v>0.39738509337265132</v>
      </c>
      <c r="X157" s="343">
        <v>0.38769976628768466</v>
      </c>
      <c r="Y157" s="379">
        <v>0.37089868604948589</v>
      </c>
      <c r="Z157" s="282">
        <f t="shared" si="89"/>
        <v>0.1431279524181574</v>
      </c>
      <c r="AA157" s="284">
        <f t="shared" si="90"/>
        <v>0.1197915995158995</v>
      </c>
      <c r="AB157" s="949">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50">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7">
        <f t="shared" si="105"/>
        <v>0</v>
      </c>
      <c r="AE157" s="938">
        <f t="shared" si="102"/>
        <v>0.23068474760376467</v>
      </c>
      <c r="AF157" s="938">
        <f t="shared" si="103"/>
        <v>0.1431279524181574</v>
      </c>
      <c r="AG157" s="938">
        <f t="shared" si="104"/>
        <v>0.37381270002192207</v>
      </c>
      <c r="AH157" s="1173">
        <f t="shared" si="100"/>
        <v>0.61711318954716166</v>
      </c>
      <c r="AI157" s="938">
        <f t="shared" si="101"/>
        <v>0.38288681045283834</v>
      </c>
    </row>
    <row r="158" spans="1:35" x14ac:dyDescent="0.2">
      <c r="A158" s="330">
        <v>2037</v>
      </c>
      <c r="B158" s="344">
        <v>0</v>
      </c>
      <c r="C158" s="345">
        <v>4.0451592901043484E-2</v>
      </c>
      <c r="D158" s="345">
        <v>0.24174248488702724</v>
      </c>
      <c r="E158" s="345">
        <v>0.36446408162663979</v>
      </c>
      <c r="F158" s="345">
        <v>0.43254775108491544</v>
      </c>
      <c r="G158" s="345">
        <v>0.45326252042273174</v>
      </c>
      <c r="H158" s="345">
        <v>0.44959886638880969</v>
      </c>
      <c r="I158" s="345">
        <v>0.42527244315020402</v>
      </c>
      <c r="J158" s="345">
        <v>0.40806081609247119</v>
      </c>
      <c r="K158" s="345">
        <v>0.39245103730257774</v>
      </c>
      <c r="L158" s="380">
        <v>0.37081955944059075</v>
      </c>
      <c r="M158" s="296">
        <f t="shared" si="94"/>
        <v>0.23114538195275161</v>
      </c>
      <c r="N158" s="298">
        <f t="shared" si="95"/>
        <v>0.17921875025563275</v>
      </c>
      <c r="O158" s="344">
        <v>0</v>
      </c>
      <c r="P158" s="345">
        <v>6.5583841819019995E-2</v>
      </c>
      <c r="Q158" s="345">
        <v>0.27377151336196437</v>
      </c>
      <c r="R158" s="345">
        <v>0.38860554993906021</v>
      </c>
      <c r="S158" s="345">
        <v>0.4312593010593721</v>
      </c>
      <c r="T158" s="345">
        <v>0.44539163128439435</v>
      </c>
      <c r="U158" s="345">
        <v>0.42989955876113523</v>
      </c>
      <c r="V158" s="345">
        <v>0.41173921622347931</v>
      </c>
      <c r="W158" s="345">
        <v>0.39245103730257774</v>
      </c>
      <c r="X158" s="345">
        <v>0.37822352886556065</v>
      </c>
      <c r="Y158" s="380">
        <v>0.36255130762876203</v>
      </c>
      <c r="Z158" s="296">
        <f t="shared" si="89"/>
        <v>0.14181541991667238</v>
      </c>
      <c r="AA158" s="298">
        <f t="shared" si="90"/>
        <v>0.11947491619119316</v>
      </c>
      <c r="AB158" s="949">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50">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7">
        <f t="shared" si="105"/>
        <v>0</v>
      </c>
      <c r="AE158" s="938">
        <f t="shared" si="102"/>
        <v>0.23114538195275161</v>
      </c>
      <c r="AF158" s="938">
        <f t="shared" si="103"/>
        <v>0.14181541991667238</v>
      </c>
      <c r="AG158" s="938">
        <f t="shared" si="104"/>
        <v>0.37296080186942399</v>
      </c>
      <c r="AH158" s="1173">
        <f t="shared" si="100"/>
        <v>0.61975784263161549</v>
      </c>
      <c r="AI158" s="938">
        <f t="shared" si="101"/>
        <v>0.38024215736838446</v>
      </c>
    </row>
    <row r="159" spans="1:35" x14ac:dyDescent="0.2">
      <c r="A159" s="330">
        <v>2038</v>
      </c>
      <c r="B159" s="344">
        <v>0</v>
      </c>
      <c r="C159" s="345">
        <v>4.0451650698259185E-2</v>
      </c>
      <c r="D159" s="345">
        <v>0.24174283028856872</v>
      </c>
      <c r="E159" s="345">
        <v>0.3727597522593884</v>
      </c>
      <c r="F159" s="345">
        <v>0.43225660836166191</v>
      </c>
      <c r="G159" s="345">
        <v>0.44708135451323927</v>
      </c>
      <c r="H159" s="345">
        <v>0.43718298273622591</v>
      </c>
      <c r="I159" s="345">
        <v>0.41168676748334565</v>
      </c>
      <c r="J159" s="345">
        <v>0.39339844984860584</v>
      </c>
      <c r="K159" s="345">
        <v>0.38280506556122612</v>
      </c>
      <c r="L159" s="380">
        <v>0.36650868378515711</v>
      </c>
      <c r="M159" s="296">
        <f t="shared" si="94"/>
        <v>0.22864374872583851</v>
      </c>
      <c r="N159" s="298">
        <f t="shared" si="95"/>
        <v>0.1782234902223517</v>
      </c>
      <c r="O159" s="344">
        <v>0</v>
      </c>
      <c r="P159" s="345">
        <v>6.9127198003507265E-2</v>
      </c>
      <c r="Q159" s="345">
        <v>0.27377190452656569</v>
      </c>
      <c r="R159" s="345">
        <v>0.3886061051784756</v>
      </c>
      <c r="S159" s="345">
        <v>0.4283730764767153</v>
      </c>
      <c r="T159" s="345">
        <v>0.43451924024695099</v>
      </c>
      <c r="U159" s="345">
        <v>0.41761601421982969</v>
      </c>
      <c r="V159" s="345">
        <v>0.40218757660530874</v>
      </c>
      <c r="W159" s="345">
        <v>0.38280506556122612</v>
      </c>
      <c r="X159" s="345">
        <v>0.37361138869554728</v>
      </c>
      <c r="Y159" s="380">
        <v>0.35864181619455426</v>
      </c>
      <c r="Z159" s="296">
        <f t="shared" si="89"/>
        <v>0.14009658586234308</v>
      </c>
      <c r="AA159" s="298">
        <f t="shared" si="90"/>
        <v>0.11855806234560078</v>
      </c>
      <c r="AB159" s="949">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50">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7">
        <f t="shared" si="105"/>
        <v>0</v>
      </c>
      <c r="AE159" s="938">
        <f t="shared" si="102"/>
        <v>0.22864374872583851</v>
      </c>
      <c r="AF159" s="938">
        <f t="shared" si="103"/>
        <v>0.14009658586234308</v>
      </c>
      <c r="AG159" s="938">
        <f t="shared" si="104"/>
        <v>0.36874033458818156</v>
      </c>
      <c r="AH159" s="1173">
        <f t="shared" si="100"/>
        <v>0.62006709675846439</v>
      </c>
      <c r="AI159" s="938">
        <f t="shared" si="101"/>
        <v>0.37993290324153567</v>
      </c>
    </row>
    <row r="160" spans="1:35" x14ac:dyDescent="0.2">
      <c r="A160" s="330">
        <v>2039</v>
      </c>
      <c r="B160" s="344">
        <v>0</v>
      </c>
      <c r="C160" s="345">
        <v>4.2708613675536383E-2</v>
      </c>
      <c r="D160" s="345">
        <v>0.24174295735494308</v>
      </c>
      <c r="E160" s="345">
        <v>0.37275994819169461</v>
      </c>
      <c r="F160" s="345">
        <v>0.43018465626700753</v>
      </c>
      <c r="G160" s="345">
        <v>0.43470487126225732</v>
      </c>
      <c r="H160" s="345">
        <v>0.41757201005388506</v>
      </c>
      <c r="I160" s="345">
        <v>0.39729691341116585</v>
      </c>
      <c r="J160" s="345">
        <v>0.38366542371761692</v>
      </c>
      <c r="K160" s="345">
        <v>0.37353405436505438</v>
      </c>
      <c r="L160" s="380">
        <v>0.35855769618094241</v>
      </c>
      <c r="M160" s="296">
        <f t="shared" si="94"/>
        <v>0.224233964596634</v>
      </c>
      <c r="N160" s="298">
        <f t="shared" si="95"/>
        <v>0.17579844435998712</v>
      </c>
      <c r="O160" s="344">
        <v>0</v>
      </c>
      <c r="P160" s="345">
        <v>6.9127234338576288E-2</v>
      </c>
      <c r="Q160" s="345">
        <v>0.27377204842826186</v>
      </c>
      <c r="R160" s="345">
        <v>0.3881941216289177</v>
      </c>
      <c r="S160" s="345">
        <v>0.41942820084086097</v>
      </c>
      <c r="T160" s="345">
        <v>0.41671552629023578</v>
      </c>
      <c r="U160" s="345">
        <v>0.40406544488571594</v>
      </c>
      <c r="V160" s="345">
        <v>0.39330732306250904</v>
      </c>
      <c r="W160" s="345">
        <v>0.37349262178231857</v>
      </c>
      <c r="X160" s="345">
        <v>0.36486434615657121</v>
      </c>
      <c r="Y160" s="380">
        <v>0.35490033576539043</v>
      </c>
      <c r="Z160" s="296">
        <f t="shared" si="89"/>
        <v>0.1372744972295904</v>
      </c>
      <c r="AA160" s="298">
        <f t="shared" si="90"/>
        <v>0.11661696358324654</v>
      </c>
      <c r="AB160" s="949">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50">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7">
        <f t="shared" si="105"/>
        <v>0</v>
      </c>
      <c r="AE160" s="938">
        <f t="shared" si="102"/>
        <v>0.224233964596634</v>
      </c>
      <c r="AF160" s="938">
        <f t="shared" si="103"/>
        <v>0.1372744972295904</v>
      </c>
      <c r="AG160" s="938">
        <f t="shared" si="104"/>
        <v>0.36150846182622443</v>
      </c>
      <c r="AH160" s="1173">
        <f t="shared" si="100"/>
        <v>0.62027307317753</v>
      </c>
      <c r="AI160" s="938">
        <f t="shared" si="101"/>
        <v>0.37972692682246995</v>
      </c>
    </row>
    <row r="161" spans="1:35" ht="15" thickBot="1" x14ac:dyDescent="0.25">
      <c r="A161" s="328">
        <v>2040</v>
      </c>
      <c r="B161" s="346">
        <v>0</v>
      </c>
      <c r="C161" s="347">
        <v>4.2708621933978182E-2</v>
      </c>
      <c r="D161" s="347">
        <v>0.24174300410008354</v>
      </c>
      <c r="E161" s="347">
        <v>0.37266109369859857</v>
      </c>
      <c r="F161" s="347">
        <v>0.42338180789846741</v>
      </c>
      <c r="G161" s="347">
        <v>0.42045134374135401</v>
      </c>
      <c r="H161" s="347">
        <v>0.40197651423265135</v>
      </c>
      <c r="I161" s="347">
        <v>0.38056073028487164</v>
      </c>
      <c r="J161" s="347">
        <v>0.36021322211263535</v>
      </c>
      <c r="K161" s="347">
        <v>0.34912703473062107</v>
      </c>
      <c r="L161" s="381">
        <v>0.32174030432201417</v>
      </c>
      <c r="M161" s="310">
        <f t="shared" si="94"/>
        <v>0.21758615139428836</v>
      </c>
      <c r="N161" s="312">
        <f t="shared" si="95"/>
        <v>0.17206373896521199</v>
      </c>
      <c r="O161" s="346">
        <v>0</v>
      </c>
      <c r="P161" s="347">
        <v>6.9127247705510791E-2</v>
      </c>
      <c r="Q161" s="347">
        <v>0.27377111998390924</v>
      </c>
      <c r="R161" s="347">
        <v>0.38584427964144291</v>
      </c>
      <c r="S161" s="347">
        <v>0.40736707186134774</v>
      </c>
      <c r="T161" s="347">
        <v>0.39941199161553198</v>
      </c>
      <c r="U161" s="347">
        <v>0.38960856601305238</v>
      </c>
      <c r="V161" s="347">
        <v>0.38341701075371132</v>
      </c>
      <c r="W161" s="347">
        <v>0.36887279303983866</v>
      </c>
      <c r="X161" s="347">
        <v>0.36060093601412863</v>
      </c>
      <c r="Y161" s="381">
        <v>0.35134469886420422</v>
      </c>
      <c r="Z161" s="310">
        <f t="shared" si="89"/>
        <v>0.13410136959409802</v>
      </c>
      <c r="AA161" s="312">
        <f t="shared" si="90"/>
        <v>0.114320223782454</v>
      </c>
      <c r="AB161" s="949">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50">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7">
        <f t="shared" si="105"/>
        <v>0</v>
      </c>
      <c r="AE161" s="938">
        <f t="shared" si="102"/>
        <v>0.21758615139428836</v>
      </c>
      <c r="AF161" s="938">
        <f t="shared" si="103"/>
        <v>0.13410136959409802</v>
      </c>
      <c r="AG161" s="938">
        <f t="shared" si="104"/>
        <v>0.3516875209883864</v>
      </c>
      <c r="AH161" s="1173">
        <f t="shared" si="100"/>
        <v>0.61869170331316248</v>
      </c>
      <c r="AI161" s="938">
        <f t="shared" si="101"/>
        <v>0.38130829668683747</v>
      </c>
    </row>
    <row r="162" spans="1:35" x14ac:dyDescent="0.2">
      <c r="A162" s="329">
        <v>2041</v>
      </c>
      <c r="B162" s="342">
        <v>0</v>
      </c>
      <c r="C162" s="343">
        <v>4.5233492717400139E-2</v>
      </c>
      <c r="D162" s="343">
        <v>0.24163939120090611</v>
      </c>
      <c r="E162" s="343">
        <v>0.36228704344770907</v>
      </c>
      <c r="F162" s="343">
        <v>0.37681205072734969</v>
      </c>
      <c r="G162" s="343">
        <v>0.35010064282658593</v>
      </c>
      <c r="H162" s="343">
        <v>0.32344072624774728</v>
      </c>
      <c r="I162" s="343">
        <v>0.30367211047825704</v>
      </c>
      <c r="J162" s="343">
        <v>0.29373109180733409</v>
      </c>
      <c r="K162" s="343">
        <v>0.28611350735716007</v>
      </c>
      <c r="L162" s="379">
        <v>0.27111286656775185</v>
      </c>
      <c r="M162" s="282">
        <f t="shared" si="94"/>
        <v>0.18939137234615505</v>
      </c>
      <c r="N162" s="284">
        <f t="shared" si="95"/>
        <v>0.15419448789178269</v>
      </c>
      <c r="O162" s="342">
        <v>0</v>
      </c>
      <c r="P162" s="343">
        <v>7.6417051826452434E-2</v>
      </c>
      <c r="Q162" s="343">
        <v>0.27343489866738091</v>
      </c>
      <c r="R162" s="343">
        <v>0.37364005434594721</v>
      </c>
      <c r="S162" s="343">
        <v>0.39782393218436535</v>
      </c>
      <c r="T162" s="343">
        <v>0.38030243057636465</v>
      </c>
      <c r="U162" s="343">
        <v>0.38217550016593554</v>
      </c>
      <c r="V162" s="343">
        <v>0.36918013986511999</v>
      </c>
      <c r="W162" s="343">
        <v>0.36027319586427325</v>
      </c>
      <c r="X162" s="343">
        <v>0.35361370654205559</v>
      </c>
      <c r="Y162" s="379">
        <v>0.3479718762150899</v>
      </c>
      <c r="Z162" s="282">
        <f t="shared" si="89"/>
        <v>0.13083456684401443</v>
      </c>
      <c r="AA162" s="284">
        <f t="shared" si="90"/>
        <v>0.11208952000828881</v>
      </c>
      <c r="AB162" s="949">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50">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7">
        <f t="shared" si="105"/>
        <v>0</v>
      </c>
      <c r="AE162" s="938">
        <f t="shared" si="102"/>
        <v>0.18939137234615505</v>
      </c>
      <c r="AF162" s="938">
        <f t="shared" si="103"/>
        <v>0.13083456684401443</v>
      </c>
      <c r="AG162" s="938">
        <f t="shared" si="104"/>
        <v>0.32022593919016951</v>
      </c>
      <c r="AH162" s="1173">
        <f t="shared" si="100"/>
        <v>0.59143045321410714</v>
      </c>
      <c r="AI162" s="938">
        <f t="shared" si="101"/>
        <v>0.4085695467858928</v>
      </c>
    </row>
    <row r="163" spans="1:35" x14ac:dyDescent="0.2">
      <c r="A163" s="330">
        <v>2042</v>
      </c>
      <c r="B163" s="344">
        <v>0</v>
      </c>
      <c r="C163" s="345">
        <v>5.0417550271267028E-2</v>
      </c>
      <c r="D163" s="345">
        <v>0.23580028703071859</v>
      </c>
      <c r="E163" s="345">
        <v>0.28886479347225763</v>
      </c>
      <c r="F163" s="345">
        <v>0.29354075640585053</v>
      </c>
      <c r="G163" s="345">
        <v>0.28499739255495204</v>
      </c>
      <c r="H163" s="345">
        <v>0.27651587789633902</v>
      </c>
      <c r="I163" s="345">
        <v>0.27539668065835721</v>
      </c>
      <c r="J163" s="345">
        <v>0.27193111939303022</v>
      </c>
      <c r="K163" s="345">
        <v>0.26444810215422226</v>
      </c>
      <c r="L163" s="380">
        <v>0.25928328172000903</v>
      </c>
      <c r="M163" s="296">
        <f t="shared" si="94"/>
        <v>0.16062711531856952</v>
      </c>
      <c r="N163" s="298">
        <f t="shared" si="95"/>
        <v>0.13109111536307477</v>
      </c>
      <c r="O163" s="344">
        <v>0</v>
      </c>
      <c r="P163" s="345">
        <v>7.6352370960783858E-2</v>
      </c>
      <c r="Q163" s="345">
        <v>0.28054048633389411</v>
      </c>
      <c r="R163" s="345">
        <v>0.34474487749652805</v>
      </c>
      <c r="S163" s="345">
        <v>0.36738244297691136</v>
      </c>
      <c r="T163" s="345">
        <v>0.36071747586928937</v>
      </c>
      <c r="U163" s="345">
        <v>0.3630693260301639</v>
      </c>
      <c r="V163" s="345">
        <v>0.3600910019495997</v>
      </c>
      <c r="W163" s="345">
        <v>0.35240482699610087</v>
      </c>
      <c r="X163" s="345">
        <v>0.35056261111351789</v>
      </c>
      <c r="Y163" s="380">
        <v>0.344763595684422</v>
      </c>
      <c r="Z163" s="296">
        <f t="shared" si="89"/>
        <v>0.1241989249210495</v>
      </c>
      <c r="AA163" s="298">
        <f t="shared" si="90"/>
        <v>0.10672735796504164</v>
      </c>
      <c r="AB163" s="949">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50">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7">
        <f t="shared" si="105"/>
        <v>0</v>
      </c>
      <c r="AE163" s="938">
        <f t="shared" si="102"/>
        <v>0.16062711531856952</v>
      </c>
      <c r="AF163" s="938">
        <f t="shared" si="103"/>
        <v>0.1241989249210495</v>
      </c>
      <c r="AG163" s="938">
        <f t="shared" si="104"/>
        <v>0.28482604023961899</v>
      </c>
      <c r="AH163" s="1173">
        <f t="shared" si="100"/>
        <v>0.56394813895329521</v>
      </c>
      <c r="AI163" s="938">
        <f t="shared" si="101"/>
        <v>0.43605186104670485</v>
      </c>
    </row>
    <row r="164" spans="1:35" x14ac:dyDescent="0.2">
      <c r="A164" s="330">
        <v>2043</v>
      </c>
      <c r="B164" s="344">
        <v>0</v>
      </c>
      <c r="C164" s="345">
        <v>4.6760455278115197E-2</v>
      </c>
      <c r="D164" s="345">
        <v>0.19011340420219905</v>
      </c>
      <c r="E164" s="345">
        <v>0.23936085069285415</v>
      </c>
      <c r="F164" s="345">
        <v>0.25773605976353386</v>
      </c>
      <c r="G164" s="345">
        <v>0.2663739711927145</v>
      </c>
      <c r="H164" s="345">
        <v>0.26049262580810767</v>
      </c>
      <c r="I164" s="345">
        <v>0.26317118098438397</v>
      </c>
      <c r="J164" s="345">
        <v>0.2619211823382695</v>
      </c>
      <c r="K164" s="345">
        <v>0.25839041358562986</v>
      </c>
      <c r="L164" s="380">
        <v>0.25541937508947138</v>
      </c>
      <c r="M164" s="296">
        <f t="shared" si="94"/>
        <v>0.14501213538775973</v>
      </c>
      <c r="N164" s="298">
        <f t="shared" si="95"/>
        <v>0.11569146379302958</v>
      </c>
      <c r="O164" s="344">
        <v>0</v>
      </c>
      <c r="P164" s="345">
        <v>7.6693631124120129E-2</v>
      </c>
      <c r="Q164" s="345">
        <v>0.25026113369480213</v>
      </c>
      <c r="R164" s="345">
        <v>0.31176460246027282</v>
      </c>
      <c r="S164" s="345">
        <v>0.34325892857632934</v>
      </c>
      <c r="T164" s="345">
        <v>0.34644710851946825</v>
      </c>
      <c r="U164" s="345">
        <v>0.35382147191548247</v>
      </c>
      <c r="V164" s="345">
        <v>0.3515881455522149</v>
      </c>
      <c r="W164" s="345">
        <v>0.34536816726464015</v>
      </c>
      <c r="X164" s="345">
        <v>0.34410243053260092</v>
      </c>
      <c r="Y164" s="380">
        <v>0.34168316951632782</v>
      </c>
      <c r="Z164" s="296">
        <f t="shared" si="89"/>
        <v>0.11710045211057421</v>
      </c>
      <c r="AA164" s="298">
        <f t="shared" si="90"/>
        <v>9.9765686312526483E-2</v>
      </c>
      <c r="AB164" s="949">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50">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7">
        <f t="shared" si="105"/>
        <v>0</v>
      </c>
      <c r="AE164" s="938">
        <f t="shared" si="102"/>
        <v>0.14501213538775973</v>
      </c>
      <c r="AF164" s="938">
        <f t="shared" si="103"/>
        <v>0.11710045211057421</v>
      </c>
      <c r="AG164" s="938">
        <f t="shared" si="104"/>
        <v>0.26211258749833394</v>
      </c>
      <c r="AH164" s="1173">
        <f t="shared" si="100"/>
        <v>0.55324369108630267</v>
      </c>
      <c r="AI164" s="938">
        <f t="shared" si="101"/>
        <v>0.44675630891369739</v>
      </c>
    </row>
    <row r="165" spans="1:35" x14ac:dyDescent="0.2">
      <c r="A165" s="330">
        <v>2044</v>
      </c>
      <c r="B165" s="344">
        <v>0</v>
      </c>
      <c r="C165" s="345">
        <v>3.3327453133234257E-2</v>
      </c>
      <c r="D165" s="345">
        <v>0.14403129206837387</v>
      </c>
      <c r="E165" s="345">
        <v>0.21430969395523591</v>
      </c>
      <c r="F165" s="345">
        <v>0.23788871565786474</v>
      </c>
      <c r="G165" s="345">
        <v>0.25147487685314179</v>
      </c>
      <c r="H165" s="345">
        <v>0.25307635615144802</v>
      </c>
      <c r="I165" s="345">
        <v>0.25785072638258194</v>
      </c>
      <c r="J165" s="345">
        <v>0.25691376272794197</v>
      </c>
      <c r="K165" s="345">
        <v>0.25539702636386852</v>
      </c>
      <c r="L165" s="380">
        <v>0.25391859612314288</v>
      </c>
      <c r="M165" s="296">
        <f t="shared" si="94"/>
        <v>0.13487630759169739</v>
      </c>
      <c r="N165" s="298">
        <f t="shared" si="95"/>
        <v>0.10437224325808123</v>
      </c>
      <c r="O165" s="344">
        <v>0</v>
      </c>
      <c r="P165" s="345">
        <v>6.5869866420832743E-2</v>
      </c>
      <c r="Q165" s="345">
        <v>0.20434855478419453</v>
      </c>
      <c r="R165" s="345">
        <v>0.30355278545867986</v>
      </c>
      <c r="S165" s="345">
        <v>0.32922433904705611</v>
      </c>
      <c r="T165" s="345">
        <v>0.34224015279639353</v>
      </c>
      <c r="U165" s="345">
        <v>0.342078658765748</v>
      </c>
      <c r="V165" s="345">
        <v>0.34425183809471038</v>
      </c>
      <c r="W165" s="345">
        <v>0.34214972177038233</v>
      </c>
      <c r="X165" s="345">
        <v>0.34120615491498624</v>
      </c>
      <c r="Y165" s="380">
        <v>0.33913306090649609</v>
      </c>
      <c r="Z165" s="296">
        <f t="shared" si="89"/>
        <v>0.1120485794537352</v>
      </c>
      <c r="AA165" s="298">
        <f t="shared" si="90"/>
        <v>9.3908453444652124E-2</v>
      </c>
      <c r="AB165" s="949">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50">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7">
        <f t="shared" si="105"/>
        <v>0</v>
      </c>
      <c r="AE165" s="938">
        <f t="shared" si="102"/>
        <v>0.13487630759169739</v>
      </c>
      <c r="AF165" s="938">
        <f t="shared" si="103"/>
        <v>0.1120485794537352</v>
      </c>
      <c r="AG165" s="938">
        <f t="shared" si="104"/>
        <v>0.24692488704543258</v>
      </c>
      <c r="AH165" s="1173">
        <f t="shared" si="100"/>
        <v>0.5462240327637814</v>
      </c>
      <c r="AI165" s="938">
        <f t="shared" si="101"/>
        <v>0.4537759672362186</v>
      </c>
    </row>
    <row r="166" spans="1:35" ht="15" thickBot="1" x14ac:dyDescent="0.25">
      <c r="A166" s="328">
        <v>2045</v>
      </c>
      <c r="B166" s="346">
        <v>0</v>
      </c>
      <c r="C166" s="347">
        <v>5.0397060397795977E-2</v>
      </c>
      <c r="D166" s="347">
        <v>0.15528223538191102</v>
      </c>
      <c r="E166" s="347">
        <v>0.23075973904580205</v>
      </c>
      <c r="F166" s="347">
        <v>0.24185154347766427</v>
      </c>
      <c r="G166" s="347">
        <v>0.25327908033444196</v>
      </c>
      <c r="H166" s="347">
        <v>0.25745740805363415</v>
      </c>
      <c r="I166" s="347">
        <v>0.25610158328094901</v>
      </c>
      <c r="J166" s="347">
        <v>0.25559258162045267</v>
      </c>
      <c r="K166" s="347">
        <v>0.25424726529043823</v>
      </c>
      <c r="L166" s="381">
        <v>0.25284008251755491</v>
      </c>
      <c r="M166" s="310">
        <f t="shared" si="94"/>
        <v>0.13834314125923469</v>
      </c>
      <c r="N166" s="312">
        <f t="shared" si="95"/>
        <v>0.10911418900580253</v>
      </c>
      <c r="O166" s="346">
        <v>0</v>
      </c>
      <c r="P166" s="347">
        <v>5.7732143647069085E-2</v>
      </c>
      <c r="Q166" s="347">
        <v>0.16803326853962292</v>
      </c>
      <c r="R166" s="347">
        <v>0.28951972414102339</v>
      </c>
      <c r="S166" s="347">
        <v>0.31563754250607579</v>
      </c>
      <c r="T166" s="347">
        <v>0.33382884435198368</v>
      </c>
      <c r="U166" s="347">
        <v>0.33761964214387608</v>
      </c>
      <c r="V166" s="347">
        <v>0.34006779768543099</v>
      </c>
      <c r="W166" s="347">
        <v>0.33859625781248459</v>
      </c>
      <c r="X166" s="347">
        <v>0.33799899101603176</v>
      </c>
      <c r="Y166" s="381">
        <v>0.33630241795339</v>
      </c>
      <c r="Z166" s="310">
        <f t="shared" si="89"/>
        <v>0.10732534958126952</v>
      </c>
      <c r="AA166" s="312">
        <f t="shared" si="90"/>
        <v>8.8554802202043939E-2</v>
      </c>
      <c r="AB166" s="949">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50">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7">
        <f t="shared" si="105"/>
        <v>0</v>
      </c>
      <c r="AE166" s="938">
        <f t="shared" si="102"/>
        <v>0.13834314125923469</v>
      </c>
      <c r="AF166" s="938">
        <f t="shared" si="103"/>
        <v>0.10732534958126952</v>
      </c>
      <c r="AG166" s="938">
        <f t="shared" si="104"/>
        <v>0.24566849084050421</v>
      </c>
      <c r="AH166" s="1173">
        <f t="shared" si="100"/>
        <v>0.56312936504767908</v>
      </c>
      <c r="AI166" s="938">
        <f t="shared" si="101"/>
        <v>0.43687063495232098</v>
      </c>
    </row>
    <row r="167" spans="1:35" x14ac:dyDescent="0.2">
      <c r="A167" s="329">
        <v>2046</v>
      </c>
      <c r="B167" s="342">
        <v>0</v>
      </c>
      <c r="C167" s="343">
        <v>5.1766192297187152E-2</v>
      </c>
      <c r="D167" s="343">
        <v>0.15016413187655409</v>
      </c>
      <c r="E167" s="343">
        <v>0.23036713479803395</v>
      </c>
      <c r="F167" s="343">
        <v>0.24601519809437103</v>
      </c>
      <c r="G167" s="343">
        <v>0.25364038854591053</v>
      </c>
      <c r="H167" s="343">
        <v>0.25579100834728841</v>
      </c>
      <c r="I167" s="343">
        <v>0.25473432320517508</v>
      </c>
      <c r="J167" s="343">
        <v>0.25439732506841878</v>
      </c>
      <c r="K167" s="343">
        <v>0.25323731354707724</v>
      </c>
      <c r="L167" s="379">
        <v>0.25272487004411165</v>
      </c>
      <c r="M167" s="282">
        <f t="shared" si="94"/>
        <v>0.1383091645380688</v>
      </c>
      <c r="N167" s="284">
        <f t="shared" si="95"/>
        <v>0.10904316108345778</v>
      </c>
      <c r="O167" s="342">
        <v>0</v>
      </c>
      <c r="P167" s="343">
        <v>6.7693746967799687E-2</v>
      </c>
      <c r="Q167" s="343">
        <v>0.15139217025108537</v>
      </c>
      <c r="R167" s="343">
        <v>0.27999411058603385</v>
      </c>
      <c r="S167" s="343">
        <v>0.31020338914504386</v>
      </c>
      <c r="T167" s="343">
        <v>0.32896384638206377</v>
      </c>
      <c r="U167" s="343">
        <v>0.33301435438664911</v>
      </c>
      <c r="V167" s="343">
        <v>0.33574500352784276</v>
      </c>
      <c r="W167" s="343">
        <v>0.33494504501605987</v>
      </c>
      <c r="X167" s="343">
        <v>0.33640101075120238</v>
      </c>
      <c r="Y167" s="379">
        <v>0.33342790325725014</v>
      </c>
      <c r="Z167" s="282">
        <f t="shared" si="89"/>
        <v>0.10513888304926178</v>
      </c>
      <c r="AA167" s="284">
        <f t="shared" si="90"/>
        <v>8.6712433722945806E-2</v>
      </c>
      <c r="AB167" s="949">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50">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7">
        <f t="shared" si="105"/>
        <v>0</v>
      </c>
      <c r="AE167" s="938">
        <f t="shared" si="102"/>
        <v>0.1383091645380688</v>
      </c>
      <c r="AF167" s="938">
        <f t="shared" si="103"/>
        <v>0.10513888304926178</v>
      </c>
      <c r="AG167" s="938">
        <f t="shared" si="104"/>
        <v>0.24344804758733057</v>
      </c>
      <c r="AH167" s="1173">
        <f t="shared" si="100"/>
        <v>0.56812599611608727</v>
      </c>
      <c r="AI167" s="938">
        <f t="shared" si="101"/>
        <v>0.43187400388391273</v>
      </c>
    </row>
    <row r="168" spans="1:35" x14ac:dyDescent="0.2">
      <c r="A168" s="330">
        <v>2047</v>
      </c>
      <c r="B168" s="344">
        <v>0</v>
      </c>
      <c r="C168" s="345">
        <v>5.1617585692775504E-2</v>
      </c>
      <c r="D168" s="345">
        <v>0.1599698187687475</v>
      </c>
      <c r="E168" s="345">
        <v>0.23277001947336903</v>
      </c>
      <c r="F168" s="345">
        <v>0.24977032700947699</v>
      </c>
      <c r="G168" s="345">
        <v>0.2533291730410947</v>
      </c>
      <c r="H168" s="345">
        <v>0.25486683992426928</v>
      </c>
      <c r="I168" s="345">
        <v>0.25487012550449523</v>
      </c>
      <c r="J168" s="345">
        <v>0.25453291391712879</v>
      </c>
      <c r="K168" s="345">
        <v>0.2533718616377309</v>
      </c>
      <c r="L168" s="380">
        <v>0.2520834516760258</v>
      </c>
      <c r="M168" s="296">
        <f t="shared" si="94"/>
        <v>0.13946367636761239</v>
      </c>
      <c r="N168" s="298">
        <f t="shared" si="95"/>
        <v>0.11049993455683856</v>
      </c>
      <c r="O168" s="344">
        <v>0</v>
      </c>
      <c r="P168" s="345">
        <v>7.2614645099742581E-2</v>
      </c>
      <c r="Q168" s="345">
        <v>0.1535031226314692</v>
      </c>
      <c r="R168" s="345">
        <v>0.27403052866773064</v>
      </c>
      <c r="S168" s="345">
        <v>0.30119474606393687</v>
      </c>
      <c r="T168" s="345">
        <v>0.32383996358308526</v>
      </c>
      <c r="U168" s="345">
        <v>0.32816056994790449</v>
      </c>
      <c r="V168" s="345">
        <v>0.33119422469339671</v>
      </c>
      <c r="W168" s="345">
        <v>0.33276968562799275</v>
      </c>
      <c r="X168" s="345">
        <v>0.33255940875780071</v>
      </c>
      <c r="Y168" s="380">
        <v>0.33128381715339161</v>
      </c>
      <c r="Z168" s="296">
        <f t="shared" si="89"/>
        <v>0.10349387123744967</v>
      </c>
      <c r="AA168" s="298">
        <f t="shared" si="90"/>
        <v>8.5657552977531456E-2</v>
      </c>
      <c r="AB168" s="949">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50">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7">
        <f t="shared" si="105"/>
        <v>0</v>
      </c>
      <c r="AE168" s="938">
        <f t="shared" si="102"/>
        <v>0.13946367636761239</v>
      </c>
      <c r="AF168" s="938">
        <f t="shared" si="103"/>
        <v>0.10349387123744967</v>
      </c>
      <c r="AG168" s="938">
        <f t="shared" si="104"/>
        <v>0.24295754760506205</v>
      </c>
      <c r="AH168" s="1173">
        <f t="shared" si="100"/>
        <v>0.57402487694811855</v>
      </c>
      <c r="AI168" s="938">
        <f t="shared" si="101"/>
        <v>0.42597512305188151</v>
      </c>
    </row>
    <row r="169" spans="1:35" x14ac:dyDescent="0.2">
      <c r="A169" s="330">
        <v>2048</v>
      </c>
      <c r="B169" s="344">
        <v>0</v>
      </c>
      <c r="C169" s="345">
        <v>5.9873244528028169E-2</v>
      </c>
      <c r="D169" s="345">
        <v>0.1597888577680055</v>
      </c>
      <c r="E169" s="345">
        <v>0.23325013401761749</v>
      </c>
      <c r="F169" s="345">
        <v>0.24927680274171177</v>
      </c>
      <c r="G169" s="345">
        <v>0.25222828652454221</v>
      </c>
      <c r="H169" s="345">
        <v>0.25346603203641516</v>
      </c>
      <c r="I169" s="345">
        <v>0.25364225663267886</v>
      </c>
      <c r="J169" s="345">
        <v>0.25349198206523932</v>
      </c>
      <c r="K169" s="345">
        <v>0.25253272783801478</v>
      </c>
      <c r="L169" s="380">
        <v>0.2522024946904125</v>
      </c>
      <c r="M169" s="296">
        <f t="shared" si="94"/>
        <v>0.13939845119036959</v>
      </c>
      <c r="N169" s="298">
        <f t="shared" si="95"/>
        <v>0.11102693820252746</v>
      </c>
      <c r="O169" s="344">
        <v>0</v>
      </c>
      <c r="P169" s="345">
        <v>7.3849025853376438E-2</v>
      </c>
      <c r="Q169" s="345">
        <v>0.15651238982479651</v>
      </c>
      <c r="R169" s="345">
        <v>0.26919054893870203</v>
      </c>
      <c r="S169" s="345">
        <v>0.2997846851259629</v>
      </c>
      <c r="T169" s="345">
        <v>0.32243583554414024</v>
      </c>
      <c r="U169" s="345">
        <v>0.32676216291283938</v>
      </c>
      <c r="V169" s="345">
        <v>0.32980245682461712</v>
      </c>
      <c r="W169" s="345">
        <v>0.32974010398215098</v>
      </c>
      <c r="X169" s="345">
        <v>0.33118485038888024</v>
      </c>
      <c r="Y169" s="380">
        <v>0.32991876321935126</v>
      </c>
      <c r="Z169" s="296">
        <f t="shared" si="89"/>
        <v>0.10297780004572975</v>
      </c>
      <c r="AA169" s="298">
        <f t="shared" si="90"/>
        <v>8.5349911741878046E-2</v>
      </c>
      <c r="AB169" s="949">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50">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7">
        <f t="shared" si="105"/>
        <v>0</v>
      </c>
      <c r="AE169" s="938">
        <f t="shared" si="102"/>
        <v>0.13939845119036959</v>
      </c>
      <c r="AF169" s="938">
        <f t="shared" si="103"/>
        <v>0.10297780004572975</v>
      </c>
      <c r="AG169" s="938">
        <f t="shared" si="104"/>
        <v>0.24237625123609935</v>
      </c>
      <c r="AH169" s="1173">
        <f t="shared" si="100"/>
        <v>0.57513246648320004</v>
      </c>
      <c r="AI169" s="938">
        <f t="shared" si="101"/>
        <v>0.4248675335167999</v>
      </c>
    </row>
    <row r="170" spans="1:35" x14ac:dyDescent="0.2">
      <c r="A170" s="330">
        <v>2049</v>
      </c>
      <c r="B170" s="344">
        <v>0</v>
      </c>
      <c r="C170" s="345">
        <v>6.1333532923691057E-2</v>
      </c>
      <c r="D170" s="345">
        <v>0.16079734804059465</v>
      </c>
      <c r="E170" s="345">
        <v>0.23534965613823913</v>
      </c>
      <c r="F170" s="345">
        <v>0.2480063637217122</v>
      </c>
      <c r="G170" s="345">
        <v>0.25064968036575852</v>
      </c>
      <c r="H170" s="345">
        <v>0.25357165751863192</v>
      </c>
      <c r="I170" s="345">
        <v>0.25374804304552123</v>
      </c>
      <c r="J170" s="345">
        <v>0.25359765817802821</v>
      </c>
      <c r="K170" s="345">
        <v>0.25304565822001912</v>
      </c>
      <c r="L170" s="380">
        <v>0.25230713118987436</v>
      </c>
      <c r="M170" s="296">
        <f t="shared" si="94"/>
        <v>0.13945134313946486</v>
      </c>
      <c r="N170" s="298">
        <f t="shared" si="95"/>
        <v>0.11124613981047896</v>
      </c>
      <c r="O170" s="344">
        <v>0</v>
      </c>
      <c r="P170" s="345">
        <v>7.1106698055650938E-2</v>
      </c>
      <c r="Q170" s="345">
        <v>0.15286173383972529</v>
      </c>
      <c r="R170" s="345">
        <v>0.26283246501137975</v>
      </c>
      <c r="S170" s="345">
        <v>0.29360436597043266</v>
      </c>
      <c r="T170" s="345">
        <v>0.31661720729004011</v>
      </c>
      <c r="U170" s="345">
        <v>0.32122878652795261</v>
      </c>
      <c r="V170" s="345">
        <v>0.32458861840455072</v>
      </c>
      <c r="W170" s="345">
        <v>0.3265273673242145</v>
      </c>
      <c r="X170" s="345">
        <v>0.32672240187000468</v>
      </c>
      <c r="Y170" s="380">
        <v>0.32672240187000468</v>
      </c>
      <c r="Z170" s="296">
        <f t="shared" si="89"/>
        <v>0.10099809568937659</v>
      </c>
      <c r="AA170" s="298">
        <f t="shared" si="90"/>
        <v>8.3552072609463304E-2</v>
      </c>
      <c r="AB170" s="949">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50">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7">
        <f t="shared" si="105"/>
        <v>0</v>
      </c>
      <c r="AE170" s="938">
        <f t="shared" si="102"/>
        <v>0.13945134313946486</v>
      </c>
      <c r="AF170" s="938">
        <f t="shared" si="103"/>
        <v>0.10099809568937659</v>
      </c>
      <c r="AG170" s="938">
        <f t="shared" si="104"/>
        <v>0.24044943882884146</v>
      </c>
      <c r="AH170" s="1173">
        <f t="shared" si="100"/>
        <v>0.57996119191914675</v>
      </c>
      <c r="AI170" s="938">
        <f t="shared" si="101"/>
        <v>0.4200388080808532</v>
      </c>
    </row>
    <row r="171" spans="1:35" ht="15" thickBot="1" x14ac:dyDescent="0.25">
      <c r="A171" s="328">
        <v>2050</v>
      </c>
      <c r="B171" s="346">
        <v>0</v>
      </c>
      <c r="C171" s="347">
        <v>6.2534266001564837E-2</v>
      </c>
      <c r="D171" s="347">
        <v>0.16167758601967427</v>
      </c>
      <c r="E171" s="347">
        <v>0.23458596690955363</v>
      </c>
      <c r="F171" s="347">
        <v>0.2480936792063371</v>
      </c>
      <c r="G171" s="347">
        <v>0.25073883047595935</v>
      </c>
      <c r="H171" s="347">
        <v>0.25366292624579034</v>
      </c>
      <c r="I171" s="347">
        <v>0.25267534424237664</v>
      </c>
      <c r="J171" s="347">
        <v>0.25272811001011986</v>
      </c>
      <c r="K171" s="347">
        <v>0.25313644411543668</v>
      </c>
      <c r="L171" s="381">
        <v>0.25239735065731828</v>
      </c>
      <c r="M171" s="310">
        <f t="shared" si="94"/>
        <v>0.13941338155300953</v>
      </c>
      <c r="N171" s="312">
        <f t="shared" si="95"/>
        <v>0.11133544840359301</v>
      </c>
      <c r="O171" s="346">
        <v>0</v>
      </c>
      <c r="P171" s="347">
        <v>7.2841170633653668E-2</v>
      </c>
      <c r="Q171" s="347">
        <v>0.15541595333655775</v>
      </c>
      <c r="R171" s="347">
        <v>0.26095533034008689</v>
      </c>
      <c r="S171" s="347">
        <v>0.2916731471923813</v>
      </c>
      <c r="T171" s="347">
        <v>0.31465642223927087</v>
      </c>
      <c r="U171" s="347">
        <v>0.31927235269452942</v>
      </c>
      <c r="V171" s="347">
        <v>0.32263779965656214</v>
      </c>
      <c r="W171" s="347">
        <v>0.32458368317477904</v>
      </c>
      <c r="X171" s="347">
        <v>0.32478808867653841</v>
      </c>
      <c r="Y171" s="381">
        <v>0.32396985190446403</v>
      </c>
      <c r="Z171" s="310">
        <f t="shared" si="89"/>
        <v>0.10054594473990883</v>
      </c>
      <c r="AA171" s="312">
        <f t="shared" si="90"/>
        <v>8.3370821590644795E-2</v>
      </c>
      <c r="AB171" s="951">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2">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8">
        <f t="shared" si="105"/>
        <v>0</v>
      </c>
      <c r="AE171" s="938">
        <f t="shared" si="102"/>
        <v>0.13941338155300953</v>
      </c>
      <c r="AF171" s="938">
        <f t="shared" si="103"/>
        <v>0.10054594473990883</v>
      </c>
      <c r="AG171" s="938">
        <f t="shared" si="104"/>
        <v>0.23995932629291836</v>
      </c>
      <c r="AH171" s="1173">
        <f t="shared" si="100"/>
        <v>0.58098755196048357</v>
      </c>
      <c r="AI171" s="938">
        <f t="shared" si="101"/>
        <v>0.41901244803951643</v>
      </c>
    </row>
    <row r="172" spans="1:35" x14ac:dyDescent="0.2">
      <c r="B172" s="227" t="str">
        <f>B$120</f>
        <v>Output generated: 7/21/2020 15:48</v>
      </c>
      <c r="O172" s="227" t="str">
        <f>O$120</f>
        <v>Output generated: 7/21/2020 15:48</v>
      </c>
      <c r="AE172" s="938">
        <f t="shared" si="102"/>
        <v>0</v>
      </c>
      <c r="AF172" s="938">
        <f t="shared" si="103"/>
        <v>0</v>
      </c>
      <c r="AG172" s="938">
        <f t="shared" si="104"/>
        <v>0</v>
      </c>
      <c r="AH172" s="1173">
        <f t="shared" si="100"/>
        <v>0</v>
      </c>
      <c r="AI172" s="938">
        <f t="shared" si="101"/>
        <v>0</v>
      </c>
    </row>
    <row r="173" spans="1:35" ht="15" thickBot="1" x14ac:dyDescent="0.25">
      <c r="AE173" s="938"/>
      <c r="AF173" s="938"/>
      <c r="AG173" s="938"/>
      <c r="AH173" s="938"/>
      <c r="AI173" s="938"/>
    </row>
    <row r="174" spans="1:35" ht="15" x14ac:dyDescent="0.2">
      <c r="A174" s="333"/>
      <c r="B174" s="1553" t="s">
        <v>255</v>
      </c>
      <c r="C174" s="1554"/>
      <c r="D174" s="1554"/>
      <c r="E174" s="1554"/>
      <c r="F174" s="1554"/>
      <c r="G174" s="1554"/>
      <c r="H174" s="1554"/>
      <c r="I174" s="1554"/>
      <c r="J174" s="1554"/>
      <c r="K174" s="1554"/>
      <c r="L174" s="1554"/>
      <c r="M174" s="1554"/>
      <c r="N174" s="1555"/>
      <c r="O174" s="1553" t="s">
        <v>256</v>
      </c>
      <c r="P174" s="1554"/>
      <c r="Q174" s="1554"/>
      <c r="R174" s="1554"/>
      <c r="S174" s="1554"/>
      <c r="T174" s="1554"/>
      <c r="U174" s="1554"/>
      <c r="V174" s="1554"/>
      <c r="W174" s="1554"/>
      <c r="X174" s="1554"/>
      <c r="Y174" s="1554"/>
      <c r="Z174" s="1554"/>
      <c r="AA174" s="1555"/>
      <c r="AE174" s="938"/>
      <c r="AF174" s="938"/>
      <c r="AG174" s="938"/>
      <c r="AH174" s="938"/>
      <c r="AI174" s="938"/>
    </row>
    <row r="175" spans="1:35" x14ac:dyDescent="0.2">
      <c r="A175" s="324"/>
      <c r="B175" s="1556" t="s">
        <v>121</v>
      </c>
      <c r="C175" s="1557"/>
      <c r="D175" s="1557"/>
      <c r="E175" s="1557"/>
      <c r="F175" s="1557"/>
      <c r="G175" s="1557"/>
      <c r="H175" s="1557"/>
      <c r="I175" s="1557"/>
      <c r="J175" s="1557"/>
      <c r="K175" s="1557"/>
      <c r="L175" s="1557"/>
      <c r="M175" s="382"/>
      <c r="N175" s="325"/>
      <c r="O175" s="1556" t="s">
        <v>121</v>
      </c>
      <c r="P175" s="1557"/>
      <c r="Q175" s="1557"/>
      <c r="R175" s="1557"/>
      <c r="S175" s="1557"/>
      <c r="T175" s="1557"/>
      <c r="U175" s="1557"/>
      <c r="V175" s="1557"/>
      <c r="W175" s="1557"/>
      <c r="X175" s="1557"/>
      <c r="Y175" s="1557"/>
      <c r="Z175" s="382"/>
      <c r="AA175" s="325"/>
      <c r="AC175" s="955" t="s">
        <v>267</v>
      </c>
      <c r="AD175" s="234" t="b">
        <f>INDEX(TECH_OPT_FUEL2_Cls2,MATCH(RIGHT(O174),TECH_OPT_ROWS_Cls2,0))&lt;&gt;"N/A"</f>
        <v>1</v>
      </c>
      <c r="AE175" s="938"/>
      <c r="AF175" s="938"/>
      <c r="AG175" s="938"/>
      <c r="AH175" s="938"/>
      <c r="AI175" s="938"/>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7"/>
      <c r="AC176" s="955" t="s">
        <v>268</v>
      </c>
      <c r="AD176" s="234">
        <f>MATCH(RIGHT(O174),TECH_OPT_ROWS_Cls2,0)</f>
        <v>4</v>
      </c>
      <c r="AE176" s="938"/>
      <c r="AF176" s="938"/>
      <c r="AG176" s="938"/>
      <c r="AH176" s="938"/>
      <c r="AI176" s="938"/>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10">
        <v>5.2963907111801883E-3</v>
      </c>
      <c r="Z177" s="1215"/>
      <c r="AA177" s="1216"/>
    </row>
    <row r="178" spans="1:39" x14ac:dyDescent="0.2">
      <c r="A178" s="331" t="s">
        <v>125</v>
      </c>
      <c r="B178" s="924">
        <f t="array" ref="B178:L178">TRANSPOSE(Cls2CentVMTShr)</f>
        <v>6.3375455551975849E-3</v>
      </c>
      <c r="C178" s="925">
        <v>3.496913005496359E-2</v>
      </c>
      <c r="D178" s="925">
        <v>5.9955127131675522E-2</v>
      </c>
      <c r="E178" s="925">
        <v>8.4599669387910512E-2</v>
      </c>
      <c r="F178" s="925">
        <v>0.12702701008436962</v>
      </c>
      <c r="G178" s="925">
        <v>6.7204731283582092E-2</v>
      </c>
      <c r="H178" s="925">
        <v>8.8708982453757024E-2</v>
      </c>
      <c r="I178" s="925">
        <v>6.4694225377098208E-2</v>
      </c>
      <c r="J178" s="925">
        <v>3.2526447027526634E-2</v>
      </c>
      <c r="K178" s="925">
        <v>1.589064319454132E-2</v>
      </c>
      <c r="L178" s="1211">
        <v>3.2608183213810787E-2</v>
      </c>
      <c r="M178" s="1212"/>
      <c r="N178" s="1213"/>
      <c r="O178" s="924">
        <f t="array" ref="O178:Y178">TRANSPOSE(Cls2NCentVMTShr)</f>
        <v>8.1228463417563086E-3</v>
      </c>
      <c r="P178" s="925">
        <v>2.7563836768431361E-2</v>
      </c>
      <c r="Q178" s="925">
        <v>4.1883113088337191E-2</v>
      </c>
      <c r="R178" s="925">
        <v>6.4289357588678764E-2</v>
      </c>
      <c r="S178" s="925">
        <v>9.1183275251204537E-2</v>
      </c>
      <c r="T178" s="925">
        <v>5.1984283219922628E-2</v>
      </c>
      <c r="U178" s="925">
        <v>5.0286059545109812E-2</v>
      </c>
      <c r="V178" s="925">
        <v>1.5542287574292338E-2</v>
      </c>
      <c r="W178" s="925">
        <v>1.4506257462625264E-2</v>
      </c>
      <c r="X178" s="925">
        <v>4.9330966304706684E-3</v>
      </c>
      <c r="Y178" s="926">
        <v>1.5183891764738403E-2</v>
      </c>
      <c r="Z178" s="1212"/>
      <c r="AA178" s="1213"/>
      <c r="AB178" s="1550" t="str">
        <f>"% of miles on f2 for Tech "&amp; RIGHT(O173)&amp;" adopters"</f>
        <v>% of miles on f2 for Tech  adopters</v>
      </c>
      <c r="AC178" s="1551"/>
      <c r="AD178" s="1552"/>
      <c r="AE178" s="938" t="s">
        <v>303</v>
      </c>
      <c r="AF178" s="938"/>
      <c r="AG178" s="938"/>
      <c r="AH178" s="1173" t="s">
        <v>304</v>
      </c>
      <c r="AI178" s="938"/>
    </row>
    <row r="179" spans="1:39" ht="15" thickBot="1" x14ac:dyDescent="0.25">
      <c r="A179" s="943" t="s">
        <v>266</v>
      </c>
      <c r="B179" s="934">
        <f t="array" ref="B179:L179">TRANSPOSE(Cls2CentVMT/OPDAYS_Cls2)</f>
        <v>49.332453271995263</v>
      </c>
      <c r="C179" s="935">
        <v>120.11441047790339</v>
      </c>
      <c r="D179" s="935">
        <v>200.99157969807086</v>
      </c>
      <c r="E179" s="935">
        <v>280.98421424125928</v>
      </c>
      <c r="F179" s="935">
        <v>358.20644524895255</v>
      </c>
      <c r="G179" s="935">
        <v>432.82805471770689</v>
      </c>
      <c r="H179" s="935">
        <v>517.10615118099815</v>
      </c>
      <c r="I179" s="935">
        <v>597.8087063838957</v>
      </c>
      <c r="J179" s="935">
        <v>676.93419409560215</v>
      </c>
      <c r="K179" s="935">
        <v>746.82245226325631</v>
      </c>
      <c r="L179" s="936">
        <v>895.92826380844349</v>
      </c>
      <c r="M179" s="932"/>
      <c r="N179" s="933"/>
      <c r="O179" s="934">
        <f t="array" ref="O179:Y179">TRANSPOSE(Cls2NCentVMT/OPDAYS_Cls2)</f>
        <v>54.31462614952413</v>
      </c>
      <c r="P179" s="935">
        <v>126.62311644744663</v>
      </c>
      <c r="Q179" s="935">
        <v>206.96826351576016</v>
      </c>
      <c r="R179" s="935">
        <v>286.46600131499179</v>
      </c>
      <c r="S179" s="935">
        <v>358.9638908170715</v>
      </c>
      <c r="T179" s="935">
        <v>450.55545819643328</v>
      </c>
      <c r="U179" s="935">
        <v>511.93098482414172</v>
      </c>
      <c r="V179" s="935">
        <v>579.22933632093111</v>
      </c>
      <c r="W179" s="935">
        <v>695.25665569614875</v>
      </c>
      <c r="X179" s="935">
        <v>759.80682330760794</v>
      </c>
      <c r="Y179" s="1214">
        <v>882.81167173661356</v>
      </c>
      <c r="Z179" s="944"/>
      <c r="AA179" s="933"/>
      <c r="AB179" s="946" t="s">
        <v>186</v>
      </c>
      <c r="AC179" s="947" t="s">
        <v>15</v>
      </c>
      <c r="AD179" s="948" t="s">
        <v>18</v>
      </c>
      <c r="AE179" s="938" t="s">
        <v>186</v>
      </c>
      <c r="AF179" s="938" t="s">
        <v>15</v>
      </c>
      <c r="AG179" s="938" t="s">
        <v>18</v>
      </c>
      <c r="AH179" s="1173" t="s">
        <v>186</v>
      </c>
      <c r="AI179" s="938"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9">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50">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7">
        <f>AB180*AH180+AC180*AI180</f>
        <v>0</v>
      </c>
      <c r="AE180" s="938">
        <f t="shared" ref="AE180:AE194" si="106">SUMPRODUCT($B$74:$L$74,B180:L180)</f>
        <v>0</v>
      </c>
      <c r="AF180" s="938">
        <f t="shared" ref="AF180:AF194" si="107">SUMPRODUCT($O$74:$Y$74,O180:Y180)</f>
        <v>0</v>
      </c>
      <c r="AG180" s="938">
        <f t="shared" ref="AG180:AG194" si="108">SUM(AE180:AF180)</f>
        <v>0</v>
      </c>
      <c r="AH180" s="1173">
        <f>IF(AG180&gt;0,AE180/AG180,0)</f>
        <v>0</v>
      </c>
      <c r="AI180" s="938">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9">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50">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7">
        <f t="shared" ref="AD181:AD205" si="113">AB181*AH181+AC181*AI181</f>
        <v>0</v>
      </c>
      <c r="AE181" s="938">
        <f t="shared" si="106"/>
        <v>0</v>
      </c>
      <c r="AF181" s="938">
        <f t="shared" si="107"/>
        <v>0</v>
      </c>
      <c r="AG181" s="938">
        <f t="shared" si="108"/>
        <v>0</v>
      </c>
      <c r="AH181" s="1173">
        <f t="shared" ref="AH181:AH199" si="114">IF(AG181&gt;0,AE181/AG181,0)</f>
        <v>0</v>
      </c>
      <c r="AI181" s="938">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9">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50">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7">
        <f t="shared" si="113"/>
        <v>0</v>
      </c>
      <c r="AE182" s="938">
        <f t="shared" si="106"/>
        <v>0</v>
      </c>
      <c r="AF182" s="938">
        <f t="shared" si="107"/>
        <v>0</v>
      </c>
      <c r="AG182" s="938">
        <f t="shared" si="108"/>
        <v>0</v>
      </c>
      <c r="AH182" s="1173">
        <f t="shared" si="114"/>
        <v>0</v>
      </c>
      <c r="AI182" s="938">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9">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50">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7">
        <f t="shared" si="113"/>
        <v>0</v>
      </c>
      <c r="AE183" s="938">
        <f t="shared" si="106"/>
        <v>0</v>
      </c>
      <c r="AF183" s="938">
        <f t="shared" si="107"/>
        <v>0</v>
      </c>
      <c r="AG183" s="938">
        <f t="shared" si="108"/>
        <v>0</v>
      </c>
      <c r="AH183" s="1173">
        <f t="shared" si="114"/>
        <v>0</v>
      </c>
      <c r="AI183" s="938">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9">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50">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7">
        <f t="shared" si="113"/>
        <v>0</v>
      </c>
      <c r="AE184" s="938">
        <f t="shared" si="106"/>
        <v>0</v>
      </c>
      <c r="AF184" s="938">
        <f t="shared" si="107"/>
        <v>0</v>
      </c>
      <c r="AG184" s="938">
        <f t="shared" si="108"/>
        <v>0</v>
      </c>
      <c r="AH184" s="1173">
        <f t="shared" si="114"/>
        <v>0</v>
      </c>
      <c r="AI184" s="938">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9">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50">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7">
        <f t="shared" si="113"/>
        <v>0</v>
      </c>
      <c r="AE185" s="938">
        <f t="shared" si="106"/>
        <v>0</v>
      </c>
      <c r="AF185" s="938">
        <f t="shared" si="107"/>
        <v>0</v>
      </c>
      <c r="AG185" s="938">
        <f t="shared" si="108"/>
        <v>0</v>
      </c>
      <c r="AH185" s="1173">
        <f t="shared" si="114"/>
        <v>0</v>
      </c>
      <c r="AI185" s="938">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9">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50">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7">
        <f t="shared" si="113"/>
        <v>0</v>
      </c>
      <c r="AE186" s="938">
        <f t="shared" si="106"/>
        <v>0</v>
      </c>
      <c r="AF186" s="938">
        <f t="shared" si="107"/>
        <v>0</v>
      </c>
      <c r="AG186" s="938">
        <f t="shared" si="108"/>
        <v>0</v>
      </c>
      <c r="AH186" s="1173">
        <f t="shared" si="114"/>
        <v>0</v>
      </c>
      <c r="AI186" s="938">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9">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50">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7">
        <f t="shared" si="113"/>
        <v>0</v>
      </c>
      <c r="AE187" s="938">
        <f t="shared" si="106"/>
        <v>0</v>
      </c>
      <c r="AF187" s="938">
        <f t="shared" si="107"/>
        <v>0</v>
      </c>
      <c r="AG187" s="938">
        <f t="shared" si="108"/>
        <v>0</v>
      </c>
      <c r="AH187" s="1173">
        <f t="shared" si="114"/>
        <v>0</v>
      </c>
      <c r="AI187" s="938">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9">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50">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7">
        <f t="shared" si="113"/>
        <v>0</v>
      </c>
      <c r="AE188" s="938">
        <f t="shared" si="106"/>
        <v>0</v>
      </c>
      <c r="AF188" s="938">
        <f t="shared" si="107"/>
        <v>0</v>
      </c>
      <c r="AG188" s="938">
        <f t="shared" si="108"/>
        <v>0</v>
      </c>
      <c r="AH188" s="1173">
        <f t="shared" si="114"/>
        <v>0</v>
      </c>
      <c r="AI188" s="938">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9">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50">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7">
        <f t="shared" si="113"/>
        <v>0</v>
      </c>
      <c r="AE189" s="938">
        <f t="shared" si="106"/>
        <v>0</v>
      </c>
      <c r="AF189" s="938">
        <f t="shared" si="107"/>
        <v>0</v>
      </c>
      <c r="AG189" s="938">
        <f t="shared" si="108"/>
        <v>0</v>
      </c>
      <c r="AH189" s="1173">
        <f t="shared" si="114"/>
        <v>0</v>
      </c>
      <c r="AI189" s="938">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9">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50">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7">
        <f t="shared" si="113"/>
        <v>0</v>
      </c>
      <c r="AE190" s="938">
        <f t="shared" si="106"/>
        <v>0</v>
      </c>
      <c r="AF190" s="938">
        <f t="shared" si="107"/>
        <v>0</v>
      </c>
      <c r="AG190" s="938">
        <f t="shared" si="108"/>
        <v>0</v>
      </c>
      <c r="AH190" s="1173">
        <f t="shared" si="114"/>
        <v>0</v>
      </c>
      <c r="AI190" s="938">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9">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50">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7">
        <f t="shared" si="113"/>
        <v>0</v>
      </c>
      <c r="AE191" s="938">
        <f t="shared" si="106"/>
        <v>0</v>
      </c>
      <c r="AF191" s="938">
        <f t="shared" si="107"/>
        <v>0</v>
      </c>
      <c r="AG191" s="938">
        <f t="shared" si="108"/>
        <v>0</v>
      </c>
      <c r="AH191" s="1173">
        <f t="shared" si="114"/>
        <v>0</v>
      </c>
      <c r="AI191" s="938">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9">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50">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7">
        <f t="shared" si="113"/>
        <v>0</v>
      </c>
      <c r="AE192" s="938">
        <f t="shared" si="106"/>
        <v>0</v>
      </c>
      <c r="AF192" s="938">
        <f t="shared" si="107"/>
        <v>0</v>
      </c>
      <c r="AG192" s="938">
        <f t="shared" si="108"/>
        <v>0</v>
      </c>
      <c r="AH192" s="1173">
        <f t="shared" si="114"/>
        <v>0</v>
      </c>
      <c r="AI192" s="938">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9">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50">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7">
        <f t="shared" si="113"/>
        <v>0</v>
      </c>
      <c r="AE193" s="938">
        <f t="shared" si="106"/>
        <v>0</v>
      </c>
      <c r="AF193" s="938">
        <f t="shared" si="107"/>
        <v>0</v>
      </c>
      <c r="AG193" s="938">
        <f t="shared" si="108"/>
        <v>0</v>
      </c>
      <c r="AH193" s="1173">
        <f t="shared" si="114"/>
        <v>0</v>
      </c>
      <c r="AI193" s="938">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9">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50">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7">
        <f t="shared" si="113"/>
        <v>0</v>
      </c>
      <c r="AE194" s="938">
        <f t="shared" si="106"/>
        <v>0</v>
      </c>
      <c r="AF194" s="938">
        <f t="shared" si="107"/>
        <v>0</v>
      </c>
      <c r="AG194" s="938">
        <f t="shared" si="108"/>
        <v>0</v>
      </c>
      <c r="AH194" s="1173">
        <f t="shared" si="114"/>
        <v>0</v>
      </c>
      <c r="AI194" s="938">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9">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50">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7">
        <f t="shared" si="113"/>
        <v>0</v>
      </c>
      <c r="AE195" s="938">
        <f>SUMPRODUCT($B$74:$L$74,B195:L195)</f>
        <v>0</v>
      </c>
      <c r="AF195" s="938">
        <f>SUMPRODUCT($O$74:$Y$74,O195:Y195)</f>
        <v>0</v>
      </c>
      <c r="AG195" s="938">
        <f>SUM(AE195:AF195)</f>
        <v>0</v>
      </c>
      <c r="AH195" s="1173">
        <f t="shared" si="114"/>
        <v>0</v>
      </c>
      <c r="AI195" s="938">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9">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50">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7">
        <f t="shared" si="113"/>
        <v>0</v>
      </c>
      <c r="AE196" s="938">
        <f t="shared" ref="AE196:AE222" si="116">SUMPRODUCT($B$74:$L$74,B196:L196)</f>
        <v>0</v>
      </c>
      <c r="AF196" s="938">
        <f t="shared" ref="AF196:AF222" si="117">SUMPRODUCT($O$74:$Y$74,O196:Y196)</f>
        <v>0</v>
      </c>
      <c r="AG196" s="938">
        <f t="shared" ref="AG196:AG222" si="118">SUM(AE196:AF196)</f>
        <v>0</v>
      </c>
      <c r="AH196" s="1173">
        <f t="shared" si="114"/>
        <v>0</v>
      </c>
      <c r="AI196" s="938">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9">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50">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7">
        <f t="shared" si="113"/>
        <v>0</v>
      </c>
      <c r="AE197" s="938">
        <f t="shared" si="116"/>
        <v>0</v>
      </c>
      <c r="AF197" s="938">
        <f t="shared" si="117"/>
        <v>0</v>
      </c>
      <c r="AG197" s="938">
        <f t="shared" si="118"/>
        <v>0</v>
      </c>
      <c r="AH197" s="1173">
        <f t="shared" si="114"/>
        <v>0</v>
      </c>
      <c r="AI197" s="938">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9">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50">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7">
        <f t="shared" si="113"/>
        <v>0</v>
      </c>
      <c r="AE198" s="938">
        <f t="shared" si="116"/>
        <v>0</v>
      </c>
      <c r="AF198" s="938">
        <f t="shared" si="117"/>
        <v>0</v>
      </c>
      <c r="AG198" s="938">
        <f t="shared" si="118"/>
        <v>0</v>
      </c>
      <c r="AH198" s="1173">
        <f t="shared" si="114"/>
        <v>0</v>
      </c>
      <c r="AI198" s="938">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9">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50">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7">
        <f t="shared" si="113"/>
        <v>0</v>
      </c>
      <c r="AE199" s="938">
        <f t="shared" si="116"/>
        <v>0</v>
      </c>
      <c r="AF199" s="938">
        <f t="shared" si="117"/>
        <v>0</v>
      </c>
      <c r="AG199" s="938">
        <f t="shared" si="118"/>
        <v>0</v>
      </c>
      <c r="AH199" s="1173">
        <f t="shared" si="114"/>
        <v>0</v>
      </c>
      <c r="AI199" s="938">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9">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50">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7">
        <f t="shared" si="113"/>
        <v>0</v>
      </c>
      <c r="AE200" s="938">
        <f t="shared" si="116"/>
        <v>0</v>
      </c>
      <c r="AF200" s="938">
        <f t="shared" si="117"/>
        <v>0</v>
      </c>
      <c r="AG200" s="938">
        <f t="shared" si="118"/>
        <v>0</v>
      </c>
      <c r="AH200" s="1173">
        <f t="shared" ref="AH200:AH222" si="119">IF(AG200&gt;0,AE200/AG200,0)</f>
        <v>0</v>
      </c>
      <c r="AI200" s="938">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9">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50">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7">
        <f t="shared" si="113"/>
        <v>0</v>
      </c>
      <c r="AE201" s="938">
        <f t="shared" si="116"/>
        <v>0</v>
      </c>
      <c r="AF201" s="938">
        <f t="shared" si="117"/>
        <v>0</v>
      </c>
      <c r="AG201" s="938">
        <f t="shared" si="118"/>
        <v>0</v>
      </c>
      <c r="AH201" s="1173">
        <f t="shared" si="119"/>
        <v>0</v>
      </c>
      <c r="AI201" s="938">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9">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50">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7">
        <f t="shared" si="113"/>
        <v>0</v>
      </c>
      <c r="AE202" s="938">
        <f t="shared" si="116"/>
        <v>0</v>
      </c>
      <c r="AF202" s="938">
        <f t="shared" si="117"/>
        <v>0</v>
      </c>
      <c r="AG202" s="938">
        <f t="shared" si="118"/>
        <v>0</v>
      </c>
      <c r="AH202" s="1173">
        <f t="shared" si="119"/>
        <v>0</v>
      </c>
      <c r="AI202" s="938">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9">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50">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7">
        <f t="shared" si="113"/>
        <v>0</v>
      </c>
      <c r="AE203" s="938">
        <f t="shared" si="116"/>
        <v>0</v>
      </c>
      <c r="AF203" s="938">
        <f t="shared" si="117"/>
        <v>0</v>
      </c>
      <c r="AG203" s="938">
        <f t="shared" si="118"/>
        <v>0</v>
      </c>
      <c r="AH203" s="1173">
        <f t="shared" si="119"/>
        <v>0</v>
      </c>
      <c r="AI203" s="938">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1.8284227101180876E-4</v>
      </c>
      <c r="Z204" s="282">
        <f t="shared" si="111"/>
        <v>2.7762572530622703E-6</v>
      </c>
      <c r="AA204" s="284">
        <f t="shared" si="112"/>
        <v>9.684041057980345E-7</v>
      </c>
      <c r="AB204" s="949">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50">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0.15603295236606704</v>
      </c>
      <c r="AD204" s="1227">
        <f t="shared" si="113"/>
        <v>0.15603295236606704</v>
      </c>
      <c r="AE204" s="938">
        <f t="shared" si="116"/>
        <v>0</v>
      </c>
      <c r="AF204" s="938">
        <f t="shared" si="117"/>
        <v>2.7762572530622703E-6</v>
      </c>
      <c r="AG204" s="938">
        <f t="shared" si="118"/>
        <v>2.7762572530622703E-6</v>
      </c>
      <c r="AH204" s="1173">
        <f t="shared" si="119"/>
        <v>0</v>
      </c>
      <c r="AI204" s="938">
        <f t="shared" si="120"/>
        <v>1</v>
      </c>
    </row>
    <row r="205" spans="1:35" x14ac:dyDescent="0.2">
      <c r="A205" s="330">
        <v>2032</v>
      </c>
      <c r="B205" s="344">
        <v>0</v>
      </c>
      <c r="C205" s="345">
        <v>0</v>
      </c>
      <c r="D205" s="345">
        <v>0</v>
      </c>
      <c r="E205" s="345">
        <v>0</v>
      </c>
      <c r="F205" s="345">
        <v>0</v>
      </c>
      <c r="G205" s="345">
        <v>0</v>
      </c>
      <c r="H205" s="345">
        <v>0</v>
      </c>
      <c r="I205" s="345">
        <v>0</v>
      </c>
      <c r="J205" s="345">
        <v>0</v>
      </c>
      <c r="K205" s="345">
        <v>0</v>
      </c>
      <c r="L205" s="380">
        <v>5.1758117913364892E-3</v>
      </c>
      <c r="M205" s="296">
        <f t="shared" si="109"/>
        <v>1.6877381917210246E-4</v>
      </c>
      <c r="N205" s="298">
        <f t="shared" si="110"/>
        <v>5.8009192886801705E-5</v>
      </c>
      <c r="O205" s="344">
        <v>0</v>
      </c>
      <c r="P205" s="345">
        <v>0</v>
      </c>
      <c r="Q205" s="345">
        <v>0</v>
      </c>
      <c r="R205" s="345">
        <v>0</v>
      </c>
      <c r="S205" s="345">
        <v>0</v>
      </c>
      <c r="T205" s="345">
        <v>0</v>
      </c>
      <c r="U205" s="345">
        <v>0</v>
      </c>
      <c r="V205" s="345">
        <v>0</v>
      </c>
      <c r="W205" s="345">
        <v>1.8685983186191192E-4</v>
      </c>
      <c r="X205" s="345">
        <v>1.7801655529780739E-3</v>
      </c>
      <c r="Y205" s="380">
        <v>1.7379182657179162E-2</v>
      </c>
      <c r="Z205" s="296">
        <f t="shared" si="111"/>
        <v>2.75375993947715E-4</v>
      </c>
      <c r="AA205" s="298">
        <f t="shared" si="112"/>
        <v>9.6806635012857193E-5</v>
      </c>
      <c r="AB205" s="949">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0.15400030371260601</v>
      </c>
      <c r="AC205" s="950">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0.15751027116461716</v>
      </c>
      <c r="AD205" s="1227">
        <f t="shared" si="113"/>
        <v>0.15617650810866854</v>
      </c>
      <c r="AE205" s="938">
        <f t="shared" si="116"/>
        <v>1.6877381917210246E-4</v>
      </c>
      <c r="AF205" s="938">
        <f t="shared" si="117"/>
        <v>2.75375993947715E-4</v>
      </c>
      <c r="AG205" s="938">
        <f t="shared" si="118"/>
        <v>4.4414981311981748E-4</v>
      </c>
      <c r="AH205" s="1173">
        <f t="shared" si="119"/>
        <v>0.37999299827820182</v>
      </c>
      <c r="AI205" s="938">
        <f t="shared" si="120"/>
        <v>0.62000700172179812</v>
      </c>
    </row>
    <row r="206" spans="1:35" x14ac:dyDescent="0.2">
      <c r="A206" s="330">
        <v>2033</v>
      </c>
      <c r="B206" s="344">
        <v>0</v>
      </c>
      <c r="C206" s="345">
        <v>0</v>
      </c>
      <c r="D206" s="345">
        <v>0</v>
      </c>
      <c r="E206" s="345">
        <v>0</v>
      </c>
      <c r="F206" s="345">
        <v>0</v>
      </c>
      <c r="G206" s="345">
        <v>0</v>
      </c>
      <c r="H206" s="345">
        <v>0</v>
      </c>
      <c r="I206" s="345">
        <v>0</v>
      </c>
      <c r="J206" s="345">
        <v>1.8153222906799489E-3</v>
      </c>
      <c r="K206" s="345">
        <v>1.0585415802902228E-2</v>
      </c>
      <c r="L206" s="380">
        <v>5.939072375635801E-2</v>
      </c>
      <c r="M206" s="296">
        <f t="shared" si="109"/>
        <v>2.1638786513636151E-3</v>
      </c>
      <c r="N206" s="298">
        <f t="shared" si="110"/>
        <v>7.6185450075986984E-4</v>
      </c>
      <c r="O206" s="344">
        <v>0</v>
      </c>
      <c r="P206" s="345">
        <v>0</v>
      </c>
      <c r="Q206" s="345">
        <v>0</v>
      </c>
      <c r="R206" s="345">
        <v>0</v>
      </c>
      <c r="S206" s="345">
        <v>0</v>
      </c>
      <c r="T206" s="345">
        <v>0</v>
      </c>
      <c r="U206" s="345">
        <v>0</v>
      </c>
      <c r="V206" s="345">
        <v>5.6297008121402074E-4</v>
      </c>
      <c r="W206" s="345">
        <v>1.5631875853409471E-2</v>
      </c>
      <c r="X206" s="345">
        <v>3.9677020192685888E-2</v>
      </c>
      <c r="Y206" s="380">
        <v>9.2391481589757782E-2</v>
      </c>
      <c r="Z206" s="296">
        <f t="shared" si="111"/>
        <v>1.8341026897136623E-3</v>
      </c>
      <c r="AA206" s="298">
        <f t="shared" si="112"/>
        <v>6.7375529601918773E-4</v>
      </c>
      <c r="AB206" s="949">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0.15800769221369829</v>
      </c>
      <c r="AC206" s="950">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0.1648608895609367</v>
      </c>
      <c r="AD206" s="1227">
        <f>AB206*AH206+AC206*AI206</f>
        <v>0.16115164577810429</v>
      </c>
      <c r="AE206" s="938">
        <f t="shared" si="116"/>
        <v>2.1638786513636151E-3</v>
      </c>
      <c r="AF206" s="938">
        <f t="shared" si="117"/>
        <v>1.8341026897136623E-3</v>
      </c>
      <c r="AG206" s="938">
        <f t="shared" si="118"/>
        <v>3.9979813410772769E-3</v>
      </c>
      <c r="AH206" s="1173">
        <f t="shared" si="119"/>
        <v>0.54124280899733934</v>
      </c>
      <c r="AI206" s="938">
        <f t="shared" si="120"/>
        <v>0.45875719100266077</v>
      </c>
    </row>
    <row r="207" spans="1:35" x14ac:dyDescent="0.2">
      <c r="A207" s="330">
        <v>2034</v>
      </c>
      <c r="B207" s="344">
        <v>0</v>
      </c>
      <c r="C207" s="345">
        <v>0</v>
      </c>
      <c r="D207" s="345">
        <v>0</v>
      </c>
      <c r="E207" s="345">
        <v>0</v>
      </c>
      <c r="F207" s="345">
        <v>0</v>
      </c>
      <c r="G207" s="345">
        <v>0</v>
      </c>
      <c r="H207" s="345">
        <v>1.3302270122991328E-4</v>
      </c>
      <c r="I207" s="345">
        <v>6.2007251674540444E-3</v>
      </c>
      <c r="J207" s="345">
        <v>3.246120633259425E-2</v>
      </c>
      <c r="K207" s="345">
        <v>6.6316244424847695E-2</v>
      </c>
      <c r="L207" s="380">
        <v>0.14514504295309968</v>
      </c>
      <c r="M207" s="296">
        <f t="shared" si="109"/>
        <v>7.2555230595291679E-3</v>
      </c>
      <c r="N207" s="298">
        <f t="shared" si="110"/>
        <v>2.755241667197806E-3</v>
      </c>
      <c r="O207" s="344">
        <v>0</v>
      </c>
      <c r="P207" s="345">
        <v>0</v>
      </c>
      <c r="Q207" s="345">
        <v>0</v>
      </c>
      <c r="R207" s="345">
        <v>0</v>
      </c>
      <c r="S207" s="345">
        <v>0</v>
      </c>
      <c r="T207" s="345">
        <v>0</v>
      </c>
      <c r="U207" s="345">
        <v>2.9568876634258456E-3</v>
      </c>
      <c r="V207" s="345">
        <v>1.8020111024627087E-2</v>
      </c>
      <c r="W207" s="345">
        <v>7.9341305215795452E-2</v>
      </c>
      <c r="X207" s="345">
        <v>0.11820132744916098</v>
      </c>
      <c r="Y207" s="380">
        <v>0.17367504414809998</v>
      </c>
      <c r="Z207" s="296">
        <f t="shared" si="111"/>
        <v>4.7998710203952539E-3</v>
      </c>
      <c r="AA207" s="298">
        <f t="shared" si="112"/>
        <v>1.9042811755881411E-3</v>
      </c>
      <c r="AB207" s="949">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0.17070182777883919</v>
      </c>
      <c r="AC207" s="950">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0.17833997742466068</v>
      </c>
      <c r="AD207" s="1227">
        <f t="shared" ref="AD207:AD223" si="121">AB207*AH207+AC207*AI207</f>
        <v>0.17374296711375925</v>
      </c>
      <c r="AE207" s="938">
        <f t="shared" si="116"/>
        <v>7.2555230595291679E-3</v>
      </c>
      <c r="AF207" s="938">
        <f t="shared" si="117"/>
        <v>4.7998710203952539E-3</v>
      </c>
      <c r="AG207" s="938">
        <f t="shared" si="118"/>
        <v>1.2055394079924422E-2</v>
      </c>
      <c r="AH207" s="1173">
        <f t="shared" si="119"/>
        <v>0.60184868378642453</v>
      </c>
      <c r="AI207" s="938">
        <f t="shared" si="120"/>
        <v>0.39815131621357547</v>
      </c>
    </row>
    <row r="208" spans="1:35" ht="15" thickBot="1" x14ac:dyDescent="0.25">
      <c r="A208" s="328">
        <v>2035</v>
      </c>
      <c r="B208" s="346">
        <v>0</v>
      </c>
      <c r="C208" s="347">
        <v>0</v>
      </c>
      <c r="D208" s="347">
        <v>0</v>
      </c>
      <c r="E208" s="347">
        <v>0</v>
      </c>
      <c r="F208" s="347">
        <v>0</v>
      </c>
      <c r="G208" s="347">
        <v>2.8505087197016569E-4</v>
      </c>
      <c r="H208" s="347">
        <v>1.6147338722110233E-2</v>
      </c>
      <c r="I208" s="347">
        <v>6.1204090817373248E-2</v>
      </c>
      <c r="J208" s="347">
        <v>0.11974674523530375</v>
      </c>
      <c r="K208" s="347">
        <v>0.15652990023584357</v>
      </c>
      <c r="L208" s="381">
        <v>0.22442671653748655</v>
      </c>
      <c r="M208" s="310">
        <f t="shared" si="109"/>
        <v>1.9111566450435099E-2</v>
      </c>
      <c r="N208" s="312">
        <f t="shared" si="110"/>
        <v>8.2190109795447237E-3</v>
      </c>
      <c r="O208" s="346">
        <v>0</v>
      </c>
      <c r="P208" s="347">
        <v>0</v>
      </c>
      <c r="Q208" s="347">
        <v>0</v>
      </c>
      <c r="R208" s="347">
        <v>0</v>
      </c>
      <c r="S208" s="347">
        <v>0</v>
      </c>
      <c r="T208" s="347">
        <v>1.0936019477157662E-2</v>
      </c>
      <c r="U208" s="347">
        <v>4.5421115569299599E-2</v>
      </c>
      <c r="V208" s="347">
        <v>9.5027439155450422E-2</v>
      </c>
      <c r="W208" s="347">
        <v>0.16614701141992291</v>
      </c>
      <c r="X208" s="347">
        <v>0.19540107082566147</v>
      </c>
      <c r="Y208" s="381">
        <v>0.24282130549261444</v>
      </c>
      <c r="Z208" s="310">
        <f t="shared" si="111"/>
        <v>1.1390569951880754E-2</v>
      </c>
      <c r="AA208" s="312">
        <f t="shared" si="112"/>
        <v>5.2919043921682771E-3</v>
      </c>
      <c r="AB208" s="949">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0.19363213289246856</v>
      </c>
      <c r="AC208" s="950">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0.20918025461459294</v>
      </c>
      <c r="AD208" s="1227">
        <f t="shared" si="121"/>
        <v>0.19943834809524263</v>
      </c>
      <c r="AE208" s="938">
        <f t="shared" si="116"/>
        <v>1.9111566450435099E-2</v>
      </c>
      <c r="AF208" s="938">
        <f t="shared" si="117"/>
        <v>1.1390569951880754E-2</v>
      </c>
      <c r="AG208" s="938">
        <f t="shared" si="118"/>
        <v>3.0502136402315853E-2</v>
      </c>
      <c r="AH208" s="1173">
        <f t="shared" si="119"/>
        <v>0.62656484773256949</v>
      </c>
      <c r="AI208" s="938">
        <f t="shared" si="120"/>
        <v>0.37343515226743046</v>
      </c>
    </row>
    <row r="209" spans="1:35" x14ac:dyDescent="0.2">
      <c r="A209" s="329">
        <v>2036</v>
      </c>
      <c r="B209" s="342">
        <v>0</v>
      </c>
      <c r="C209" s="343">
        <v>0</v>
      </c>
      <c r="D209" s="343">
        <v>0</v>
      </c>
      <c r="E209" s="343">
        <v>0</v>
      </c>
      <c r="F209" s="343">
        <v>0</v>
      </c>
      <c r="G209" s="343">
        <v>2.5756829061412728E-3</v>
      </c>
      <c r="H209" s="343">
        <v>3.2959553539587995E-2</v>
      </c>
      <c r="I209" s="343">
        <v>9.5102450586396714E-2</v>
      </c>
      <c r="J209" s="343">
        <v>0.14698515248364644</v>
      </c>
      <c r="K209" s="343">
        <v>0.18576113433759189</v>
      </c>
      <c r="L209" s="379">
        <v>0.24298226191521366</v>
      </c>
      <c r="M209" s="282">
        <f t="shared" si="109"/>
        <v>2.4905464701858237E-2</v>
      </c>
      <c r="N209" s="284">
        <f t="shared" si="110"/>
        <v>1.1148849486344023E-2</v>
      </c>
      <c r="O209" s="342">
        <v>0</v>
      </c>
      <c r="P209" s="343">
        <v>0</v>
      </c>
      <c r="Q209" s="343">
        <v>0</v>
      </c>
      <c r="R209" s="343">
        <v>0</v>
      </c>
      <c r="S209" s="343">
        <v>4.8888119962543861E-4</v>
      </c>
      <c r="T209" s="343">
        <v>2.6239885450378798E-2</v>
      </c>
      <c r="U209" s="343">
        <v>6.7191098173257038E-2</v>
      </c>
      <c r="V209" s="343">
        <v>0.11965862414689571</v>
      </c>
      <c r="W209" s="343">
        <v>0.19553854009710384</v>
      </c>
      <c r="X209" s="343">
        <v>0.21491353605663588</v>
      </c>
      <c r="Y209" s="379">
        <v>0.25177545264185358</v>
      </c>
      <c r="Z209" s="282">
        <f t="shared" si="111"/>
        <v>1.4366836605788254E-2</v>
      </c>
      <c r="AA209" s="284">
        <f t="shared" si="112"/>
        <v>7.0111905604428246E-3</v>
      </c>
      <c r="AB209" s="949">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0.20168471506361607</v>
      </c>
      <c r="AC209" s="950">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0.21987112656125743</v>
      </c>
      <c r="AD209" s="1227">
        <f t="shared" si="121"/>
        <v>0.20833778080543369</v>
      </c>
      <c r="AE209" s="938">
        <f t="shared" si="116"/>
        <v>2.4905464701858237E-2</v>
      </c>
      <c r="AF209" s="938">
        <f t="shared" si="117"/>
        <v>1.4366836605788254E-2</v>
      </c>
      <c r="AG209" s="938">
        <f t="shared" si="118"/>
        <v>3.9272301307646487E-2</v>
      </c>
      <c r="AH209" s="1173">
        <f t="shared" si="119"/>
        <v>0.63417380373910082</v>
      </c>
      <c r="AI209" s="938">
        <f t="shared" si="120"/>
        <v>0.36582619626089924</v>
      </c>
    </row>
    <row r="210" spans="1:35" x14ac:dyDescent="0.2">
      <c r="A210" s="330">
        <v>2037</v>
      </c>
      <c r="B210" s="344">
        <v>0</v>
      </c>
      <c r="C210" s="345">
        <v>0</v>
      </c>
      <c r="D210" s="345">
        <v>0</v>
      </c>
      <c r="E210" s="345">
        <v>0</v>
      </c>
      <c r="F210" s="345">
        <v>0</v>
      </c>
      <c r="G210" s="345">
        <v>8.3497887116480828E-3</v>
      </c>
      <c r="H210" s="345">
        <v>5.5617997370418455E-2</v>
      </c>
      <c r="I210" s="345">
        <v>0.11974903986441225</v>
      </c>
      <c r="J210" s="345">
        <v>0.16615937062809974</v>
      </c>
      <c r="K210" s="345">
        <v>0.20541271102833822</v>
      </c>
      <c r="L210" s="380">
        <v>0.25193760088853123</v>
      </c>
      <c r="M210" s="296">
        <f t="shared" si="109"/>
        <v>3.0125974146823914E-2</v>
      </c>
      <c r="N210" s="298">
        <f t="shared" si="110"/>
        <v>1.3956081767522022E-2</v>
      </c>
      <c r="O210" s="344">
        <v>0</v>
      </c>
      <c r="P210" s="345">
        <v>0</v>
      </c>
      <c r="Q210" s="345">
        <v>0</v>
      </c>
      <c r="R210" s="345">
        <v>0</v>
      </c>
      <c r="S210" s="345">
        <v>2.5774776442717266E-3</v>
      </c>
      <c r="T210" s="345">
        <v>4.5453282531060409E-2</v>
      </c>
      <c r="U210" s="345">
        <v>9.5025443535473333E-2</v>
      </c>
      <c r="V210" s="345">
        <v>0.14682156046433206</v>
      </c>
      <c r="W210" s="345">
        <v>0.20541271102833822</v>
      </c>
      <c r="X210" s="345">
        <v>0.23387410588502675</v>
      </c>
      <c r="Y210" s="380">
        <v>0.26847781104779678</v>
      </c>
      <c r="Z210" s="296">
        <f t="shared" si="111"/>
        <v>1.7868308452781863E-2</v>
      </c>
      <c r="AA210" s="298">
        <f t="shared" si="112"/>
        <v>9.1134041063922113E-3</v>
      </c>
      <c r="AB210" s="949">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0.20885420993716816</v>
      </c>
      <c r="AC210" s="950">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0.22994184671363574</v>
      </c>
      <c r="AD210" s="1227">
        <f t="shared" si="121"/>
        <v>0.21670515338402874</v>
      </c>
      <c r="AE210" s="938">
        <f t="shared" si="116"/>
        <v>3.0125974146823914E-2</v>
      </c>
      <c r="AF210" s="938">
        <f t="shared" si="117"/>
        <v>1.7868308452781863E-2</v>
      </c>
      <c r="AG210" s="938">
        <f t="shared" si="118"/>
        <v>4.7994282599605781E-2</v>
      </c>
      <c r="AH210" s="1173">
        <f t="shared" si="119"/>
        <v>0.6276992282216417</v>
      </c>
      <c r="AI210" s="938">
        <f t="shared" si="120"/>
        <v>0.3723007717783583</v>
      </c>
    </row>
    <row r="211" spans="1:35" x14ac:dyDescent="0.2">
      <c r="A211" s="330">
        <v>2038</v>
      </c>
      <c r="B211" s="344">
        <v>0</v>
      </c>
      <c r="C211" s="345">
        <v>0</v>
      </c>
      <c r="D211" s="345">
        <v>0</v>
      </c>
      <c r="E211" s="345">
        <v>0</v>
      </c>
      <c r="F211" s="345">
        <v>5.8365228657709001E-4</v>
      </c>
      <c r="G211" s="345">
        <v>2.0716198919363434E-2</v>
      </c>
      <c r="H211" s="345">
        <v>8.0456695061719971E-2</v>
      </c>
      <c r="I211" s="345">
        <v>0.14692786808446526</v>
      </c>
      <c r="J211" s="345">
        <v>0.19549207978281194</v>
      </c>
      <c r="K211" s="345">
        <v>0.22471039387085795</v>
      </c>
      <c r="L211" s="380">
        <v>0.26056270456094788</v>
      </c>
      <c r="M211" s="296">
        <f t="shared" si="109"/>
        <v>3.6534914226508924E-2</v>
      </c>
      <c r="N211" s="298">
        <f t="shared" si="110"/>
        <v>1.7486100704103578E-2</v>
      </c>
      <c r="O211" s="344">
        <v>0</v>
      </c>
      <c r="P211" s="345">
        <v>0</v>
      </c>
      <c r="Q211" s="345">
        <v>0</v>
      </c>
      <c r="R211" s="345">
        <v>0</v>
      </c>
      <c r="S211" s="345">
        <v>8.3524569866625115E-3</v>
      </c>
      <c r="T211" s="345">
        <v>6.7204276518431597E-2</v>
      </c>
      <c r="U211" s="345">
        <v>0.11959940367854231</v>
      </c>
      <c r="V211" s="345">
        <v>0.16593050818801561</v>
      </c>
      <c r="W211" s="345">
        <v>0.22471039387085795</v>
      </c>
      <c r="X211" s="345">
        <v>0.24310186899225628</v>
      </c>
      <c r="Y211" s="380">
        <v>0.27629996634312198</v>
      </c>
      <c r="Z211" s="296">
        <f t="shared" si="111"/>
        <v>2.1502553561468494E-2</v>
      </c>
      <c r="AA211" s="298">
        <f t="shared" si="112"/>
        <v>1.1423018100048763E-2</v>
      </c>
      <c r="AB211" s="949">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0.21591796124493406</v>
      </c>
      <c r="AC211" s="950">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0.23965953620841365</v>
      </c>
      <c r="AD211" s="1227">
        <f t="shared" si="121"/>
        <v>0.22471408048898545</v>
      </c>
      <c r="AE211" s="938">
        <f t="shared" si="116"/>
        <v>3.6534914226508924E-2</v>
      </c>
      <c r="AF211" s="938">
        <f t="shared" si="117"/>
        <v>2.1502553561468494E-2</v>
      </c>
      <c r="AG211" s="938">
        <f t="shared" si="118"/>
        <v>5.8037467787977415E-2</v>
      </c>
      <c r="AH211" s="1173">
        <f t="shared" si="119"/>
        <v>0.62950565589764085</v>
      </c>
      <c r="AI211" s="938">
        <f t="shared" si="120"/>
        <v>0.37049434410235921</v>
      </c>
    </row>
    <row r="212" spans="1:35" x14ac:dyDescent="0.2">
      <c r="A212" s="330">
        <v>2039</v>
      </c>
      <c r="B212" s="344">
        <v>0</v>
      </c>
      <c r="C212" s="345">
        <v>0</v>
      </c>
      <c r="D212" s="345">
        <v>0</v>
      </c>
      <c r="E212" s="345">
        <v>0</v>
      </c>
      <c r="F212" s="345">
        <v>4.7289401209836979E-3</v>
      </c>
      <c r="G212" s="345">
        <v>4.5475194606335624E-2</v>
      </c>
      <c r="H212" s="345">
        <v>0.11968793371970818</v>
      </c>
      <c r="I212" s="345">
        <v>0.1757145371015201</v>
      </c>
      <c r="J212" s="345">
        <v>0.21496301162672635</v>
      </c>
      <c r="K212" s="345">
        <v>0.24325709294973669</v>
      </c>
      <c r="L212" s="380">
        <v>0.27646876641822599</v>
      </c>
      <c r="M212" s="296">
        <f t="shared" si="109"/>
        <v>4.5514600902991934E-2</v>
      </c>
      <c r="N212" s="298">
        <f t="shared" si="110"/>
        <v>2.2742240588610855E-2</v>
      </c>
      <c r="O212" s="344">
        <v>0</v>
      </c>
      <c r="P212" s="345">
        <v>0</v>
      </c>
      <c r="Q212" s="345">
        <v>0</v>
      </c>
      <c r="R212" s="345">
        <v>8.2456039997549501E-4</v>
      </c>
      <c r="S212" s="345">
        <v>2.6244566990590783E-2</v>
      </c>
      <c r="T212" s="345">
        <v>0.10280164450034754</v>
      </c>
      <c r="U212" s="345">
        <v>0.14666737033071608</v>
      </c>
      <c r="V212" s="345">
        <v>0.19561208154821766</v>
      </c>
      <c r="W212" s="345">
        <v>0.24323011075223169</v>
      </c>
      <c r="X212" s="345">
        <v>0.26046548590563973</v>
      </c>
      <c r="Y212" s="380">
        <v>0.28360311326109638</v>
      </c>
      <c r="Z212" s="296">
        <f t="shared" si="111"/>
        <v>2.7325188175551539E-2</v>
      </c>
      <c r="AA212" s="298">
        <f t="shared" si="112"/>
        <v>1.5400716049517926E-2</v>
      </c>
      <c r="AB212" s="949">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0.22556373333707258</v>
      </c>
      <c r="AC212" s="950">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0.25442777244509718</v>
      </c>
      <c r="AD212" s="1227">
        <f t="shared" si="121"/>
        <v>0.23639181658814812</v>
      </c>
      <c r="AE212" s="938">
        <f t="shared" si="116"/>
        <v>4.5514600902991934E-2</v>
      </c>
      <c r="AF212" s="938">
        <f t="shared" si="117"/>
        <v>2.7325188175551539E-2</v>
      </c>
      <c r="AG212" s="938">
        <f t="shared" si="118"/>
        <v>7.2839789078543465E-2</v>
      </c>
      <c r="AH212" s="1173">
        <f t="shared" si="119"/>
        <v>0.62485904309680718</v>
      </c>
      <c r="AI212" s="938">
        <f t="shared" si="120"/>
        <v>0.37514095690319293</v>
      </c>
    </row>
    <row r="213" spans="1:35" ht="15" thickBot="1" x14ac:dyDescent="0.25">
      <c r="A213" s="328">
        <v>2040</v>
      </c>
      <c r="B213" s="346">
        <v>0</v>
      </c>
      <c r="C213" s="347">
        <v>0</v>
      </c>
      <c r="D213" s="347">
        <v>0</v>
      </c>
      <c r="E213" s="347">
        <v>1.9789749255696073E-4</v>
      </c>
      <c r="F213" s="347">
        <v>1.8337853793724913E-2</v>
      </c>
      <c r="G213" s="347">
        <v>7.3516830241503461E-2</v>
      </c>
      <c r="H213" s="347">
        <v>0.14603165080166841</v>
      </c>
      <c r="I213" s="347">
        <v>0.19176975578412622</v>
      </c>
      <c r="J213" s="347">
        <v>0.22512739671154622</v>
      </c>
      <c r="K213" s="347">
        <v>0.23858261569541664</v>
      </c>
      <c r="L213" s="381">
        <v>0.25732061059629002</v>
      </c>
      <c r="M213" s="310">
        <f t="shared" si="109"/>
        <v>5.2152121749325694E-2</v>
      </c>
      <c r="N213" s="312">
        <f t="shared" si="110"/>
        <v>2.7419312191834466E-2</v>
      </c>
      <c r="O213" s="346">
        <v>0</v>
      </c>
      <c r="P213" s="347">
        <v>0</v>
      </c>
      <c r="Q213" s="347">
        <v>0</v>
      </c>
      <c r="R213" s="347">
        <v>5.4714978504585747E-3</v>
      </c>
      <c r="S213" s="347">
        <v>5.0208249418345591E-2</v>
      </c>
      <c r="T213" s="347">
        <v>0.13711563564716747</v>
      </c>
      <c r="U213" s="347">
        <v>0.17525197670698564</v>
      </c>
      <c r="V213" s="347">
        <v>0.21500421506613113</v>
      </c>
      <c r="W213" s="347">
        <v>0.2520762561118271</v>
      </c>
      <c r="X213" s="347">
        <v>0.26859055223406658</v>
      </c>
      <c r="Y213" s="381">
        <v>0.29033453280930133</v>
      </c>
      <c r="Z213" s="310">
        <f t="shared" si="111"/>
        <v>3.3602232763455794E-2</v>
      </c>
      <c r="AA213" s="312">
        <f t="shared" si="112"/>
        <v>1.9949109745141125E-2</v>
      </c>
      <c r="AB213" s="949">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0.23749475863682046</v>
      </c>
      <c r="AC213" s="950">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0.26817904419510358</v>
      </c>
      <c r="AD213" s="1227">
        <f t="shared" si="121"/>
        <v>0.24951817728847736</v>
      </c>
      <c r="AE213" s="938">
        <f t="shared" si="116"/>
        <v>5.2152121749325694E-2</v>
      </c>
      <c r="AF213" s="938">
        <f t="shared" si="117"/>
        <v>3.3602232763455794E-2</v>
      </c>
      <c r="AG213" s="938">
        <f t="shared" si="118"/>
        <v>8.5754354512781489E-2</v>
      </c>
      <c r="AH213" s="1173">
        <f t="shared" si="119"/>
        <v>0.60815712561340007</v>
      </c>
      <c r="AI213" s="938">
        <f t="shared" si="120"/>
        <v>0.39184287438659993</v>
      </c>
    </row>
    <row r="214" spans="1:35" x14ac:dyDescent="0.2">
      <c r="A214" s="329">
        <v>2041</v>
      </c>
      <c r="B214" s="342">
        <v>0</v>
      </c>
      <c r="C214" s="343">
        <v>0</v>
      </c>
      <c r="D214" s="343">
        <v>0</v>
      </c>
      <c r="E214" s="343">
        <v>6.1939173031969313E-3</v>
      </c>
      <c r="F214" s="343">
        <v>5.1621191071201257E-2</v>
      </c>
      <c r="G214" s="343">
        <v>0.10490386088759843</v>
      </c>
      <c r="H214" s="343">
        <v>0.15556206425711683</v>
      </c>
      <c r="I214" s="343">
        <v>0.18239198754486435</v>
      </c>
      <c r="J214" s="343">
        <v>0.20253541676662545</v>
      </c>
      <c r="K214" s="343">
        <v>0.21328690494945246</v>
      </c>
      <c r="L214" s="379">
        <v>0.22422155840078772</v>
      </c>
      <c r="M214" s="282">
        <f t="shared" si="109"/>
        <v>5.7019266740352181E-2</v>
      </c>
      <c r="N214" s="284">
        <f t="shared" si="110"/>
        <v>3.2430496240689326E-2</v>
      </c>
      <c r="O214" s="342">
        <v>0</v>
      </c>
      <c r="P214" s="343">
        <v>0</v>
      </c>
      <c r="Q214" s="343">
        <v>4.9062725866128466E-4</v>
      </c>
      <c r="R214" s="343">
        <v>2.9345183402588331E-2</v>
      </c>
      <c r="S214" s="343">
        <v>9.454393731995156E-2</v>
      </c>
      <c r="T214" s="343">
        <v>0.17460573715870367</v>
      </c>
      <c r="U214" s="343">
        <v>0.20484704614228288</v>
      </c>
      <c r="V214" s="343">
        <v>0.24279173825663597</v>
      </c>
      <c r="W214" s="343">
        <v>0.26857017549407819</v>
      </c>
      <c r="X214" s="343">
        <v>0.28397741184157377</v>
      </c>
      <c r="Y214" s="379">
        <v>0.29642484908463679</v>
      </c>
      <c r="Z214" s="282">
        <f t="shared" si="111"/>
        <v>4.3476920665954974E-2</v>
      </c>
      <c r="AA214" s="284">
        <f t="shared" si="112"/>
        <v>2.7723388834167195E-2</v>
      </c>
      <c r="AB214" s="949">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0.25708925675301109</v>
      </c>
      <c r="AC214" s="950">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0.28823021256636572</v>
      </c>
      <c r="AD214" s="1227">
        <f t="shared" si="121"/>
        <v>0.27056153764547264</v>
      </c>
      <c r="AE214" s="938">
        <f t="shared" si="116"/>
        <v>5.7019266740352181E-2</v>
      </c>
      <c r="AF214" s="938">
        <f t="shared" si="117"/>
        <v>4.3476920665954974E-2</v>
      </c>
      <c r="AG214" s="938">
        <f t="shared" si="118"/>
        <v>0.10049618740630716</v>
      </c>
      <c r="AH214" s="1173">
        <f t="shared" si="119"/>
        <v>0.56737741213826032</v>
      </c>
      <c r="AI214" s="938">
        <f t="shared" si="120"/>
        <v>0.43262258786173968</v>
      </c>
    </row>
    <row r="215" spans="1:35" x14ac:dyDescent="0.2">
      <c r="A215" s="330">
        <v>2042</v>
      </c>
      <c r="B215" s="344">
        <v>0</v>
      </c>
      <c r="C215" s="345">
        <v>0</v>
      </c>
      <c r="D215" s="345">
        <v>2.3763915029072946E-3</v>
      </c>
      <c r="E215" s="345">
        <v>3.7176024389371981E-2</v>
      </c>
      <c r="F215" s="345">
        <v>9.3094304192352539E-2</v>
      </c>
      <c r="G215" s="345">
        <v>0.13401387617571742</v>
      </c>
      <c r="H215" s="345">
        <v>0.16891092019460707</v>
      </c>
      <c r="I215" s="345">
        <v>0.19005056278357813</v>
      </c>
      <c r="J215" s="345">
        <v>0.20288229152256101</v>
      </c>
      <c r="K215" s="345">
        <v>0.21254679518056721</v>
      </c>
      <c r="L215" s="380">
        <v>0.2269644771086457</v>
      </c>
      <c r="M215" s="296">
        <f t="shared" si="109"/>
        <v>6.8775948323800323E-2</v>
      </c>
      <c r="N215" s="298">
        <f t="shared" si="110"/>
        <v>4.2433487992536607E-2</v>
      </c>
      <c r="O215" s="344">
        <v>0</v>
      </c>
      <c r="P215" s="345">
        <v>0</v>
      </c>
      <c r="Q215" s="345">
        <v>1.8141798787838004E-2</v>
      </c>
      <c r="R215" s="345">
        <v>8.5844457312120523E-2</v>
      </c>
      <c r="S215" s="345">
        <v>0.154212781073506</v>
      </c>
      <c r="T215" s="345">
        <v>0.21257028097202274</v>
      </c>
      <c r="U215" s="345">
        <v>0.24192041228223332</v>
      </c>
      <c r="V215" s="345">
        <v>0.2598069051396612</v>
      </c>
      <c r="W215" s="345">
        <v>0.28324089291630244</v>
      </c>
      <c r="X215" s="345">
        <v>0.29016981504646205</v>
      </c>
      <c r="Y215" s="380">
        <v>0.30178995229283562</v>
      </c>
      <c r="Z215" s="296">
        <f t="shared" si="111"/>
        <v>5.7716425092896401E-2</v>
      </c>
      <c r="AA215" s="298">
        <f t="shared" si="112"/>
        <v>4.0141254863526675E-2</v>
      </c>
      <c r="AB215" s="949">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0.2790656810156143</v>
      </c>
      <c r="AC215" s="950">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0.31457616100730906</v>
      </c>
      <c r="AD215" s="1227">
        <f t="shared" si="121"/>
        <v>0.29526853896738797</v>
      </c>
      <c r="AE215" s="938">
        <f t="shared" si="116"/>
        <v>6.8775948323800323E-2</v>
      </c>
      <c r="AF215" s="938">
        <f t="shared" si="117"/>
        <v>5.7716425092896401E-2</v>
      </c>
      <c r="AG215" s="938">
        <f t="shared" si="118"/>
        <v>0.12649237341669672</v>
      </c>
      <c r="AH215" s="1173">
        <f t="shared" si="119"/>
        <v>0.54371616616944629</v>
      </c>
      <c r="AI215" s="938">
        <f t="shared" si="120"/>
        <v>0.45628383383055371</v>
      </c>
    </row>
    <row r="216" spans="1:35" x14ac:dyDescent="0.2">
      <c r="A216" s="330">
        <v>2043</v>
      </c>
      <c r="B216" s="344">
        <v>0</v>
      </c>
      <c r="C216" s="345">
        <v>2.6599398065034577E-4</v>
      </c>
      <c r="D216" s="345">
        <v>2.8403051193713131E-2</v>
      </c>
      <c r="E216" s="345">
        <v>8.1086931831354889E-2</v>
      </c>
      <c r="F216" s="345">
        <v>0.1282736954822947</v>
      </c>
      <c r="G216" s="345">
        <v>0.16608074088870536</v>
      </c>
      <c r="H216" s="345">
        <v>0.18508366068897386</v>
      </c>
      <c r="I216" s="345">
        <v>0.20593277644665661</v>
      </c>
      <c r="J216" s="345">
        <v>0.21068883982435285</v>
      </c>
      <c r="K216" s="345">
        <v>0.22120081123910867</v>
      </c>
      <c r="L216" s="380">
        <v>0.2289887198114112</v>
      </c>
      <c r="M216" s="296">
        <f t="shared" si="109"/>
        <v>8.3603906663949873E-2</v>
      </c>
      <c r="N216" s="298">
        <f t="shared" si="110"/>
        <v>5.5872669709182622E-2</v>
      </c>
      <c r="O216" s="344">
        <v>0</v>
      </c>
      <c r="P216" s="345">
        <v>6.4065475451561384E-3</v>
      </c>
      <c r="Q216" s="345">
        <v>6.9149089150214046E-2</v>
      </c>
      <c r="R216" s="345">
        <v>0.15015986284825691</v>
      </c>
      <c r="S216" s="345">
        <v>0.20067299453208626</v>
      </c>
      <c r="T216" s="345">
        <v>0.23943472491886</v>
      </c>
      <c r="U216" s="345">
        <v>0.25864696592728864</v>
      </c>
      <c r="V216" s="345">
        <v>0.27511949715951278</v>
      </c>
      <c r="W216" s="345">
        <v>0.29566003519625639</v>
      </c>
      <c r="X216" s="345">
        <v>0.30145876657310328</v>
      </c>
      <c r="Y216" s="380">
        <v>0.30632598463308391</v>
      </c>
      <c r="Z216" s="296">
        <f t="shared" si="111"/>
        <v>7.1180902203403826E-2</v>
      </c>
      <c r="AA216" s="298">
        <f t="shared" si="112"/>
        <v>5.3541577167763921E-2</v>
      </c>
      <c r="AB216" s="949">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0.30245701674894931</v>
      </c>
      <c r="AC216" s="950">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0.34019293907056564</v>
      </c>
      <c r="AD216" s="1227">
        <f t="shared" si="121"/>
        <v>0.31981063830900891</v>
      </c>
      <c r="AE216" s="938">
        <f t="shared" si="116"/>
        <v>8.3603906663949873E-2</v>
      </c>
      <c r="AF216" s="938">
        <f t="shared" si="117"/>
        <v>7.1180902203403826E-2</v>
      </c>
      <c r="AG216" s="938">
        <f t="shared" si="118"/>
        <v>0.15478480886735368</v>
      </c>
      <c r="AH216" s="1173">
        <f t="shared" si="119"/>
        <v>0.54012992150667782</v>
      </c>
      <c r="AI216" s="938">
        <f t="shared" si="120"/>
        <v>0.45987007849332229</v>
      </c>
    </row>
    <row r="217" spans="1:35" x14ac:dyDescent="0.2">
      <c r="A217" s="330">
        <v>2044</v>
      </c>
      <c r="B217" s="344">
        <v>0</v>
      </c>
      <c r="C217" s="345">
        <v>8.4173881858778787E-3</v>
      </c>
      <c r="D217" s="345">
        <v>6.4837393398304938E-2</v>
      </c>
      <c r="E217" s="345">
        <v>0.12386943496296242</v>
      </c>
      <c r="F217" s="345">
        <v>0.15196272481098616</v>
      </c>
      <c r="G217" s="345">
        <v>0.18237047826378894</v>
      </c>
      <c r="H217" s="345">
        <v>0.19614942555985773</v>
      </c>
      <c r="I217" s="345">
        <v>0.20927980237795218</v>
      </c>
      <c r="J217" s="345">
        <v>0.22011616731342909</v>
      </c>
      <c r="K217" s="345">
        <v>0.22466422449670523</v>
      </c>
      <c r="L217" s="380">
        <v>0.23234966206519642</v>
      </c>
      <c r="M217" s="296">
        <f t="shared" si="109"/>
        <v>9.546609260278513E-2</v>
      </c>
      <c r="N217" s="298">
        <f t="shared" si="110"/>
        <v>6.8178501032921154E-2</v>
      </c>
      <c r="O217" s="344">
        <v>0</v>
      </c>
      <c r="P217" s="345">
        <v>3.366142147169783E-2</v>
      </c>
      <c r="Q217" s="345">
        <v>0.11353605691760284</v>
      </c>
      <c r="R217" s="345">
        <v>0.19589012003366296</v>
      </c>
      <c r="S217" s="345">
        <v>0.22756477719108259</v>
      </c>
      <c r="T217" s="345">
        <v>0.26525674067457294</v>
      </c>
      <c r="U217" s="345">
        <v>0.28106898052576468</v>
      </c>
      <c r="V217" s="345">
        <v>0.28868977992990941</v>
      </c>
      <c r="W217" s="345">
        <v>0.30097766993492758</v>
      </c>
      <c r="X217" s="345">
        <v>0.30614795437646747</v>
      </c>
      <c r="Y217" s="380">
        <v>0.310325644910803</v>
      </c>
      <c r="Z217" s="296">
        <f t="shared" si="111"/>
        <v>8.2025033749887705E-2</v>
      </c>
      <c r="AA217" s="298">
        <f t="shared" si="112"/>
        <v>6.5170990048850325E-2</v>
      </c>
      <c r="AB217" s="949">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0.32294549746270657</v>
      </c>
      <c r="AC217" s="950">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0.35869023534478189</v>
      </c>
      <c r="AD217" s="1227">
        <f t="shared" si="121"/>
        <v>0.33946442655740583</v>
      </c>
      <c r="AE217" s="938">
        <f t="shared" si="116"/>
        <v>9.546609260278513E-2</v>
      </c>
      <c r="AF217" s="938">
        <f t="shared" si="117"/>
        <v>8.2025033749887705E-2</v>
      </c>
      <c r="AG217" s="938">
        <f t="shared" si="118"/>
        <v>0.17749112635267283</v>
      </c>
      <c r="AH217" s="1173">
        <f t="shared" si="119"/>
        <v>0.53786403052677179</v>
      </c>
      <c r="AI217" s="938">
        <f t="shared" si="120"/>
        <v>0.46213596947322821</v>
      </c>
    </row>
    <row r="218" spans="1:35" ht="15" thickBot="1" x14ac:dyDescent="0.25">
      <c r="A218" s="328">
        <v>2045</v>
      </c>
      <c r="B218" s="346">
        <v>0</v>
      </c>
      <c r="C218" s="347">
        <v>5.3335867472419453E-2</v>
      </c>
      <c r="D218" s="347">
        <v>0.11301192116363634</v>
      </c>
      <c r="E218" s="347">
        <v>0.16421014569528047</v>
      </c>
      <c r="F218" s="347">
        <v>0.18996660609404173</v>
      </c>
      <c r="G218" s="347">
        <v>0.20036390031435108</v>
      </c>
      <c r="H218" s="347">
        <v>0.211711274907253</v>
      </c>
      <c r="I218" s="347">
        <v>0.22139218524057441</v>
      </c>
      <c r="J218" s="347">
        <v>0.22501837612020695</v>
      </c>
      <c r="K218" s="347">
        <v>0.22905833806479517</v>
      </c>
      <c r="L218" s="381">
        <v>0.23530032271309159</v>
      </c>
      <c r="M218" s="310">
        <f t="shared" si="109"/>
        <v>0.11186430543552267</v>
      </c>
      <c r="N218" s="312">
        <f t="shared" si="110"/>
        <v>8.6741385005451879E-2</v>
      </c>
      <c r="O218" s="346">
        <v>0</v>
      </c>
      <c r="P218" s="347">
        <v>7.2767256226705559E-2</v>
      </c>
      <c r="Q218" s="347">
        <v>0.13339002821338208</v>
      </c>
      <c r="R218" s="347">
        <v>0.22090212215906035</v>
      </c>
      <c r="S218" s="347">
        <v>0.25165281376894921</v>
      </c>
      <c r="T218" s="347">
        <v>0.2789586670776531</v>
      </c>
      <c r="U218" s="347">
        <v>0.28685503965640102</v>
      </c>
      <c r="V218" s="347">
        <v>0.29397847484970113</v>
      </c>
      <c r="W218" s="347">
        <v>0.30505066003714248</v>
      </c>
      <c r="X218" s="347">
        <v>0.30953844589832302</v>
      </c>
      <c r="Y218" s="381">
        <v>0.31297279563311114</v>
      </c>
      <c r="Z218" s="310">
        <f t="shared" si="111"/>
        <v>8.8940363208517961E-2</v>
      </c>
      <c r="AA218" s="312">
        <f t="shared" si="112"/>
        <v>7.339487644463738E-2</v>
      </c>
      <c r="AB218" s="949">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0.34871218318906072</v>
      </c>
      <c r="AC218" s="950">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0.37167566477666919</v>
      </c>
      <c r="AD218" s="1227">
        <f t="shared" si="121"/>
        <v>0.35888316380781549</v>
      </c>
      <c r="AE218" s="938">
        <f t="shared" si="116"/>
        <v>0.11186430543552267</v>
      </c>
      <c r="AF218" s="938">
        <f t="shared" si="117"/>
        <v>8.8940363208517961E-2</v>
      </c>
      <c r="AG218" s="938">
        <f t="shared" si="118"/>
        <v>0.20080466864404062</v>
      </c>
      <c r="AH218" s="1173">
        <f t="shared" si="119"/>
        <v>0.55708020232248978</v>
      </c>
      <c r="AI218" s="938">
        <f t="shared" si="120"/>
        <v>0.44291979767751027</v>
      </c>
    </row>
    <row r="219" spans="1:35" x14ac:dyDescent="0.2">
      <c r="A219" s="329">
        <v>2046</v>
      </c>
      <c r="B219" s="342">
        <v>0</v>
      </c>
      <c r="C219" s="343">
        <v>8.9461505761913321E-2</v>
      </c>
      <c r="D219" s="343">
        <v>0.13439738459460168</v>
      </c>
      <c r="E219" s="343">
        <v>0.18285323760305763</v>
      </c>
      <c r="F219" s="343">
        <v>0.20219359022648223</v>
      </c>
      <c r="G219" s="343">
        <v>0.2087367744620211</v>
      </c>
      <c r="H219" s="343">
        <v>0.21750494607678236</v>
      </c>
      <c r="I219" s="343">
        <v>0.22627683018771058</v>
      </c>
      <c r="J219" s="343">
        <v>0.22937783001105547</v>
      </c>
      <c r="K219" s="343">
        <v>0.23286253914337438</v>
      </c>
      <c r="L219" s="379">
        <v>0.2353822259864706</v>
      </c>
      <c r="M219" s="282">
        <f t="shared" si="109"/>
        <v>0.11913768762377615</v>
      </c>
      <c r="N219" s="284">
        <f t="shared" si="110"/>
        <v>9.596771806347798E-2</v>
      </c>
      <c r="O219" s="342">
        <v>7.9424847454634081E-4</v>
      </c>
      <c r="P219" s="343">
        <v>0.12971033796404599</v>
      </c>
      <c r="Q219" s="343">
        <v>0.14438248945522258</v>
      </c>
      <c r="R219" s="343">
        <v>0.23568943931736913</v>
      </c>
      <c r="S219" s="343">
        <v>0.25804138536614862</v>
      </c>
      <c r="T219" s="343">
        <v>0.28425586865813174</v>
      </c>
      <c r="U219" s="343">
        <v>0.2916688451926388</v>
      </c>
      <c r="V219" s="343">
        <v>0.29823745066522139</v>
      </c>
      <c r="W219" s="343">
        <v>0.30799629234509285</v>
      </c>
      <c r="X219" s="343">
        <v>0.30832274955557037</v>
      </c>
      <c r="Y219" s="379">
        <v>0.31438050370410997</v>
      </c>
      <c r="Z219" s="282">
        <f t="shared" si="111"/>
        <v>9.3151721283288594E-2</v>
      </c>
      <c r="AA219" s="284">
        <f t="shared" si="112"/>
        <v>7.9848167062542538E-2</v>
      </c>
      <c r="AB219" s="949">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0.36102023144189338</v>
      </c>
      <c r="AC219" s="950">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0.38466294945690827</v>
      </c>
      <c r="AD219" s="1227">
        <f t="shared" si="121"/>
        <v>0.37139455906498359</v>
      </c>
      <c r="AE219" s="938">
        <f t="shared" si="116"/>
        <v>0.11913768762377615</v>
      </c>
      <c r="AF219" s="938">
        <f t="shared" si="117"/>
        <v>9.3151721283288594E-2</v>
      </c>
      <c r="AG219" s="938">
        <f t="shared" si="118"/>
        <v>0.21228940890706474</v>
      </c>
      <c r="AH219" s="1173">
        <f t="shared" si="119"/>
        <v>0.56120410451532132</v>
      </c>
      <c r="AI219" s="938">
        <f t="shared" si="120"/>
        <v>0.43879589548467868</v>
      </c>
    </row>
    <row r="220" spans="1:35" x14ac:dyDescent="0.2">
      <c r="A220" s="330">
        <v>2047</v>
      </c>
      <c r="B220" s="344">
        <v>0</v>
      </c>
      <c r="C220" s="345">
        <v>0.12656089231803586</v>
      </c>
      <c r="D220" s="345">
        <v>0.15268476283884289</v>
      </c>
      <c r="E220" s="345">
        <v>0.20383376311752219</v>
      </c>
      <c r="F220" s="345">
        <v>0.20793624834237409</v>
      </c>
      <c r="G220" s="345">
        <v>0.21623692494850999</v>
      </c>
      <c r="H220" s="345">
        <v>0.22340194894144677</v>
      </c>
      <c r="I220" s="345">
        <v>0.22657818206876795</v>
      </c>
      <c r="J220" s="345">
        <v>0.22968328126105228</v>
      </c>
      <c r="K220" s="345">
        <v>0.23317224199851269</v>
      </c>
      <c r="L220" s="380">
        <v>0.23787266379681812</v>
      </c>
      <c r="M220" s="296">
        <f t="shared" si="109"/>
        <v>0.12517858491932726</v>
      </c>
      <c r="N220" s="298">
        <f t="shared" si="110"/>
        <v>0.10426049257023841</v>
      </c>
      <c r="O220" s="344">
        <v>3.2818041870121698E-3</v>
      </c>
      <c r="P220" s="345">
        <v>0.14703654533445401</v>
      </c>
      <c r="Q220" s="345">
        <v>0.15446590755108003</v>
      </c>
      <c r="R220" s="345">
        <v>0.24135965269861825</v>
      </c>
      <c r="S220" s="345">
        <v>0.27012552801362333</v>
      </c>
      <c r="T220" s="345">
        <v>0.28845725792545751</v>
      </c>
      <c r="U220" s="345">
        <v>0.29533405798420159</v>
      </c>
      <c r="V220" s="345">
        <v>0.30130197860427249</v>
      </c>
      <c r="W220" s="345">
        <v>0.30624021612139668</v>
      </c>
      <c r="X220" s="345">
        <v>0.30998555613944134</v>
      </c>
      <c r="Y220" s="380">
        <v>0.31260823959334028</v>
      </c>
      <c r="Z220" s="296">
        <f t="shared" si="111"/>
        <v>9.5944399007252601E-2</v>
      </c>
      <c r="AA220" s="298">
        <f t="shared" si="112"/>
        <v>8.335774368499646E-2</v>
      </c>
      <c r="AB220" s="949">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0.372173198951741</v>
      </c>
      <c r="AC220" s="950">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0.38943651384460004</v>
      </c>
      <c r="AD220" s="1227">
        <f t="shared" si="121"/>
        <v>0.37966368385229876</v>
      </c>
      <c r="AE220" s="938">
        <f t="shared" si="116"/>
        <v>0.12517858491932726</v>
      </c>
      <c r="AF220" s="938">
        <f t="shared" si="117"/>
        <v>9.5944399007252601E-2</v>
      </c>
      <c r="AG220" s="938">
        <f t="shared" si="118"/>
        <v>0.22112298392657986</v>
      </c>
      <c r="AH220" s="1173">
        <f t="shared" si="119"/>
        <v>0.56610390605478933</v>
      </c>
      <c r="AI220" s="938">
        <f t="shared" si="120"/>
        <v>0.43389609394521067</v>
      </c>
    </row>
    <row r="221" spans="1:35" x14ac:dyDescent="0.2">
      <c r="A221" s="330">
        <v>2048</v>
      </c>
      <c r="B221" s="344">
        <v>0</v>
      </c>
      <c r="C221" s="345">
        <v>0.15523004411842928</v>
      </c>
      <c r="D221" s="345">
        <v>0.17103384604140459</v>
      </c>
      <c r="E221" s="345">
        <v>0.21371887614662494</v>
      </c>
      <c r="F221" s="345">
        <v>0.21588699605306935</v>
      </c>
      <c r="G221" s="345">
        <v>0.22262737408535327</v>
      </c>
      <c r="H221" s="345">
        <v>0.22829207744255736</v>
      </c>
      <c r="I221" s="345">
        <v>0.23093235031686218</v>
      </c>
      <c r="J221" s="345">
        <v>0.23346760702886418</v>
      </c>
      <c r="K221" s="345">
        <v>0.23635101962259708</v>
      </c>
      <c r="L221" s="380">
        <v>0.23817354232795776</v>
      </c>
      <c r="M221" s="296">
        <f t="shared" si="109"/>
        <v>0.13045584971441482</v>
      </c>
      <c r="N221" s="298">
        <f t="shared" si="110"/>
        <v>0.11109011252898433</v>
      </c>
      <c r="O221" s="344">
        <v>6.2737618915872434E-3</v>
      </c>
      <c r="P221" s="345">
        <v>0.17212747712987717</v>
      </c>
      <c r="Q221" s="345">
        <v>0.16571927097418421</v>
      </c>
      <c r="R221" s="345">
        <v>0.24737173507750981</v>
      </c>
      <c r="S221" s="345">
        <v>0.26907392762726146</v>
      </c>
      <c r="T221" s="345">
        <v>0.28743408741670401</v>
      </c>
      <c r="U221" s="345">
        <v>0.29430852095510052</v>
      </c>
      <c r="V221" s="345">
        <v>0.30027353291167536</v>
      </c>
      <c r="W221" s="345">
        <v>0.3086111271749023</v>
      </c>
      <c r="X221" s="345">
        <v>0.3089488761941383</v>
      </c>
      <c r="Y221" s="380">
        <v>0.31156678530428022</v>
      </c>
      <c r="Z221" s="296">
        <f t="shared" si="111"/>
        <v>9.731497728190984E-2</v>
      </c>
      <c r="AA221" s="298">
        <f t="shared" si="112"/>
        <v>8.6143729830017071E-2</v>
      </c>
      <c r="AB221" s="949">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0.3798375900206904</v>
      </c>
      <c r="AC221" s="950">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0.39603844498384577</v>
      </c>
      <c r="AD221" s="1227">
        <f t="shared" si="121"/>
        <v>0.38675939758260625</v>
      </c>
      <c r="AE221" s="938">
        <f t="shared" si="116"/>
        <v>0.13045584971441482</v>
      </c>
      <c r="AF221" s="938">
        <f t="shared" si="117"/>
        <v>9.731497728190984E-2</v>
      </c>
      <c r="AG221" s="938">
        <f t="shared" si="118"/>
        <v>0.22777082699632467</v>
      </c>
      <c r="AH221" s="1173">
        <f t="shared" si="119"/>
        <v>0.57275047658548417</v>
      </c>
      <c r="AI221" s="938">
        <f t="shared" si="120"/>
        <v>0.42724952341451577</v>
      </c>
    </row>
    <row r="222" spans="1:35" x14ac:dyDescent="0.2">
      <c r="A222" s="330">
        <v>2049</v>
      </c>
      <c r="B222" s="344">
        <v>0</v>
      </c>
      <c r="C222" s="345">
        <v>0.17174963515904812</v>
      </c>
      <c r="D222" s="345">
        <v>0.17224865542842516</v>
      </c>
      <c r="E222" s="345">
        <v>0.21581217267724842</v>
      </c>
      <c r="F222" s="345">
        <v>0.22277496768282376</v>
      </c>
      <c r="G222" s="345">
        <v>0.22805339572658298</v>
      </c>
      <c r="H222" s="345">
        <v>0.22856681293443137</v>
      </c>
      <c r="I222" s="345">
        <v>0.23121034293738452</v>
      </c>
      <c r="J222" s="345">
        <v>0.23374860765280273</v>
      </c>
      <c r="K222" s="345">
        <v>0.23624163332527454</v>
      </c>
      <c r="L222" s="380">
        <v>0.2384597324998472</v>
      </c>
      <c r="M222" s="296">
        <f t="shared" si="109"/>
        <v>0.13258215435366205</v>
      </c>
      <c r="N222" s="298">
        <f t="shared" si="110"/>
        <v>0.11391881634091874</v>
      </c>
      <c r="O222" s="344">
        <v>9.1925655046620376E-3</v>
      </c>
      <c r="P222" s="345">
        <v>0.17720254325718804</v>
      </c>
      <c r="Q222" s="345">
        <v>0.16198114390906229</v>
      </c>
      <c r="R222" s="345">
        <v>0.25125920535117502</v>
      </c>
      <c r="S222" s="345">
        <v>0.27249733434655216</v>
      </c>
      <c r="T222" s="345">
        <v>0.29001761886024302</v>
      </c>
      <c r="U222" s="345">
        <v>0.29631046754005119</v>
      </c>
      <c r="V222" s="345">
        <v>0.30162745887958115</v>
      </c>
      <c r="W222" s="345">
        <v>0.30584457823674865</v>
      </c>
      <c r="X222" s="345">
        <v>0.30879086209020951</v>
      </c>
      <c r="Y222" s="380">
        <v>0.30879086209020951</v>
      </c>
      <c r="Z222" s="296">
        <f t="shared" si="111"/>
        <v>9.8057045629136488E-2</v>
      </c>
      <c r="AA222" s="298">
        <f t="shared" si="112"/>
        <v>8.7052586634176948E-2</v>
      </c>
      <c r="AB222" s="949">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0.3829371041726497</v>
      </c>
      <c r="AC222" s="950">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0.39694462307714923</v>
      </c>
      <c r="AD222" s="1227">
        <f t="shared" si="121"/>
        <v>0.38889244879954726</v>
      </c>
      <c r="AE222" s="938">
        <f t="shared" si="116"/>
        <v>0.13258215435366205</v>
      </c>
      <c r="AF222" s="938">
        <f t="shared" si="117"/>
        <v>9.8057045629136488E-2</v>
      </c>
      <c r="AG222" s="938">
        <f t="shared" si="118"/>
        <v>0.23063919998279853</v>
      </c>
      <c r="AH222" s="1173">
        <f t="shared" si="119"/>
        <v>0.57484657579262444</v>
      </c>
      <c r="AI222" s="938">
        <f t="shared" si="120"/>
        <v>0.42515342420737567</v>
      </c>
    </row>
    <row r="223" spans="1:35" ht="15" thickBot="1" x14ac:dyDescent="0.25">
      <c r="A223" s="328">
        <v>2050</v>
      </c>
      <c r="B223" s="346">
        <v>2.7319604368761837E-4</v>
      </c>
      <c r="C223" s="347">
        <v>0.1886611085876414</v>
      </c>
      <c r="D223" s="347">
        <v>0.18273567743913516</v>
      </c>
      <c r="E223" s="347">
        <v>0.22443149138187576</v>
      </c>
      <c r="F223" s="347">
        <v>0.2230273156164797</v>
      </c>
      <c r="G223" s="347">
        <v>0.22831254593020159</v>
      </c>
      <c r="H223" s="347">
        <v>0.22882752022798186</v>
      </c>
      <c r="I223" s="347">
        <v>0.23498451652920432</v>
      </c>
      <c r="J223" s="347">
        <v>0.23690462631929129</v>
      </c>
      <c r="K223" s="347">
        <v>0.236510820422555</v>
      </c>
      <c r="L223" s="381">
        <v>0.23873116188334123</v>
      </c>
      <c r="M223" s="310">
        <f t="shared" si="109"/>
        <v>0.13496575539858091</v>
      </c>
      <c r="N223" s="312">
        <f t="shared" si="110"/>
        <v>0.11743920232812639</v>
      </c>
      <c r="O223" s="346">
        <v>1.202083044197033E-2</v>
      </c>
      <c r="P223" s="347">
        <v>0.1654960152965996</v>
      </c>
      <c r="Q223" s="347">
        <v>0.17280470143688204</v>
      </c>
      <c r="R223" s="347">
        <v>0.24965940948571974</v>
      </c>
      <c r="S223" s="347">
        <v>0.27091620885062162</v>
      </c>
      <c r="T223" s="347">
        <v>0.28844649215588147</v>
      </c>
      <c r="U223" s="347">
        <v>0.2947356314088842</v>
      </c>
      <c r="V223" s="347">
        <v>0.30004861611514727</v>
      </c>
      <c r="W223" s="347">
        <v>0.30426127180225893</v>
      </c>
      <c r="X223" s="347">
        <v>0.30720226489576857</v>
      </c>
      <c r="Y223" s="381">
        <v>0.30893186857639821</v>
      </c>
      <c r="Z223" s="310">
        <f t="shared" si="111"/>
        <v>9.7749576044653216E-2</v>
      </c>
      <c r="AA223" s="312">
        <f t="shared" si="112"/>
        <v>8.6709245374052862E-2</v>
      </c>
      <c r="AB223" s="951">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0.38749856961641932</v>
      </c>
      <c r="AC223" s="952">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0.39679914126244814</v>
      </c>
      <c r="AD223" s="1228">
        <f t="shared" si="121"/>
        <v>0.39140517486556248</v>
      </c>
      <c r="AE223" s="938">
        <f t="shared" ref="AE223" si="122">SUMPRODUCT($B$74:$L$74,B223:L223)</f>
        <v>0.13496575539858091</v>
      </c>
      <c r="AF223" s="938">
        <f t="shared" ref="AF223" si="123">SUMPRODUCT($O$74:$Y$74,O223:Y223)</f>
        <v>9.7749576044653216E-2</v>
      </c>
      <c r="AG223" s="938">
        <f t="shared" ref="AG223" si="124">SUM(AE223:AF223)</f>
        <v>0.23271533144323414</v>
      </c>
      <c r="AH223" s="1173">
        <f t="shared" ref="AH223" si="125">IF(AG223&gt;0,AE223/AG223,0)</f>
        <v>0.57996073813255777</v>
      </c>
      <c r="AI223" s="938">
        <f t="shared" ref="AI223" si="126">IF(AG223&gt;0,AF223/AG223,0)</f>
        <v>0.42003926186744212</v>
      </c>
    </row>
    <row r="224" spans="1:35" x14ac:dyDescent="0.2">
      <c r="B224" s="227" t="str">
        <f>B$120</f>
        <v>Output generated: 7/21/2020 15:48</v>
      </c>
      <c r="O224" s="227" t="str">
        <f>O$120</f>
        <v>Output generated: 7/21/2020 15:48</v>
      </c>
      <c r="AE224" s="938"/>
      <c r="AF224" s="938"/>
      <c r="AG224" s="938"/>
      <c r="AH224" s="938"/>
      <c r="AI224" s="938"/>
    </row>
    <row r="225" spans="1:39" x14ac:dyDescent="0.2">
      <c r="AE225" s="938"/>
      <c r="AF225" s="938"/>
      <c r="AG225" s="938"/>
      <c r="AH225" s="938"/>
      <c r="AI225" s="938"/>
    </row>
    <row r="226" spans="1:39" ht="15" thickBot="1" x14ac:dyDescent="0.25">
      <c r="AE226" s="938"/>
      <c r="AF226" s="938"/>
      <c r="AG226" s="938"/>
      <c r="AH226" s="938"/>
      <c r="AI226" s="938"/>
    </row>
    <row r="227" spans="1:39" ht="15" x14ac:dyDescent="0.2">
      <c r="A227" s="333"/>
      <c r="B227" s="1553" t="s">
        <v>257</v>
      </c>
      <c r="C227" s="1554"/>
      <c r="D227" s="1554"/>
      <c r="E227" s="1554"/>
      <c r="F227" s="1554"/>
      <c r="G227" s="1554"/>
      <c r="H227" s="1554"/>
      <c r="I227" s="1554"/>
      <c r="J227" s="1554"/>
      <c r="K227" s="1554"/>
      <c r="L227" s="1554"/>
      <c r="M227" s="1554"/>
      <c r="N227" s="1555"/>
      <c r="O227" s="1553" t="s">
        <v>258</v>
      </c>
      <c r="P227" s="1554"/>
      <c r="Q227" s="1554"/>
      <c r="R227" s="1554"/>
      <c r="S227" s="1554"/>
      <c r="T227" s="1554"/>
      <c r="U227" s="1554"/>
      <c r="V227" s="1554"/>
      <c r="W227" s="1554"/>
      <c r="X227" s="1554"/>
      <c r="Y227" s="1554"/>
      <c r="Z227" s="1554"/>
      <c r="AA227" s="1555"/>
      <c r="AE227" s="938"/>
      <c r="AF227" s="938"/>
      <c r="AG227" s="938"/>
      <c r="AH227" s="938"/>
      <c r="AI227" s="938"/>
    </row>
    <row r="228" spans="1:39" x14ac:dyDescent="0.2">
      <c r="A228" s="324"/>
      <c r="B228" s="1556" t="s">
        <v>121</v>
      </c>
      <c r="C228" s="1557"/>
      <c r="D228" s="1557"/>
      <c r="E228" s="1557"/>
      <c r="F228" s="1557"/>
      <c r="G228" s="1557"/>
      <c r="H228" s="1557"/>
      <c r="I228" s="1557"/>
      <c r="J228" s="1557"/>
      <c r="K228" s="1557"/>
      <c r="L228" s="1557"/>
      <c r="M228" s="382"/>
      <c r="N228" s="325"/>
      <c r="O228" s="1556" t="s">
        <v>121</v>
      </c>
      <c r="P228" s="1557"/>
      <c r="Q228" s="1557"/>
      <c r="R228" s="1557"/>
      <c r="S228" s="1557"/>
      <c r="T228" s="1557"/>
      <c r="U228" s="1557"/>
      <c r="V228" s="1557"/>
      <c r="W228" s="1557"/>
      <c r="X228" s="1557"/>
      <c r="Y228" s="1557"/>
      <c r="Z228" s="382"/>
      <c r="AA228" s="325"/>
      <c r="AC228" s="955" t="s">
        <v>267</v>
      </c>
      <c r="AD228" s="234" t="b">
        <f>INDEX(TECH_OPT_FUEL2_Cls2,MATCH(RIGHT(O227),TECH_OPT_ROWS_Cls2,0))&lt;&gt;"N/A"</f>
        <v>0</v>
      </c>
      <c r="AE228" s="938"/>
      <c r="AF228" s="938"/>
      <c r="AG228" s="938"/>
      <c r="AH228" s="938"/>
      <c r="AI228" s="938"/>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7"/>
      <c r="AC229" s="955" t="s">
        <v>268</v>
      </c>
      <c r="AD229" s="234">
        <f>MATCH(RIGHT(O227),TECH_OPT_ROWS_Cls2,0)</f>
        <v>5</v>
      </c>
      <c r="AE229" s="938"/>
      <c r="AF229" s="938"/>
      <c r="AG229" s="938"/>
      <c r="AH229" s="938"/>
      <c r="AI229" s="938"/>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10">
        <v>5.2963907111801883E-3</v>
      </c>
      <c r="Z230" s="1215"/>
      <c r="AA230" s="1216"/>
    </row>
    <row r="231" spans="1:39" x14ac:dyDescent="0.2">
      <c r="A231" s="331" t="s">
        <v>125</v>
      </c>
      <c r="B231" s="924">
        <f t="array" ref="B231:L231">TRANSPOSE(Cls2CentVMTShr)</f>
        <v>6.3375455551975849E-3</v>
      </c>
      <c r="C231" s="925">
        <v>3.496913005496359E-2</v>
      </c>
      <c r="D231" s="925">
        <v>5.9955127131675522E-2</v>
      </c>
      <c r="E231" s="925">
        <v>8.4599669387910512E-2</v>
      </c>
      <c r="F231" s="925">
        <v>0.12702701008436962</v>
      </c>
      <c r="G231" s="925">
        <v>6.7204731283582092E-2</v>
      </c>
      <c r="H231" s="925">
        <v>8.8708982453757024E-2</v>
      </c>
      <c r="I231" s="925">
        <v>6.4694225377098208E-2</v>
      </c>
      <c r="J231" s="925">
        <v>3.2526447027526634E-2</v>
      </c>
      <c r="K231" s="925">
        <v>1.589064319454132E-2</v>
      </c>
      <c r="L231" s="1211">
        <v>3.2608183213810787E-2</v>
      </c>
      <c r="M231" s="1212"/>
      <c r="N231" s="1213"/>
      <c r="O231" s="924">
        <f t="array" ref="O231:Y231">TRANSPOSE(Cls2NCentVMTShr)</f>
        <v>8.1228463417563086E-3</v>
      </c>
      <c r="P231" s="925">
        <v>2.7563836768431361E-2</v>
      </c>
      <c r="Q231" s="925">
        <v>4.1883113088337191E-2</v>
      </c>
      <c r="R231" s="925">
        <v>6.4289357588678764E-2</v>
      </c>
      <c r="S231" s="925">
        <v>9.1183275251204537E-2</v>
      </c>
      <c r="T231" s="925">
        <v>5.1984283219922628E-2</v>
      </c>
      <c r="U231" s="925">
        <v>5.0286059545109812E-2</v>
      </c>
      <c r="V231" s="925">
        <v>1.5542287574292338E-2</v>
      </c>
      <c r="W231" s="925">
        <v>1.4506257462625264E-2</v>
      </c>
      <c r="X231" s="925">
        <v>4.9330966304706684E-3</v>
      </c>
      <c r="Y231" s="926">
        <v>1.5183891764738403E-2</v>
      </c>
      <c r="Z231" s="1212"/>
      <c r="AA231" s="1213"/>
      <c r="AB231" s="1550" t="str">
        <f>"% of miles on f2 for Tech "&amp; RIGHT(O226)&amp;" adopters"</f>
        <v>% of miles on f2 for Tech  adopters</v>
      </c>
      <c r="AC231" s="1551"/>
      <c r="AD231" s="1552"/>
      <c r="AE231" s="938" t="s">
        <v>301</v>
      </c>
      <c r="AF231" s="938"/>
      <c r="AG231" s="938"/>
      <c r="AH231" s="1173" t="s">
        <v>302</v>
      </c>
      <c r="AI231" s="938"/>
    </row>
    <row r="232" spans="1:39" ht="15" thickBot="1" x14ac:dyDescent="0.25">
      <c r="A232" s="943" t="s">
        <v>266</v>
      </c>
      <c r="B232" s="934">
        <f t="array" ref="B232:L232">TRANSPOSE(Cls2CentVMT/OPDAYS_Cls2)</f>
        <v>49.332453271995263</v>
      </c>
      <c r="C232" s="935">
        <v>120.11441047790339</v>
      </c>
      <c r="D232" s="935">
        <v>200.99157969807086</v>
      </c>
      <c r="E232" s="935">
        <v>280.98421424125928</v>
      </c>
      <c r="F232" s="935">
        <v>358.20644524895255</v>
      </c>
      <c r="G232" s="935">
        <v>432.82805471770689</v>
      </c>
      <c r="H232" s="935">
        <v>517.10615118099815</v>
      </c>
      <c r="I232" s="935">
        <v>597.8087063838957</v>
      </c>
      <c r="J232" s="935">
        <v>676.93419409560215</v>
      </c>
      <c r="K232" s="935">
        <v>746.82245226325631</v>
      </c>
      <c r="L232" s="936">
        <v>895.92826380844349</v>
      </c>
      <c r="M232" s="932"/>
      <c r="N232" s="933"/>
      <c r="O232" s="934">
        <f t="array" ref="O232:Y232">TRANSPOSE(Cls2NCentVMT/OPDAYS_Cls2)</f>
        <v>54.31462614952413</v>
      </c>
      <c r="P232" s="935">
        <v>126.62311644744663</v>
      </c>
      <c r="Q232" s="935">
        <v>206.96826351576016</v>
      </c>
      <c r="R232" s="935">
        <v>286.46600131499179</v>
      </c>
      <c r="S232" s="935">
        <v>358.9638908170715</v>
      </c>
      <c r="T232" s="935">
        <v>450.55545819643328</v>
      </c>
      <c r="U232" s="935">
        <v>511.93098482414172</v>
      </c>
      <c r="V232" s="935">
        <v>579.22933632093111</v>
      </c>
      <c r="W232" s="935">
        <v>695.25665569614875</v>
      </c>
      <c r="X232" s="935">
        <v>759.80682330760794</v>
      </c>
      <c r="Y232" s="1214">
        <v>882.81167173661356</v>
      </c>
      <c r="Z232" s="944"/>
      <c r="AA232" s="933"/>
      <c r="AB232" s="946" t="s">
        <v>186</v>
      </c>
      <c r="AC232" s="947" t="s">
        <v>15</v>
      </c>
      <c r="AD232" s="948" t="s">
        <v>18</v>
      </c>
      <c r="AE232" s="938" t="s">
        <v>186</v>
      </c>
      <c r="AF232" s="938" t="s">
        <v>15</v>
      </c>
      <c r="AG232" s="938" t="s">
        <v>18</v>
      </c>
      <c r="AH232" s="1173" t="s">
        <v>186</v>
      </c>
      <c r="AI232" s="938"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9">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50">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7">
        <f>AB233*AH233+AC233*AI233</f>
        <v>0</v>
      </c>
      <c r="AE233" s="938">
        <f t="shared" ref="AE233:AE247" si="127">SUMPRODUCT($B$74:$L$74,B233:L233)</f>
        <v>0</v>
      </c>
      <c r="AF233" s="938">
        <f t="shared" ref="AF233:AF247" si="128">SUMPRODUCT($O$74:$Y$74,O233:Y233)</f>
        <v>0</v>
      </c>
      <c r="AG233" s="938">
        <f t="shared" ref="AG233:AG247" si="129">SUM(AE233:AF233)</f>
        <v>0</v>
      </c>
      <c r="AH233" s="1173">
        <f>IF(AG233&gt;0,AE233/AG233,0)</f>
        <v>0</v>
      </c>
      <c r="AI233" s="938">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9">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50">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7">
        <f t="shared" ref="AD234:AD258" si="134">AB234*AH234+AC234*AI234</f>
        <v>0</v>
      </c>
      <c r="AE234" s="938">
        <f t="shared" si="127"/>
        <v>0</v>
      </c>
      <c r="AF234" s="938">
        <f t="shared" si="128"/>
        <v>0</v>
      </c>
      <c r="AG234" s="938">
        <f t="shared" si="129"/>
        <v>0</v>
      </c>
      <c r="AH234" s="1173">
        <f t="shared" ref="AH234:AH275" si="135">IF(AG234&gt;0,AE234/AG234,0)</f>
        <v>0</v>
      </c>
      <c r="AI234" s="938">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9">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50">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7">
        <f t="shared" si="134"/>
        <v>0</v>
      </c>
      <c r="AE235" s="938">
        <f t="shared" si="127"/>
        <v>0</v>
      </c>
      <c r="AF235" s="938">
        <f t="shared" si="128"/>
        <v>0</v>
      </c>
      <c r="AG235" s="938">
        <f t="shared" si="129"/>
        <v>0</v>
      </c>
      <c r="AH235" s="1173">
        <f t="shared" si="135"/>
        <v>0</v>
      </c>
      <c r="AI235" s="938">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9">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50">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7">
        <f t="shared" si="134"/>
        <v>0</v>
      </c>
      <c r="AE236" s="938">
        <f t="shared" si="127"/>
        <v>0</v>
      </c>
      <c r="AF236" s="938">
        <f t="shared" si="128"/>
        <v>0</v>
      </c>
      <c r="AG236" s="938">
        <f t="shared" si="129"/>
        <v>0</v>
      </c>
      <c r="AH236" s="1173">
        <f t="shared" si="135"/>
        <v>0</v>
      </c>
      <c r="AI236" s="938">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9">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50">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7">
        <f t="shared" si="134"/>
        <v>0</v>
      </c>
      <c r="AE237" s="938">
        <f t="shared" si="127"/>
        <v>0</v>
      </c>
      <c r="AF237" s="938">
        <f t="shared" si="128"/>
        <v>0</v>
      </c>
      <c r="AG237" s="938">
        <f t="shared" si="129"/>
        <v>0</v>
      </c>
      <c r="AH237" s="1173">
        <f t="shared" si="135"/>
        <v>0</v>
      </c>
      <c r="AI237" s="938">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9">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50">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7">
        <f t="shared" si="134"/>
        <v>0</v>
      </c>
      <c r="AE238" s="938">
        <f t="shared" si="127"/>
        <v>0</v>
      </c>
      <c r="AF238" s="938">
        <f t="shared" si="128"/>
        <v>0</v>
      </c>
      <c r="AG238" s="938">
        <f t="shared" si="129"/>
        <v>0</v>
      </c>
      <c r="AH238" s="1173">
        <f t="shared" si="135"/>
        <v>0</v>
      </c>
      <c r="AI238" s="938">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9">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50">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7">
        <f t="shared" si="134"/>
        <v>0</v>
      </c>
      <c r="AE239" s="938">
        <f t="shared" si="127"/>
        <v>0</v>
      </c>
      <c r="AF239" s="938">
        <f t="shared" si="128"/>
        <v>0</v>
      </c>
      <c r="AG239" s="938">
        <f t="shared" si="129"/>
        <v>0</v>
      </c>
      <c r="AH239" s="1173">
        <f t="shared" si="135"/>
        <v>0</v>
      </c>
      <c r="AI239" s="938">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9">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50">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7">
        <f t="shared" si="134"/>
        <v>0</v>
      </c>
      <c r="AE240" s="938">
        <f t="shared" si="127"/>
        <v>0</v>
      </c>
      <c r="AF240" s="938">
        <f t="shared" si="128"/>
        <v>0</v>
      </c>
      <c r="AG240" s="938">
        <f t="shared" si="129"/>
        <v>0</v>
      </c>
      <c r="AH240" s="1173">
        <f t="shared" si="135"/>
        <v>0</v>
      </c>
      <c r="AI240" s="938">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9">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50">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7">
        <f t="shared" si="134"/>
        <v>0</v>
      </c>
      <c r="AE241" s="938">
        <f t="shared" si="127"/>
        <v>0</v>
      </c>
      <c r="AF241" s="938">
        <f t="shared" si="128"/>
        <v>0</v>
      </c>
      <c r="AG241" s="938">
        <f t="shared" si="129"/>
        <v>0</v>
      </c>
      <c r="AH241" s="1173">
        <f t="shared" si="135"/>
        <v>0</v>
      </c>
      <c r="AI241" s="938">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9">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50">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7">
        <f t="shared" si="134"/>
        <v>0</v>
      </c>
      <c r="AE242" s="938">
        <f t="shared" si="127"/>
        <v>0</v>
      </c>
      <c r="AF242" s="938">
        <f t="shared" si="128"/>
        <v>0</v>
      </c>
      <c r="AG242" s="938">
        <f t="shared" si="129"/>
        <v>0</v>
      </c>
      <c r="AH242" s="1173">
        <f t="shared" si="135"/>
        <v>0</v>
      </c>
      <c r="AI242" s="938">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9">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50">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7">
        <f t="shared" si="134"/>
        <v>0</v>
      </c>
      <c r="AE243" s="938">
        <f t="shared" si="127"/>
        <v>0</v>
      </c>
      <c r="AF243" s="938">
        <f t="shared" si="128"/>
        <v>0</v>
      </c>
      <c r="AG243" s="938">
        <f t="shared" si="129"/>
        <v>0</v>
      </c>
      <c r="AH243" s="1173">
        <f t="shared" si="135"/>
        <v>0</v>
      </c>
      <c r="AI243" s="938">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9">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50">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7">
        <f t="shared" si="134"/>
        <v>0</v>
      </c>
      <c r="AE244" s="938">
        <f t="shared" si="127"/>
        <v>0</v>
      </c>
      <c r="AF244" s="938">
        <f t="shared" si="128"/>
        <v>0</v>
      </c>
      <c r="AG244" s="938">
        <f t="shared" si="129"/>
        <v>0</v>
      </c>
      <c r="AH244" s="1173">
        <f t="shared" si="135"/>
        <v>0</v>
      </c>
      <c r="AI244" s="938">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9">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50">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7">
        <f t="shared" si="134"/>
        <v>0</v>
      </c>
      <c r="AE245" s="938">
        <f t="shared" si="127"/>
        <v>0</v>
      </c>
      <c r="AF245" s="938">
        <f t="shared" si="128"/>
        <v>0</v>
      </c>
      <c r="AG245" s="938">
        <f t="shared" si="129"/>
        <v>0</v>
      </c>
      <c r="AH245" s="1173">
        <f t="shared" si="135"/>
        <v>0</v>
      </c>
      <c r="AI245" s="938">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9">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50">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7">
        <f t="shared" si="134"/>
        <v>0</v>
      </c>
      <c r="AE246" s="938">
        <f t="shared" si="127"/>
        <v>0</v>
      </c>
      <c r="AF246" s="938">
        <f t="shared" si="128"/>
        <v>0</v>
      </c>
      <c r="AG246" s="938">
        <f t="shared" si="129"/>
        <v>0</v>
      </c>
      <c r="AH246" s="1173">
        <f t="shared" si="135"/>
        <v>0</v>
      </c>
      <c r="AI246" s="938">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9">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50">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7">
        <f t="shared" si="134"/>
        <v>0</v>
      </c>
      <c r="AE247" s="938">
        <f t="shared" si="127"/>
        <v>0</v>
      </c>
      <c r="AF247" s="938">
        <f t="shared" si="128"/>
        <v>0</v>
      </c>
      <c r="AG247" s="938">
        <f t="shared" si="129"/>
        <v>0</v>
      </c>
      <c r="AH247" s="1173">
        <f t="shared" si="135"/>
        <v>0</v>
      </c>
      <c r="AI247" s="938">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9">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50">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7">
        <f t="shared" si="134"/>
        <v>0</v>
      </c>
      <c r="AE248" s="938">
        <f>SUMPRODUCT($B$74:$L$74,B248:L248)</f>
        <v>0</v>
      </c>
      <c r="AF248" s="938">
        <f>SUMPRODUCT($O$74:$Y$74,O248:Y248)</f>
        <v>0</v>
      </c>
      <c r="AG248" s="938">
        <f>SUM(AE248:AF248)</f>
        <v>0</v>
      </c>
      <c r="AH248" s="1173">
        <f t="shared" si="135"/>
        <v>0</v>
      </c>
      <c r="AI248" s="938">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9">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50">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7">
        <f t="shared" si="134"/>
        <v>0</v>
      </c>
      <c r="AE249" s="938">
        <f t="shared" ref="AE249:AE275" si="137">SUMPRODUCT($B$74:$L$74,B249:L249)</f>
        <v>0</v>
      </c>
      <c r="AF249" s="938">
        <f t="shared" ref="AF249:AF275" si="138">SUMPRODUCT($O$74:$Y$74,O249:Y249)</f>
        <v>0</v>
      </c>
      <c r="AG249" s="938">
        <f t="shared" ref="AG249:AG275" si="139">SUM(AE249:AF249)</f>
        <v>0</v>
      </c>
      <c r="AH249" s="1173">
        <f t="shared" si="135"/>
        <v>0</v>
      </c>
      <c r="AI249" s="938">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9">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50">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7">
        <f t="shared" si="134"/>
        <v>0</v>
      </c>
      <c r="AE250" s="938">
        <f t="shared" si="137"/>
        <v>0</v>
      </c>
      <c r="AF250" s="938">
        <f t="shared" si="138"/>
        <v>0</v>
      </c>
      <c r="AG250" s="938">
        <f t="shared" si="139"/>
        <v>0</v>
      </c>
      <c r="AH250" s="1173">
        <f t="shared" si="135"/>
        <v>0</v>
      </c>
      <c r="AI250" s="938">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9">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50">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7">
        <f t="shared" si="134"/>
        <v>0</v>
      </c>
      <c r="AE251" s="938">
        <f t="shared" si="137"/>
        <v>0</v>
      </c>
      <c r="AF251" s="938">
        <f t="shared" si="138"/>
        <v>0</v>
      </c>
      <c r="AG251" s="938">
        <f t="shared" si="139"/>
        <v>0</v>
      </c>
      <c r="AH251" s="1173">
        <f t="shared" si="135"/>
        <v>0</v>
      </c>
      <c r="AI251" s="938">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9">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50">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7">
        <f t="shared" si="134"/>
        <v>0</v>
      </c>
      <c r="AE252" s="938">
        <f t="shared" si="137"/>
        <v>0</v>
      </c>
      <c r="AF252" s="938">
        <f t="shared" si="138"/>
        <v>0</v>
      </c>
      <c r="AG252" s="938">
        <f t="shared" si="139"/>
        <v>0</v>
      </c>
      <c r="AH252" s="1173">
        <f t="shared" si="135"/>
        <v>0</v>
      </c>
      <c r="AI252" s="938">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9">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50">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7">
        <f t="shared" si="134"/>
        <v>0</v>
      </c>
      <c r="AE253" s="938">
        <f t="shared" si="137"/>
        <v>0</v>
      </c>
      <c r="AF253" s="938">
        <f t="shared" si="138"/>
        <v>0</v>
      </c>
      <c r="AG253" s="938">
        <f t="shared" si="139"/>
        <v>0</v>
      </c>
      <c r="AH253" s="1173">
        <f t="shared" si="135"/>
        <v>0</v>
      </c>
      <c r="AI253" s="938">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9">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50">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7">
        <f t="shared" si="134"/>
        <v>0</v>
      </c>
      <c r="AE254" s="938">
        <f t="shared" si="137"/>
        <v>0</v>
      </c>
      <c r="AF254" s="938">
        <f t="shared" si="138"/>
        <v>0</v>
      </c>
      <c r="AG254" s="938">
        <f t="shared" si="139"/>
        <v>0</v>
      </c>
      <c r="AH254" s="1173">
        <f t="shared" si="135"/>
        <v>0</v>
      </c>
      <c r="AI254" s="938">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9">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50">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7">
        <f t="shared" si="134"/>
        <v>0</v>
      </c>
      <c r="AE255" s="938">
        <f t="shared" si="137"/>
        <v>0</v>
      </c>
      <c r="AF255" s="938">
        <f t="shared" si="138"/>
        <v>0</v>
      </c>
      <c r="AG255" s="938">
        <f t="shared" si="139"/>
        <v>0</v>
      </c>
      <c r="AH255" s="1173">
        <f t="shared" si="135"/>
        <v>0</v>
      </c>
      <c r="AI255" s="938">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9">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50">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7">
        <f t="shared" si="134"/>
        <v>0</v>
      </c>
      <c r="AE256" s="938">
        <f t="shared" si="137"/>
        <v>0</v>
      </c>
      <c r="AF256" s="938">
        <f t="shared" si="138"/>
        <v>0</v>
      </c>
      <c r="AG256" s="938">
        <f t="shared" si="139"/>
        <v>0</v>
      </c>
      <c r="AH256" s="1173">
        <f t="shared" si="135"/>
        <v>0</v>
      </c>
      <c r="AI256" s="938">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9">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50">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7">
        <f t="shared" si="134"/>
        <v>0</v>
      </c>
      <c r="AE257" s="938">
        <f t="shared" si="137"/>
        <v>0</v>
      </c>
      <c r="AF257" s="938">
        <f t="shared" si="138"/>
        <v>0</v>
      </c>
      <c r="AG257" s="938">
        <f t="shared" si="139"/>
        <v>0</v>
      </c>
      <c r="AH257" s="1173">
        <f t="shared" si="135"/>
        <v>0</v>
      </c>
      <c r="AI257" s="938">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9">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50">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7">
        <f t="shared" si="134"/>
        <v>0</v>
      </c>
      <c r="AE258" s="938">
        <f t="shared" si="137"/>
        <v>0</v>
      </c>
      <c r="AF258" s="938">
        <f t="shared" si="138"/>
        <v>0</v>
      </c>
      <c r="AG258" s="938">
        <f t="shared" si="139"/>
        <v>0</v>
      </c>
      <c r="AH258" s="1173">
        <f t="shared" si="135"/>
        <v>0</v>
      </c>
      <c r="AI258" s="938">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9">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50">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7">
        <f>AB259*AH259+AC259*AI259</f>
        <v>0</v>
      </c>
      <c r="AE259" s="938">
        <f t="shared" si="137"/>
        <v>0</v>
      </c>
      <c r="AF259" s="938">
        <f t="shared" si="138"/>
        <v>0</v>
      </c>
      <c r="AG259" s="938">
        <f t="shared" si="139"/>
        <v>0</v>
      </c>
      <c r="AH259" s="1173">
        <f t="shared" si="135"/>
        <v>0</v>
      </c>
      <c r="AI259" s="938">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9">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50">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7">
        <f t="shared" ref="AD260:AD276" si="140">AB260*AH260+AC260*AI260</f>
        <v>0</v>
      </c>
      <c r="AE260" s="938">
        <f t="shared" si="137"/>
        <v>0</v>
      </c>
      <c r="AF260" s="938">
        <f t="shared" si="138"/>
        <v>0</v>
      </c>
      <c r="AG260" s="938">
        <f t="shared" si="139"/>
        <v>0</v>
      </c>
      <c r="AH260" s="1173">
        <f t="shared" si="135"/>
        <v>0</v>
      </c>
      <c r="AI260" s="938">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9">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50">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7">
        <f t="shared" si="140"/>
        <v>0</v>
      </c>
      <c r="AE261" s="938">
        <f t="shared" si="137"/>
        <v>0</v>
      </c>
      <c r="AF261" s="938">
        <f t="shared" si="138"/>
        <v>0</v>
      </c>
      <c r="AG261" s="938">
        <f t="shared" si="139"/>
        <v>0</v>
      </c>
      <c r="AH261" s="1173">
        <f t="shared" si="135"/>
        <v>0</v>
      </c>
      <c r="AI261" s="938">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9">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50">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7">
        <f t="shared" si="140"/>
        <v>0</v>
      </c>
      <c r="AE262" s="938">
        <f t="shared" si="137"/>
        <v>0</v>
      </c>
      <c r="AF262" s="938">
        <f t="shared" si="138"/>
        <v>0</v>
      </c>
      <c r="AG262" s="938">
        <f t="shared" si="139"/>
        <v>0</v>
      </c>
      <c r="AH262" s="1173">
        <f t="shared" si="135"/>
        <v>0</v>
      </c>
      <c r="AI262" s="938">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9">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50">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7">
        <f t="shared" si="140"/>
        <v>0</v>
      </c>
      <c r="AE263" s="938">
        <f t="shared" si="137"/>
        <v>0</v>
      </c>
      <c r="AF263" s="938">
        <f t="shared" si="138"/>
        <v>0</v>
      </c>
      <c r="AG263" s="938">
        <f t="shared" si="139"/>
        <v>0</v>
      </c>
      <c r="AH263" s="1173">
        <f t="shared" si="135"/>
        <v>0</v>
      </c>
      <c r="AI263" s="938">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9">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50">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7">
        <f t="shared" si="140"/>
        <v>0</v>
      </c>
      <c r="AE264" s="938">
        <f t="shared" si="137"/>
        <v>0</v>
      </c>
      <c r="AF264" s="938">
        <f t="shared" si="138"/>
        <v>0</v>
      </c>
      <c r="AG264" s="938">
        <f t="shared" si="139"/>
        <v>0</v>
      </c>
      <c r="AH264" s="1173">
        <f t="shared" si="135"/>
        <v>0</v>
      </c>
      <c r="AI264" s="938">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0</v>
      </c>
      <c r="X265" s="345">
        <v>0</v>
      </c>
      <c r="Y265" s="380">
        <v>0</v>
      </c>
      <c r="Z265" s="296">
        <f t="shared" si="132"/>
        <v>0</v>
      </c>
      <c r="AA265" s="298">
        <f t="shared" si="133"/>
        <v>0</v>
      </c>
      <c r="AB265" s="949">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50">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7">
        <f t="shared" si="140"/>
        <v>0</v>
      </c>
      <c r="AE265" s="938">
        <f t="shared" si="137"/>
        <v>0</v>
      </c>
      <c r="AF265" s="938">
        <f t="shared" si="138"/>
        <v>0</v>
      </c>
      <c r="AG265" s="938">
        <f t="shared" si="139"/>
        <v>0</v>
      </c>
      <c r="AH265" s="1173">
        <f t="shared" si="135"/>
        <v>0</v>
      </c>
      <c r="AI265" s="938">
        <f t="shared" si="136"/>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30"/>
        <v>0</v>
      </c>
      <c r="N266" s="312">
        <f t="shared" si="131"/>
        <v>0</v>
      </c>
      <c r="O266" s="346">
        <v>0</v>
      </c>
      <c r="P266" s="347">
        <v>0</v>
      </c>
      <c r="Q266" s="347">
        <v>0</v>
      </c>
      <c r="R266" s="347">
        <v>0</v>
      </c>
      <c r="S266" s="347">
        <v>0</v>
      </c>
      <c r="T266" s="347">
        <v>0</v>
      </c>
      <c r="U266" s="347">
        <v>0</v>
      </c>
      <c r="V266" s="347">
        <v>0</v>
      </c>
      <c r="W266" s="347">
        <v>0</v>
      </c>
      <c r="X266" s="347">
        <v>0</v>
      </c>
      <c r="Y266" s="381">
        <v>0</v>
      </c>
      <c r="Z266" s="310">
        <f t="shared" si="132"/>
        <v>0</v>
      </c>
      <c r="AA266" s="312">
        <f t="shared" si="133"/>
        <v>0</v>
      </c>
      <c r="AB266" s="949">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50">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7">
        <f t="shared" si="140"/>
        <v>0</v>
      </c>
      <c r="AE266" s="938">
        <f t="shared" si="137"/>
        <v>0</v>
      </c>
      <c r="AF266" s="938">
        <f t="shared" si="138"/>
        <v>0</v>
      </c>
      <c r="AG266" s="938">
        <f t="shared" si="139"/>
        <v>0</v>
      </c>
      <c r="AH266" s="1173">
        <f t="shared" si="135"/>
        <v>0</v>
      </c>
      <c r="AI266" s="938">
        <f t="shared" si="136"/>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30"/>
        <v>0</v>
      </c>
      <c r="N267" s="284">
        <f t="shared" si="131"/>
        <v>0</v>
      </c>
      <c r="O267" s="342">
        <v>0</v>
      </c>
      <c r="P267" s="343">
        <v>0</v>
      </c>
      <c r="Q267" s="343">
        <v>0</v>
      </c>
      <c r="R267" s="343">
        <v>0</v>
      </c>
      <c r="S267" s="343">
        <v>0</v>
      </c>
      <c r="T267" s="343">
        <v>0</v>
      </c>
      <c r="U267" s="343">
        <v>0</v>
      </c>
      <c r="V267" s="343">
        <v>0</v>
      </c>
      <c r="W267" s="343">
        <v>0</v>
      </c>
      <c r="X267" s="343">
        <v>0</v>
      </c>
      <c r="Y267" s="379">
        <v>0</v>
      </c>
      <c r="Z267" s="282">
        <f t="shared" si="132"/>
        <v>0</v>
      </c>
      <c r="AA267" s="284">
        <f t="shared" si="133"/>
        <v>0</v>
      </c>
      <c r="AB267" s="949">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50">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7">
        <f t="shared" si="140"/>
        <v>0</v>
      </c>
      <c r="AE267" s="938">
        <f t="shared" si="137"/>
        <v>0</v>
      </c>
      <c r="AF267" s="938">
        <f t="shared" si="138"/>
        <v>0</v>
      </c>
      <c r="AG267" s="938">
        <f t="shared" si="139"/>
        <v>0</v>
      </c>
      <c r="AH267" s="1173">
        <f t="shared" si="135"/>
        <v>0</v>
      </c>
      <c r="AI267" s="938">
        <f t="shared" si="136"/>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30"/>
        <v>0</v>
      </c>
      <c r="N268" s="298">
        <f t="shared" si="131"/>
        <v>0</v>
      </c>
      <c r="O268" s="344">
        <v>0</v>
      </c>
      <c r="P268" s="345">
        <v>0</v>
      </c>
      <c r="Q268" s="345">
        <v>0</v>
      </c>
      <c r="R268" s="345">
        <v>0</v>
      </c>
      <c r="S268" s="345">
        <v>0</v>
      </c>
      <c r="T268" s="345">
        <v>0</v>
      </c>
      <c r="U268" s="345">
        <v>0</v>
      </c>
      <c r="V268" s="345">
        <v>0</v>
      </c>
      <c r="W268" s="345">
        <v>0</v>
      </c>
      <c r="X268" s="345">
        <v>0</v>
      </c>
      <c r="Y268" s="380">
        <v>0</v>
      </c>
      <c r="Z268" s="296">
        <f t="shared" si="132"/>
        <v>0</v>
      </c>
      <c r="AA268" s="298">
        <f t="shared" si="133"/>
        <v>0</v>
      </c>
      <c r="AB268" s="949">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50">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7">
        <f t="shared" si="140"/>
        <v>0</v>
      </c>
      <c r="AE268" s="938">
        <f t="shared" si="137"/>
        <v>0</v>
      </c>
      <c r="AF268" s="938">
        <f t="shared" si="138"/>
        <v>0</v>
      </c>
      <c r="AG268" s="938">
        <f t="shared" si="139"/>
        <v>0</v>
      </c>
      <c r="AH268" s="1173">
        <f t="shared" si="135"/>
        <v>0</v>
      </c>
      <c r="AI268" s="938">
        <f t="shared" si="136"/>
        <v>0</v>
      </c>
    </row>
    <row r="269" spans="1:35" x14ac:dyDescent="0.2">
      <c r="A269" s="330">
        <v>2043</v>
      </c>
      <c r="B269" s="344">
        <v>0</v>
      </c>
      <c r="C269" s="345">
        <v>0</v>
      </c>
      <c r="D269" s="345">
        <v>4.171895050502077E-4</v>
      </c>
      <c r="E269" s="345">
        <v>0</v>
      </c>
      <c r="F269" s="345">
        <v>0</v>
      </c>
      <c r="G269" s="345">
        <v>0</v>
      </c>
      <c r="H269" s="345">
        <v>0</v>
      </c>
      <c r="I269" s="345">
        <v>0</v>
      </c>
      <c r="J269" s="345">
        <v>0</v>
      </c>
      <c r="K269" s="345">
        <v>0</v>
      </c>
      <c r="L269" s="380">
        <v>0</v>
      </c>
      <c r="M269" s="296">
        <f t="shared" si="130"/>
        <v>2.5012649813285992E-5</v>
      </c>
      <c r="N269" s="298">
        <f t="shared" si="131"/>
        <v>3.8321881322267479E-5</v>
      </c>
      <c r="O269" s="344">
        <v>0</v>
      </c>
      <c r="P269" s="345">
        <v>0</v>
      </c>
      <c r="Q269" s="345">
        <v>8.0391874176495449E-3</v>
      </c>
      <c r="R269" s="345">
        <v>0</v>
      </c>
      <c r="S269" s="345">
        <v>0</v>
      </c>
      <c r="T269" s="345">
        <v>0</v>
      </c>
      <c r="U269" s="345">
        <v>0</v>
      </c>
      <c r="V269" s="345">
        <v>0</v>
      </c>
      <c r="W269" s="345">
        <v>0</v>
      </c>
      <c r="X269" s="345">
        <v>0</v>
      </c>
      <c r="Y269" s="380">
        <v>0</v>
      </c>
      <c r="Z269" s="296">
        <f t="shared" si="132"/>
        <v>3.3670619575175333E-4</v>
      </c>
      <c r="AA269" s="298">
        <f t="shared" si="133"/>
        <v>5.0097070929086985E-4</v>
      </c>
      <c r="AB269" s="949">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50">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7">
        <f t="shared" si="140"/>
        <v>0</v>
      </c>
      <c r="AE269" s="938">
        <f t="shared" si="137"/>
        <v>2.5012649813285992E-5</v>
      </c>
      <c r="AF269" s="938">
        <f t="shared" si="138"/>
        <v>3.3670619575175333E-4</v>
      </c>
      <c r="AG269" s="938">
        <f t="shared" si="139"/>
        <v>3.6171884556503934E-4</v>
      </c>
      <c r="AH269" s="1173">
        <f t="shared" si="135"/>
        <v>6.914942397931699E-2</v>
      </c>
      <c r="AI269" s="938">
        <f t="shared" si="136"/>
        <v>0.930850576020683</v>
      </c>
    </row>
    <row r="270" spans="1:35" x14ac:dyDescent="0.2">
      <c r="A270" s="330">
        <v>2044</v>
      </c>
      <c r="B270" s="344">
        <v>0</v>
      </c>
      <c r="C270" s="345">
        <v>0</v>
      </c>
      <c r="D270" s="345">
        <v>1.8582158104773129E-2</v>
      </c>
      <c r="E270" s="345">
        <v>0</v>
      </c>
      <c r="F270" s="345">
        <v>0</v>
      </c>
      <c r="G270" s="345">
        <v>0</v>
      </c>
      <c r="H270" s="345">
        <v>0</v>
      </c>
      <c r="I270" s="345">
        <v>0</v>
      </c>
      <c r="J270" s="345">
        <v>0</v>
      </c>
      <c r="K270" s="345">
        <v>0</v>
      </c>
      <c r="L270" s="380">
        <v>0</v>
      </c>
      <c r="M270" s="296">
        <f t="shared" si="130"/>
        <v>1.1140956515525676E-3</v>
      </c>
      <c r="N270" s="298">
        <f t="shared" si="131"/>
        <v>1.706905971944397E-3</v>
      </c>
      <c r="O270" s="344">
        <v>0</v>
      </c>
      <c r="P270" s="345">
        <v>1.21547446725898E-3</v>
      </c>
      <c r="Q270" s="345">
        <v>5.4490010972605904E-2</v>
      </c>
      <c r="R270" s="345">
        <v>0</v>
      </c>
      <c r="S270" s="345">
        <v>0</v>
      </c>
      <c r="T270" s="345">
        <v>0</v>
      </c>
      <c r="U270" s="345">
        <v>0</v>
      </c>
      <c r="V270" s="345">
        <v>0</v>
      </c>
      <c r="W270" s="345">
        <v>0</v>
      </c>
      <c r="X270" s="345">
        <v>0</v>
      </c>
      <c r="Y270" s="380">
        <v>0</v>
      </c>
      <c r="Z270" s="296">
        <f t="shared" si="132"/>
        <v>2.3157144315621102E-3</v>
      </c>
      <c r="AA270" s="298">
        <f t="shared" si="133"/>
        <v>3.4770817725086503E-3</v>
      </c>
      <c r="AB270" s="949">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50">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7">
        <f t="shared" si="140"/>
        <v>0</v>
      </c>
      <c r="AE270" s="938">
        <f t="shared" si="137"/>
        <v>1.1140956515525676E-3</v>
      </c>
      <c r="AF270" s="938">
        <f t="shared" si="138"/>
        <v>2.3157144315621102E-3</v>
      </c>
      <c r="AG270" s="938">
        <f t="shared" si="139"/>
        <v>3.4298100831146776E-3</v>
      </c>
      <c r="AH270" s="1173">
        <f t="shared" si="135"/>
        <v>0.3248272133309596</v>
      </c>
      <c r="AI270" s="938">
        <f t="shared" si="136"/>
        <v>0.67517278666904046</v>
      </c>
    </row>
    <row r="271" spans="1:35" ht="15" thickBot="1" x14ac:dyDescent="0.25">
      <c r="A271" s="328">
        <v>2045</v>
      </c>
      <c r="B271" s="346">
        <v>0</v>
      </c>
      <c r="C271" s="347">
        <v>4.8159173364769091E-3</v>
      </c>
      <c r="D271" s="347">
        <v>7.3968393235450916E-2</v>
      </c>
      <c r="E271" s="347">
        <v>0</v>
      </c>
      <c r="F271" s="347">
        <v>0</v>
      </c>
      <c r="G271" s="347">
        <v>0</v>
      </c>
      <c r="H271" s="347">
        <v>0</v>
      </c>
      <c r="I271" s="347">
        <v>0</v>
      </c>
      <c r="J271" s="347">
        <v>0</v>
      </c>
      <c r="K271" s="347">
        <v>0</v>
      </c>
      <c r="L271" s="381">
        <v>0</v>
      </c>
      <c r="M271" s="310">
        <f t="shared" si="130"/>
        <v>4.603192859830442E-3</v>
      </c>
      <c r="N271" s="312">
        <f t="shared" si="131"/>
        <v>7.2262846724230473E-3</v>
      </c>
      <c r="O271" s="346">
        <v>0</v>
      </c>
      <c r="P271" s="347">
        <v>1.4153308506678008E-2</v>
      </c>
      <c r="Q271" s="347">
        <v>0.10520695760798728</v>
      </c>
      <c r="R271" s="347">
        <v>0</v>
      </c>
      <c r="S271" s="347">
        <v>0</v>
      </c>
      <c r="T271" s="347">
        <v>0</v>
      </c>
      <c r="U271" s="347">
        <v>0</v>
      </c>
      <c r="V271" s="347">
        <v>0</v>
      </c>
      <c r="W271" s="347">
        <v>0</v>
      </c>
      <c r="X271" s="347">
        <v>0</v>
      </c>
      <c r="Y271" s="381">
        <v>0</v>
      </c>
      <c r="Z271" s="310">
        <f t="shared" si="132"/>
        <v>4.7965143885865518E-3</v>
      </c>
      <c r="AA271" s="312">
        <f t="shared" si="133"/>
        <v>7.5048312885478063E-3</v>
      </c>
      <c r="AB271" s="949">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50">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7">
        <f t="shared" si="140"/>
        <v>0</v>
      </c>
      <c r="AE271" s="938">
        <f t="shared" si="137"/>
        <v>4.603192859830442E-3</v>
      </c>
      <c r="AF271" s="938">
        <f t="shared" si="138"/>
        <v>4.7965143885865518E-3</v>
      </c>
      <c r="AG271" s="938">
        <f t="shared" si="139"/>
        <v>9.3997072484169938E-3</v>
      </c>
      <c r="AH271" s="1173">
        <f t="shared" si="135"/>
        <v>0.48971661969639174</v>
      </c>
      <c r="AI271" s="938">
        <f t="shared" si="136"/>
        <v>0.5102833803036082</v>
      </c>
    </row>
    <row r="272" spans="1:35" x14ac:dyDescent="0.2">
      <c r="A272" s="329">
        <v>2046</v>
      </c>
      <c r="B272" s="342">
        <v>0</v>
      </c>
      <c r="C272" s="343">
        <v>1.9134160561626798E-2</v>
      </c>
      <c r="D272" s="343">
        <v>0.10644055378260017</v>
      </c>
      <c r="E272" s="343">
        <v>0</v>
      </c>
      <c r="F272" s="343">
        <v>0</v>
      </c>
      <c r="G272" s="343">
        <v>0</v>
      </c>
      <c r="H272" s="343">
        <v>0</v>
      </c>
      <c r="I272" s="343">
        <v>0</v>
      </c>
      <c r="J272" s="343">
        <v>0</v>
      </c>
      <c r="K272" s="343">
        <v>0</v>
      </c>
      <c r="L272" s="379">
        <v>0</v>
      </c>
      <c r="M272" s="282">
        <f t="shared" si="130"/>
        <v>7.0507618831738214E-3</v>
      </c>
      <c r="N272" s="284">
        <f t="shared" si="131"/>
        <v>1.1492731610864631E-2</v>
      </c>
      <c r="O272" s="342">
        <v>0</v>
      </c>
      <c r="P272" s="343">
        <v>4.1856747651543423E-2</v>
      </c>
      <c r="Q272" s="343">
        <v>0.12466700169580128</v>
      </c>
      <c r="R272" s="343">
        <v>0</v>
      </c>
      <c r="S272" s="343">
        <v>0</v>
      </c>
      <c r="T272" s="343">
        <v>0</v>
      </c>
      <c r="U272" s="343">
        <v>0</v>
      </c>
      <c r="V272" s="343">
        <v>0</v>
      </c>
      <c r="W272" s="343">
        <v>0</v>
      </c>
      <c r="X272" s="343">
        <v>0</v>
      </c>
      <c r="Y272" s="379">
        <v>0</v>
      </c>
      <c r="Z272" s="282">
        <f t="shared" si="132"/>
        <v>6.3751746903337354E-3</v>
      </c>
      <c r="AA272" s="284">
        <f t="shared" si="133"/>
        <v>1.0574562557685204E-2</v>
      </c>
      <c r="AB272" s="949">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50">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7">
        <f t="shared" si="140"/>
        <v>0</v>
      </c>
      <c r="AE272" s="938">
        <f t="shared" si="137"/>
        <v>7.0507618831738214E-3</v>
      </c>
      <c r="AF272" s="938">
        <f t="shared" si="138"/>
        <v>6.3751746903337354E-3</v>
      </c>
      <c r="AG272" s="938">
        <f t="shared" si="139"/>
        <v>1.3425936573507557E-2</v>
      </c>
      <c r="AH272" s="1173">
        <f t="shared" si="135"/>
        <v>0.52515977895252286</v>
      </c>
      <c r="AI272" s="938">
        <f t="shared" si="136"/>
        <v>0.47484022104747708</v>
      </c>
    </row>
    <row r="273" spans="1:39" x14ac:dyDescent="0.2">
      <c r="A273" s="330">
        <v>2047</v>
      </c>
      <c r="B273" s="344">
        <v>0</v>
      </c>
      <c r="C273" s="345">
        <v>4.3203274109689806E-2</v>
      </c>
      <c r="D273" s="345">
        <v>0.14023489539086917</v>
      </c>
      <c r="E273" s="345">
        <v>0</v>
      </c>
      <c r="F273" s="345">
        <v>0</v>
      </c>
      <c r="G273" s="345">
        <v>0</v>
      </c>
      <c r="H273" s="345">
        <v>0</v>
      </c>
      <c r="I273" s="345">
        <v>0</v>
      </c>
      <c r="J273" s="345">
        <v>0</v>
      </c>
      <c r="K273" s="345">
        <v>0</v>
      </c>
      <c r="L273" s="380">
        <v>0</v>
      </c>
      <c r="M273" s="296">
        <f t="shared" si="130"/>
        <v>9.9185818925987632E-3</v>
      </c>
      <c r="N273" s="298">
        <f t="shared" si="131"/>
        <v>1.675480485380542E-2</v>
      </c>
      <c r="O273" s="344">
        <v>0</v>
      </c>
      <c r="P273" s="345">
        <v>6.7644410242728978E-2</v>
      </c>
      <c r="Q273" s="345">
        <v>0.14299633616001584</v>
      </c>
      <c r="R273" s="345">
        <v>0</v>
      </c>
      <c r="S273" s="345">
        <v>0</v>
      </c>
      <c r="T273" s="345">
        <v>0</v>
      </c>
      <c r="U273" s="345">
        <v>0</v>
      </c>
      <c r="V273" s="345">
        <v>0</v>
      </c>
      <c r="W273" s="345">
        <v>0</v>
      </c>
      <c r="X273" s="345">
        <v>0</v>
      </c>
      <c r="Y273" s="380">
        <v>0</v>
      </c>
      <c r="Z273" s="296">
        <f t="shared" si="132"/>
        <v>7.8536712008352126E-3</v>
      </c>
      <c r="AA273" s="298">
        <f t="shared" si="133"/>
        <v>1.3445411290595809E-2</v>
      </c>
      <c r="AB273" s="949">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50">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7">
        <f t="shared" si="140"/>
        <v>0</v>
      </c>
      <c r="AE273" s="938">
        <f t="shared" si="137"/>
        <v>9.9185818925987632E-3</v>
      </c>
      <c r="AF273" s="938">
        <f t="shared" si="138"/>
        <v>7.8536712008352126E-3</v>
      </c>
      <c r="AG273" s="938">
        <f t="shared" si="139"/>
        <v>1.7772253093433978E-2</v>
      </c>
      <c r="AH273" s="1173">
        <f t="shared" si="135"/>
        <v>0.55809366659668036</v>
      </c>
      <c r="AI273" s="938">
        <f t="shared" si="136"/>
        <v>0.44190633340331953</v>
      </c>
    </row>
    <row r="274" spans="1:39" x14ac:dyDescent="0.2">
      <c r="A274" s="330">
        <v>2048</v>
      </c>
      <c r="B274" s="344">
        <v>0</v>
      </c>
      <c r="C274" s="345">
        <v>6.2040693851946674E-2</v>
      </c>
      <c r="D274" s="345">
        <v>0.15839375635452305</v>
      </c>
      <c r="E274" s="345">
        <v>0</v>
      </c>
      <c r="F274" s="345">
        <v>0</v>
      </c>
      <c r="G274" s="345">
        <v>0</v>
      </c>
      <c r="H274" s="345">
        <v>0</v>
      </c>
      <c r="I274" s="345">
        <v>0</v>
      </c>
      <c r="J274" s="345">
        <v>0</v>
      </c>
      <c r="K274" s="345">
        <v>0</v>
      </c>
      <c r="L274" s="380">
        <v>0</v>
      </c>
      <c r="M274" s="296">
        <f t="shared" si="130"/>
        <v>1.1666026891107972E-2</v>
      </c>
      <c r="N274" s="298">
        <f t="shared" si="131"/>
        <v>2.0111619713283575E-2</v>
      </c>
      <c r="O274" s="344">
        <v>0</v>
      </c>
      <c r="P274" s="345">
        <v>9.0693254689070787E-2</v>
      </c>
      <c r="Q274" s="345">
        <v>0.15430337682011597</v>
      </c>
      <c r="R274" s="345">
        <v>0</v>
      </c>
      <c r="S274" s="345">
        <v>0</v>
      </c>
      <c r="T274" s="345">
        <v>0</v>
      </c>
      <c r="U274" s="345">
        <v>0</v>
      </c>
      <c r="V274" s="345">
        <v>0</v>
      </c>
      <c r="W274" s="345">
        <v>0</v>
      </c>
      <c r="X274" s="345">
        <v>0</v>
      </c>
      <c r="Y274" s="380">
        <v>0</v>
      </c>
      <c r="Z274" s="296">
        <f t="shared" si="132"/>
        <v>8.9625598495165441E-3</v>
      </c>
      <c r="AA274" s="298">
        <f t="shared" si="133"/>
        <v>1.5695065682226193E-2</v>
      </c>
      <c r="AB274" s="949">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50">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7">
        <f t="shared" si="140"/>
        <v>0</v>
      </c>
      <c r="AE274" s="938">
        <f t="shared" si="137"/>
        <v>1.1666026891107972E-2</v>
      </c>
      <c r="AF274" s="938">
        <f t="shared" si="138"/>
        <v>8.9625598495165441E-3</v>
      </c>
      <c r="AG274" s="938">
        <f t="shared" si="139"/>
        <v>2.0628586740624517E-2</v>
      </c>
      <c r="AH274" s="1173">
        <f t="shared" si="135"/>
        <v>0.56552719959887998</v>
      </c>
      <c r="AI274" s="938">
        <f t="shared" si="136"/>
        <v>0.43447280040111991</v>
      </c>
    </row>
    <row r="275" spans="1:39" x14ac:dyDescent="0.2">
      <c r="A275" s="330">
        <v>2049</v>
      </c>
      <c r="B275" s="344">
        <v>0</v>
      </c>
      <c r="C275" s="345">
        <v>8.5568879205004916E-2</v>
      </c>
      <c r="D275" s="345">
        <v>0.16911868580372416</v>
      </c>
      <c r="E275" s="345">
        <v>0</v>
      </c>
      <c r="F275" s="345">
        <v>0</v>
      </c>
      <c r="G275" s="345">
        <v>0</v>
      </c>
      <c r="H275" s="345">
        <v>0</v>
      </c>
      <c r="I275" s="345">
        <v>0</v>
      </c>
      <c r="J275" s="345">
        <v>0</v>
      </c>
      <c r="K275" s="345">
        <v>0</v>
      </c>
      <c r="L275" s="380">
        <v>0</v>
      </c>
      <c r="M275" s="296">
        <f t="shared" si="130"/>
        <v>1.3131801573281457E-2</v>
      </c>
      <c r="N275" s="298">
        <f t="shared" si="131"/>
        <v>2.3206105455424786E-2</v>
      </c>
      <c r="O275" s="344">
        <v>0</v>
      </c>
      <c r="P275" s="345">
        <v>0.10385634470929016</v>
      </c>
      <c r="Q275" s="345">
        <v>0.15903440162666638</v>
      </c>
      <c r="R275" s="345">
        <v>0</v>
      </c>
      <c r="S275" s="345">
        <v>0</v>
      </c>
      <c r="T275" s="345">
        <v>0</v>
      </c>
      <c r="U275" s="345">
        <v>0</v>
      </c>
      <c r="V275" s="345">
        <v>0</v>
      </c>
      <c r="W275" s="345">
        <v>0</v>
      </c>
      <c r="X275" s="345">
        <v>0</v>
      </c>
      <c r="Y275" s="380">
        <v>0</v>
      </c>
      <c r="Z275" s="296">
        <f t="shared" si="132"/>
        <v>9.5235351611985177E-3</v>
      </c>
      <c r="AA275" s="298">
        <f t="shared" si="133"/>
        <v>1.6872252142486003E-2</v>
      </c>
      <c r="AB275" s="949">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50">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7">
        <f t="shared" si="140"/>
        <v>0</v>
      </c>
      <c r="AE275" s="938">
        <f t="shared" si="137"/>
        <v>1.3131801573281457E-2</v>
      </c>
      <c r="AF275" s="938">
        <f t="shared" si="138"/>
        <v>9.5235351611985177E-3</v>
      </c>
      <c r="AG275" s="938">
        <f t="shared" si="139"/>
        <v>2.2655336734479975E-2</v>
      </c>
      <c r="AH275" s="1173">
        <f t="shared" si="135"/>
        <v>0.5796339170406456</v>
      </c>
      <c r="AI275" s="938">
        <f t="shared" si="136"/>
        <v>0.42036608295935435</v>
      </c>
    </row>
    <row r="276" spans="1:39" ht="15" thickBot="1" x14ac:dyDescent="0.25">
      <c r="A276" s="328">
        <v>2050</v>
      </c>
      <c r="B276" s="346">
        <v>0</v>
      </c>
      <c r="C276" s="347">
        <v>0.10525072236570349</v>
      </c>
      <c r="D276" s="347">
        <v>0.17991436616639803</v>
      </c>
      <c r="E276" s="347">
        <v>0</v>
      </c>
      <c r="F276" s="347">
        <v>0</v>
      </c>
      <c r="G276" s="347">
        <v>0</v>
      </c>
      <c r="H276" s="347">
        <v>0</v>
      </c>
      <c r="I276" s="347">
        <v>0</v>
      </c>
      <c r="J276" s="347">
        <v>0</v>
      </c>
      <c r="K276" s="347">
        <v>0</v>
      </c>
      <c r="L276" s="381">
        <v>0</v>
      </c>
      <c r="M276" s="310">
        <f t="shared" si="130"/>
        <v>1.4467314895106364E-2</v>
      </c>
      <c r="N276" s="312">
        <f t="shared" si="131"/>
        <v>2.5962262108887139E-2</v>
      </c>
      <c r="O276" s="346">
        <v>5.9892136402422643E-4</v>
      </c>
      <c r="P276" s="347">
        <v>0.11413371153245161</v>
      </c>
      <c r="Q276" s="347">
        <v>0.1701359726675496</v>
      </c>
      <c r="R276" s="347">
        <v>0</v>
      </c>
      <c r="S276" s="347">
        <v>0</v>
      </c>
      <c r="T276" s="347">
        <v>0</v>
      </c>
      <c r="U276" s="347">
        <v>0</v>
      </c>
      <c r="V276" s="347">
        <v>0</v>
      </c>
      <c r="W276" s="347">
        <v>0</v>
      </c>
      <c r="X276" s="347">
        <v>0</v>
      </c>
      <c r="Y276" s="381">
        <v>0</v>
      </c>
      <c r="Z276" s="310">
        <f t="shared" si="132"/>
        <v>1.0276652124295717E-2</v>
      </c>
      <c r="AA276" s="312">
        <f t="shared" si="133"/>
        <v>1.8280568133675634E-2</v>
      </c>
      <c r="AB276" s="951">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2">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7">
        <f t="shared" si="140"/>
        <v>0</v>
      </c>
      <c r="AE276" s="938">
        <f t="shared" ref="AE276" si="141">SUMPRODUCT($B$74:$L$74,B276:L276)</f>
        <v>1.4467314895106364E-2</v>
      </c>
      <c r="AF276" s="938">
        <f t="shared" ref="AF276" si="142">SUMPRODUCT($O$74:$Y$74,O276:Y276)</f>
        <v>1.0276652124295717E-2</v>
      </c>
      <c r="AG276" s="938">
        <f t="shared" ref="AG276" si="143">SUM(AE276:AF276)</f>
        <v>2.4743967019402083E-2</v>
      </c>
      <c r="AH276" s="1173">
        <f t="shared" ref="AH276" si="144">IF(AG276&gt;0,AE276/AG276,0)</f>
        <v>0.58468049540166078</v>
      </c>
      <c r="AI276" s="938">
        <f t="shared" ref="AI276" si="145">IF(AG276&gt;0,AF276/AG276,0)</f>
        <v>0.41531950459833922</v>
      </c>
    </row>
    <row r="277" spans="1:39" x14ac:dyDescent="0.2">
      <c r="B277" s="227" t="str">
        <f>B$120</f>
        <v>Output generated: 7/21/2020 15:48</v>
      </c>
      <c r="O277" s="227" t="str">
        <f>O$120</f>
        <v>Output generated: 7/21/2020 15:48</v>
      </c>
      <c r="AE277" s="938"/>
      <c r="AF277" s="938"/>
      <c r="AG277" s="938"/>
      <c r="AH277" s="938"/>
      <c r="AI277" s="938"/>
    </row>
    <row r="278" spans="1:39" x14ac:dyDescent="0.2">
      <c r="AE278" s="938"/>
      <c r="AF278" s="938"/>
      <c r="AG278" s="938"/>
      <c r="AH278" s="938"/>
      <c r="AI278" s="938"/>
    </row>
    <row r="279" spans="1:39" ht="15" thickBot="1" x14ac:dyDescent="0.25">
      <c r="AE279" s="938"/>
      <c r="AF279" s="938"/>
      <c r="AG279" s="938"/>
      <c r="AH279" s="938"/>
      <c r="AI279" s="938"/>
    </row>
    <row r="280" spans="1:39" ht="15" x14ac:dyDescent="0.2">
      <c r="A280" s="333"/>
      <c r="B280" s="1553" t="s">
        <v>259</v>
      </c>
      <c r="C280" s="1554"/>
      <c r="D280" s="1554"/>
      <c r="E280" s="1554"/>
      <c r="F280" s="1554"/>
      <c r="G280" s="1554"/>
      <c r="H280" s="1554"/>
      <c r="I280" s="1554"/>
      <c r="J280" s="1554"/>
      <c r="K280" s="1554"/>
      <c r="L280" s="1554"/>
      <c r="M280" s="1554"/>
      <c r="N280" s="1555"/>
      <c r="O280" s="1553" t="s">
        <v>260</v>
      </c>
      <c r="P280" s="1554"/>
      <c r="Q280" s="1554"/>
      <c r="R280" s="1554"/>
      <c r="S280" s="1554"/>
      <c r="T280" s="1554"/>
      <c r="U280" s="1554"/>
      <c r="V280" s="1554"/>
      <c r="W280" s="1554"/>
      <c r="X280" s="1554"/>
      <c r="Y280" s="1554"/>
      <c r="Z280" s="1554"/>
      <c r="AA280" s="1555"/>
      <c r="AE280" s="938"/>
      <c r="AF280" s="938"/>
      <c r="AG280" s="938"/>
      <c r="AH280" s="938"/>
      <c r="AI280" s="938"/>
    </row>
    <row r="281" spans="1:39" x14ac:dyDescent="0.2">
      <c r="A281" s="324"/>
      <c r="B281" s="1556" t="s">
        <v>121</v>
      </c>
      <c r="C281" s="1557"/>
      <c r="D281" s="1557"/>
      <c r="E281" s="1557"/>
      <c r="F281" s="1557"/>
      <c r="G281" s="1557"/>
      <c r="H281" s="1557"/>
      <c r="I281" s="1557"/>
      <c r="J281" s="1557"/>
      <c r="K281" s="1557"/>
      <c r="L281" s="1557"/>
      <c r="M281" s="382"/>
      <c r="N281" s="325"/>
      <c r="O281" s="1556" t="s">
        <v>121</v>
      </c>
      <c r="P281" s="1557"/>
      <c r="Q281" s="1557"/>
      <c r="R281" s="1557"/>
      <c r="S281" s="1557"/>
      <c r="T281" s="1557"/>
      <c r="U281" s="1557"/>
      <c r="V281" s="1557"/>
      <c r="W281" s="1557"/>
      <c r="X281" s="1557"/>
      <c r="Y281" s="1557"/>
      <c r="Z281" s="382"/>
      <c r="AA281" s="325"/>
      <c r="AC281" s="955" t="s">
        <v>267</v>
      </c>
      <c r="AD281" s="234" t="b">
        <f>INDEX(TECH_OPT_FUEL2_Cls2,MATCH(RIGHT(O280),TECH_OPT_ROWS_Cls2,0))&lt;&gt;"N/A"</f>
        <v>0</v>
      </c>
      <c r="AE281" s="938"/>
      <c r="AF281" s="938"/>
      <c r="AG281" s="938"/>
      <c r="AH281" s="938"/>
      <c r="AI281" s="938"/>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7"/>
      <c r="AC282" s="955" t="s">
        <v>268</v>
      </c>
      <c r="AD282" s="234">
        <f>MATCH(RIGHT(O280),TECH_OPT_ROWS_Cls2,0)</f>
        <v>6</v>
      </c>
      <c r="AE282" s="938"/>
      <c r="AF282" s="938"/>
      <c r="AG282" s="938"/>
      <c r="AH282" s="938"/>
      <c r="AI282" s="938"/>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10">
        <v>5.2963907111801883E-3</v>
      </c>
      <c r="Z283" s="1215"/>
      <c r="AA283" s="1216"/>
    </row>
    <row r="284" spans="1:39" x14ac:dyDescent="0.2">
      <c r="A284" s="331" t="s">
        <v>125</v>
      </c>
      <c r="B284" s="924">
        <f t="array" ref="B284:L284">TRANSPOSE(Cls2CentVMTShr)</f>
        <v>6.3375455551975849E-3</v>
      </c>
      <c r="C284" s="925">
        <v>3.496913005496359E-2</v>
      </c>
      <c r="D284" s="925">
        <v>5.9955127131675522E-2</v>
      </c>
      <c r="E284" s="925">
        <v>8.4599669387910512E-2</v>
      </c>
      <c r="F284" s="925">
        <v>0.12702701008436962</v>
      </c>
      <c r="G284" s="925">
        <v>6.7204731283582092E-2</v>
      </c>
      <c r="H284" s="925">
        <v>8.8708982453757024E-2</v>
      </c>
      <c r="I284" s="925">
        <v>6.4694225377098208E-2</v>
      </c>
      <c r="J284" s="925">
        <v>3.2526447027526634E-2</v>
      </c>
      <c r="K284" s="925">
        <v>1.589064319454132E-2</v>
      </c>
      <c r="L284" s="1211">
        <v>3.2608183213810787E-2</v>
      </c>
      <c r="M284" s="1212"/>
      <c r="N284" s="1213"/>
      <c r="O284" s="924">
        <f t="array" ref="O284:Y284">TRANSPOSE(Cls2NCentVMTShr)</f>
        <v>8.1228463417563086E-3</v>
      </c>
      <c r="P284" s="925">
        <v>2.7563836768431361E-2</v>
      </c>
      <c r="Q284" s="925">
        <v>4.1883113088337191E-2</v>
      </c>
      <c r="R284" s="925">
        <v>6.4289357588678764E-2</v>
      </c>
      <c r="S284" s="925">
        <v>9.1183275251204537E-2</v>
      </c>
      <c r="T284" s="925">
        <v>5.1984283219922628E-2</v>
      </c>
      <c r="U284" s="925">
        <v>5.0286059545109812E-2</v>
      </c>
      <c r="V284" s="925">
        <v>1.5542287574292338E-2</v>
      </c>
      <c r="W284" s="925">
        <v>1.4506257462625264E-2</v>
      </c>
      <c r="X284" s="925">
        <v>4.9330966304706684E-3</v>
      </c>
      <c r="Y284" s="926">
        <v>1.5183891764738403E-2</v>
      </c>
      <c r="Z284" s="1212"/>
      <c r="AA284" s="1213"/>
      <c r="AB284" s="1550" t="str">
        <f>"% of miles on f2 for Tech "&amp; RIGHT(O279)&amp;" adopters"</f>
        <v>% of miles on f2 for Tech  adopters</v>
      </c>
      <c r="AC284" s="1551"/>
      <c r="AD284" s="1552"/>
      <c r="AE284" s="938" t="s">
        <v>300</v>
      </c>
      <c r="AF284" s="938"/>
      <c r="AG284" s="938"/>
      <c r="AH284" s="1173" t="s">
        <v>299</v>
      </c>
      <c r="AI284" s="938"/>
    </row>
    <row r="285" spans="1:39" ht="15" thickBot="1" x14ac:dyDescent="0.25">
      <c r="A285" s="943" t="s">
        <v>266</v>
      </c>
      <c r="B285" s="934">
        <f t="array" ref="B285:L285">TRANSPOSE(Cls2CentVMT/OPDAYS_Cls2)</f>
        <v>49.332453271995263</v>
      </c>
      <c r="C285" s="935">
        <v>120.11441047790339</v>
      </c>
      <c r="D285" s="935">
        <v>200.99157969807086</v>
      </c>
      <c r="E285" s="935">
        <v>280.98421424125928</v>
      </c>
      <c r="F285" s="935">
        <v>358.20644524895255</v>
      </c>
      <c r="G285" s="935">
        <v>432.82805471770689</v>
      </c>
      <c r="H285" s="935">
        <v>517.10615118099815</v>
      </c>
      <c r="I285" s="935">
        <v>597.8087063838957</v>
      </c>
      <c r="J285" s="935">
        <v>676.93419409560215</v>
      </c>
      <c r="K285" s="935">
        <v>746.82245226325631</v>
      </c>
      <c r="L285" s="936">
        <v>895.92826380844349</v>
      </c>
      <c r="M285" s="932"/>
      <c r="N285" s="933"/>
      <c r="O285" s="934">
        <f t="array" ref="O285:Y285">TRANSPOSE(Cls2NCentVMT/OPDAYS_Cls2)</f>
        <v>54.31462614952413</v>
      </c>
      <c r="P285" s="935">
        <v>126.62311644744663</v>
      </c>
      <c r="Q285" s="935">
        <v>206.96826351576016</v>
      </c>
      <c r="R285" s="935">
        <v>286.46600131499179</v>
      </c>
      <c r="S285" s="935">
        <v>358.9638908170715</v>
      </c>
      <c r="T285" s="935">
        <v>450.55545819643328</v>
      </c>
      <c r="U285" s="935">
        <v>511.93098482414172</v>
      </c>
      <c r="V285" s="935">
        <v>579.22933632093111</v>
      </c>
      <c r="W285" s="935">
        <v>695.25665569614875</v>
      </c>
      <c r="X285" s="935">
        <v>759.80682330760794</v>
      </c>
      <c r="Y285" s="1214">
        <v>882.81167173661356</v>
      </c>
      <c r="Z285" s="944"/>
      <c r="AA285" s="933"/>
      <c r="AB285" s="946" t="s">
        <v>186</v>
      </c>
      <c r="AC285" s="947" t="s">
        <v>15</v>
      </c>
      <c r="AD285" s="948" t="s">
        <v>18</v>
      </c>
      <c r="AE285" s="938" t="s">
        <v>186</v>
      </c>
      <c r="AF285" s="938" t="s">
        <v>15</v>
      </c>
      <c r="AG285" s="938" t="s">
        <v>18</v>
      </c>
      <c r="AH285" s="1173" t="s">
        <v>186</v>
      </c>
      <c r="AI285" s="938"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9">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50">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7">
        <f>AB286*AH286+AC286*AI286</f>
        <v>0</v>
      </c>
      <c r="AE286" s="938">
        <f t="shared" ref="AE286:AE300" si="146">SUMPRODUCT($B$74:$L$74,B286:L286)</f>
        <v>0</v>
      </c>
      <c r="AF286" s="938">
        <f t="shared" ref="AF286:AF300" si="147">SUMPRODUCT($O$74:$Y$74,O286:Y286)</f>
        <v>0</v>
      </c>
      <c r="AG286" s="938">
        <f t="shared" ref="AG286:AG300" si="148">SUM(AE286:AF286)</f>
        <v>0</v>
      </c>
      <c r="AH286" s="1173">
        <f>IF(AG286&gt;0,AE286/AG286,0)</f>
        <v>0</v>
      </c>
      <c r="AI286" s="938">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9">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50">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7">
        <f t="shared" ref="AD287:AD311" si="153">AB287*AH287+AC287*AI287</f>
        <v>0</v>
      </c>
      <c r="AE287" s="938">
        <f t="shared" si="146"/>
        <v>0</v>
      </c>
      <c r="AF287" s="938">
        <f t="shared" si="147"/>
        <v>0</v>
      </c>
      <c r="AG287" s="938">
        <f t="shared" si="148"/>
        <v>0</v>
      </c>
      <c r="AH287" s="1173">
        <f t="shared" ref="AH287:AH328" si="154">IF(AG287&gt;0,AE287/AG287,0)</f>
        <v>0</v>
      </c>
      <c r="AI287" s="938">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9">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50">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7">
        <f t="shared" si="153"/>
        <v>0</v>
      </c>
      <c r="AE288" s="938">
        <f t="shared" si="146"/>
        <v>0</v>
      </c>
      <c r="AF288" s="938">
        <f t="shared" si="147"/>
        <v>0</v>
      </c>
      <c r="AG288" s="938">
        <f t="shared" si="148"/>
        <v>0</v>
      </c>
      <c r="AH288" s="1173">
        <f t="shared" si="154"/>
        <v>0</v>
      </c>
      <c r="AI288" s="938">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9">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50">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7">
        <f t="shared" si="153"/>
        <v>0</v>
      </c>
      <c r="AE289" s="938">
        <f t="shared" si="146"/>
        <v>0</v>
      </c>
      <c r="AF289" s="938">
        <f t="shared" si="147"/>
        <v>0</v>
      </c>
      <c r="AG289" s="938">
        <f t="shared" si="148"/>
        <v>0</v>
      </c>
      <c r="AH289" s="1173">
        <f t="shared" si="154"/>
        <v>0</v>
      </c>
      <c r="AI289" s="938">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9">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50">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7">
        <f t="shared" si="153"/>
        <v>0</v>
      </c>
      <c r="AE290" s="938">
        <f t="shared" si="146"/>
        <v>0</v>
      </c>
      <c r="AF290" s="938">
        <f t="shared" si="147"/>
        <v>0</v>
      </c>
      <c r="AG290" s="938">
        <f t="shared" si="148"/>
        <v>0</v>
      </c>
      <c r="AH290" s="1173">
        <f t="shared" si="154"/>
        <v>0</v>
      </c>
      <c r="AI290" s="938">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9">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50">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7">
        <f t="shared" si="153"/>
        <v>0</v>
      </c>
      <c r="AE291" s="938">
        <f t="shared" si="146"/>
        <v>0</v>
      </c>
      <c r="AF291" s="938">
        <f t="shared" si="147"/>
        <v>0</v>
      </c>
      <c r="AG291" s="938">
        <f t="shared" si="148"/>
        <v>0</v>
      </c>
      <c r="AH291" s="1173">
        <f t="shared" si="154"/>
        <v>0</v>
      </c>
      <c r="AI291" s="938">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9">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50">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7">
        <f t="shared" si="153"/>
        <v>0</v>
      </c>
      <c r="AE292" s="938">
        <f t="shared" si="146"/>
        <v>0</v>
      </c>
      <c r="AF292" s="938">
        <f t="shared" si="147"/>
        <v>0</v>
      </c>
      <c r="AG292" s="938">
        <f t="shared" si="148"/>
        <v>0</v>
      </c>
      <c r="AH292" s="1173">
        <f t="shared" si="154"/>
        <v>0</v>
      </c>
      <c r="AI292" s="938">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9">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50">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7">
        <f t="shared" si="153"/>
        <v>0</v>
      </c>
      <c r="AE293" s="938">
        <f t="shared" si="146"/>
        <v>0</v>
      </c>
      <c r="AF293" s="938">
        <f t="shared" si="147"/>
        <v>0</v>
      </c>
      <c r="AG293" s="938">
        <f t="shared" si="148"/>
        <v>0</v>
      </c>
      <c r="AH293" s="1173">
        <f t="shared" si="154"/>
        <v>0</v>
      </c>
      <c r="AI293" s="938">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9">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50">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7">
        <f t="shared" si="153"/>
        <v>0</v>
      </c>
      <c r="AE294" s="938">
        <f t="shared" si="146"/>
        <v>0</v>
      </c>
      <c r="AF294" s="938">
        <f t="shared" si="147"/>
        <v>0</v>
      </c>
      <c r="AG294" s="938">
        <f t="shared" si="148"/>
        <v>0</v>
      </c>
      <c r="AH294" s="1173">
        <f t="shared" si="154"/>
        <v>0</v>
      </c>
      <c r="AI294" s="938">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9">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50">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7">
        <f t="shared" si="153"/>
        <v>0</v>
      </c>
      <c r="AE295" s="938">
        <f t="shared" si="146"/>
        <v>0</v>
      </c>
      <c r="AF295" s="938">
        <f t="shared" si="147"/>
        <v>0</v>
      </c>
      <c r="AG295" s="938">
        <f t="shared" si="148"/>
        <v>0</v>
      </c>
      <c r="AH295" s="1173">
        <f t="shared" si="154"/>
        <v>0</v>
      </c>
      <c r="AI295" s="938">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9">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50">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7">
        <f t="shared" si="153"/>
        <v>0</v>
      </c>
      <c r="AE296" s="938">
        <f t="shared" si="146"/>
        <v>0</v>
      </c>
      <c r="AF296" s="938">
        <f t="shared" si="147"/>
        <v>0</v>
      </c>
      <c r="AG296" s="938">
        <f t="shared" si="148"/>
        <v>0</v>
      </c>
      <c r="AH296" s="1173">
        <f t="shared" si="154"/>
        <v>0</v>
      </c>
      <c r="AI296" s="938">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9">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50">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7">
        <f t="shared" si="153"/>
        <v>0</v>
      </c>
      <c r="AE297" s="938">
        <f t="shared" si="146"/>
        <v>0</v>
      </c>
      <c r="AF297" s="938">
        <f t="shared" si="147"/>
        <v>0</v>
      </c>
      <c r="AG297" s="938">
        <f t="shared" si="148"/>
        <v>0</v>
      </c>
      <c r="AH297" s="1173">
        <f t="shared" si="154"/>
        <v>0</v>
      </c>
      <c r="AI297" s="938">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9">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50">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7">
        <f t="shared" si="153"/>
        <v>0</v>
      </c>
      <c r="AE298" s="938">
        <f t="shared" si="146"/>
        <v>0</v>
      </c>
      <c r="AF298" s="938">
        <f t="shared" si="147"/>
        <v>0</v>
      </c>
      <c r="AG298" s="938">
        <f t="shared" si="148"/>
        <v>0</v>
      </c>
      <c r="AH298" s="1173">
        <f t="shared" si="154"/>
        <v>0</v>
      </c>
      <c r="AI298" s="938">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9">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50">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7">
        <f t="shared" si="153"/>
        <v>0</v>
      </c>
      <c r="AE299" s="938">
        <f t="shared" si="146"/>
        <v>0</v>
      </c>
      <c r="AF299" s="938">
        <f t="shared" si="147"/>
        <v>0</v>
      </c>
      <c r="AG299" s="938">
        <f t="shared" si="148"/>
        <v>0</v>
      </c>
      <c r="AH299" s="1173">
        <f t="shared" si="154"/>
        <v>0</v>
      </c>
      <c r="AI299" s="938">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9">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50">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7">
        <f t="shared" si="153"/>
        <v>0</v>
      </c>
      <c r="AE300" s="938">
        <f t="shared" si="146"/>
        <v>0</v>
      </c>
      <c r="AF300" s="938">
        <f t="shared" si="147"/>
        <v>0</v>
      </c>
      <c r="AG300" s="938">
        <f t="shared" si="148"/>
        <v>0</v>
      </c>
      <c r="AH300" s="1173">
        <f t="shared" si="154"/>
        <v>0</v>
      </c>
      <c r="AI300" s="938">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9">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50">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7">
        <f t="shared" si="153"/>
        <v>0</v>
      </c>
      <c r="AE301" s="938">
        <f>SUMPRODUCT($B$74:$L$74,B301:L301)</f>
        <v>0</v>
      </c>
      <c r="AF301" s="938">
        <f>SUMPRODUCT($O$74:$Y$74,O301:Y301)</f>
        <v>0</v>
      </c>
      <c r="AG301" s="938">
        <f>SUM(AE301:AF301)</f>
        <v>0</v>
      </c>
      <c r="AH301" s="1173">
        <f t="shared" si="154"/>
        <v>0</v>
      </c>
      <c r="AI301" s="938">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9">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50">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7">
        <f t="shared" si="153"/>
        <v>0</v>
      </c>
      <c r="AE302" s="938">
        <f t="shared" ref="AE302:AE328" si="156">SUMPRODUCT($B$74:$L$74,B302:L302)</f>
        <v>0</v>
      </c>
      <c r="AF302" s="938">
        <f t="shared" ref="AF302:AF328" si="157">SUMPRODUCT($O$74:$Y$74,O302:Y302)</f>
        <v>0</v>
      </c>
      <c r="AG302" s="938">
        <f t="shared" ref="AG302:AG328" si="158">SUM(AE302:AF302)</f>
        <v>0</v>
      </c>
      <c r="AH302" s="1173">
        <f t="shared" si="154"/>
        <v>0</v>
      </c>
      <c r="AI302" s="938">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9">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50">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7">
        <f t="shared" si="153"/>
        <v>0</v>
      </c>
      <c r="AE303" s="938">
        <f t="shared" si="156"/>
        <v>0</v>
      </c>
      <c r="AF303" s="938">
        <f t="shared" si="157"/>
        <v>0</v>
      </c>
      <c r="AG303" s="938">
        <f t="shared" si="158"/>
        <v>0</v>
      </c>
      <c r="AH303" s="1173">
        <f t="shared" si="154"/>
        <v>0</v>
      </c>
      <c r="AI303" s="938">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9">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50">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7">
        <f t="shared" si="153"/>
        <v>0</v>
      </c>
      <c r="AE304" s="938">
        <f t="shared" si="156"/>
        <v>0</v>
      </c>
      <c r="AF304" s="938">
        <f t="shared" si="157"/>
        <v>0</v>
      </c>
      <c r="AG304" s="938">
        <f t="shared" si="158"/>
        <v>0</v>
      </c>
      <c r="AH304" s="1173">
        <f t="shared" si="154"/>
        <v>0</v>
      </c>
      <c r="AI304" s="938">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9">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50">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7">
        <f t="shared" si="153"/>
        <v>0</v>
      </c>
      <c r="AE305" s="938">
        <f t="shared" si="156"/>
        <v>0</v>
      </c>
      <c r="AF305" s="938">
        <f t="shared" si="157"/>
        <v>0</v>
      </c>
      <c r="AG305" s="938">
        <f t="shared" si="158"/>
        <v>0</v>
      </c>
      <c r="AH305" s="1173">
        <f t="shared" si="154"/>
        <v>0</v>
      </c>
      <c r="AI305" s="938">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9">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50">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7">
        <f t="shared" si="153"/>
        <v>0</v>
      </c>
      <c r="AE306" s="938">
        <f t="shared" si="156"/>
        <v>0</v>
      </c>
      <c r="AF306" s="938">
        <f t="shared" si="157"/>
        <v>0</v>
      </c>
      <c r="AG306" s="938">
        <f t="shared" si="158"/>
        <v>0</v>
      </c>
      <c r="AH306" s="1173">
        <f t="shared" si="154"/>
        <v>0</v>
      </c>
      <c r="AI306" s="938">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9">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50">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7">
        <f t="shared" si="153"/>
        <v>0</v>
      </c>
      <c r="AE307" s="938">
        <f t="shared" si="156"/>
        <v>0</v>
      </c>
      <c r="AF307" s="938">
        <f t="shared" si="157"/>
        <v>0</v>
      </c>
      <c r="AG307" s="938">
        <f t="shared" si="158"/>
        <v>0</v>
      </c>
      <c r="AH307" s="1173">
        <f t="shared" si="154"/>
        <v>0</v>
      </c>
      <c r="AI307" s="938">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9">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50">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7">
        <f t="shared" si="153"/>
        <v>0</v>
      </c>
      <c r="AE308" s="938">
        <f t="shared" si="156"/>
        <v>0</v>
      </c>
      <c r="AF308" s="938">
        <f t="shared" si="157"/>
        <v>0</v>
      </c>
      <c r="AG308" s="938">
        <f t="shared" si="158"/>
        <v>0</v>
      </c>
      <c r="AH308" s="1173">
        <f t="shared" si="154"/>
        <v>0</v>
      </c>
      <c r="AI308" s="938">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9">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50">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7">
        <f t="shared" si="153"/>
        <v>0</v>
      </c>
      <c r="AE309" s="938">
        <f t="shared" si="156"/>
        <v>0</v>
      </c>
      <c r="AF309" s="938">
        <f t="shared" si="157"/>
        <v>0</v>
      </c>
      <c r="AG309" s="938">
        <f t="shared" si="158"/>
        <v>0</v>
      </c>
      <c r="AH309" s="1173">
        <f t="shared" si="154"/>
        <v>0</v>
      </c>
      <c r="AI309" s="938">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9">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50">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7">
        <f t="shared" si="153"/>
        <v>0</v>
      </c>
      <c r="AE310" s="938">
        <f t="shared" si="156"/>
        <v>0</v>
      </c>
      <c r="AF310" s="938">
        <f t="shared" si="157"/>
        <v>0</v>
      </c>
      <c r="AG310" s="938">
        <f t="shared" si="158"/>
        <v>0</v>
      </c>
      <c r="AH310" s="1173">
        <f t="shared" si="154"/>
        <v>0</v>
      </c>
      <c r="AI310" s="938">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9">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50">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7">
        <f t="shared" si="153"/>
        <v>0</v>
      </c>
      <c r="AE311" s="938">
        <f t="shared" si="156"/>
        <v>0</v>
      </c>
      <c r="AF311" s="938">
        <f t="shared" si="157"/>
        <v>0</v>
      </c>
      <c r="AG311" s="938">
        <f t="shared" si="158"/>
        <v>0</v>
      </c>
      <c r="AH311" s="1173">
        <f t="shared" si="154"/>
        <v>0</v>
      </c>
      <c r="AI311" s="938">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9">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50">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7">
        <f>AB312*AH312+AC312*AI312</f>
        <v>0</v>
      </c>
      <c r="AE312" s="938">
        <f t="shared" si="156"/>
        <v>0</v>
      </c>
      <c r="AF312" s="938">
        <f t="shared" si="157"/>
        <v>0</v>
      </c>
      <c r="AG312" s="938">
        <f t="shared" si="158"/>
        <v>0</v>
      </c>
      <c r="AH312" s="1173">
        <f t="shared" si="154"/>
        <v>0</v>
      </c>
      <c r="AI312" s="938">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9">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50">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7">
        <f t="shared" ref="AD313:AD329" si="159">AB313*AH313+AC313*AI313</f>
        <v>0</v>
      </c>
      <c r="AE313" s="938">
        <f t="shared" si="156"/>
        <v>0</v>
      </c>
      <c r="AF313" s="938">
        <f t="shared" si="157"/>
        <v>0</v>
      </c>
      <c r="AG313" s="938">
        <f t="shared" si="158"/>
        <v>0</v>
      </c>
      <c r="AH313" s="1173">
        <f t="shared" si="154"/>
        <v>0</v>
      </c>
      <c r="AI313" s="938">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9">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50">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7">
        <f t="shared" si="159"/>
        <v>0</v>
      </c>
      <c r="AE314" s="938">
        <f t="shared" si="156"/>
        <v>0</v>
      </c>
      <c r="AF314" s="938">
        <f t="shared" si="157"/>
        <v>0</v>
      </c>
      <c r="AG314" s="938">
        <f t="shared" si="158"/>
        <v>0</v>
      </c>
      <c r="AH314" s="1173">
        <f t="shared" si="154"/>
        <v>0</v>
      </c>
      <c r="AI314" s="938">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9">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50">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7">
        <f t="shared" si="159"/>
        <v>0</v>
      </c>
      <c r="AE315" s="938">
        <f t="shared" si="156"/>
        <v>0</v>
      </c>
      <c r="AF315" s="938">
        <f t="shared" si="157"/>
        <v>0</v>
      </c>
      <c r="AG315" s="938">
        <f t="shared" si="158"/>
        <v>0</v>
      </c>
      <c r="AH315" s="1173">
        <f t="shared" si="154"/>
        <v>0</v>
      </c>
      <c r="AI315" s="938">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9">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50">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7">
        <f t="shared" si="159"/>
        <v>0</v>
      </c>
      <c r="AE316" s="938">
        <f t="shared" si="156"/>
        <v>0</v>
      </c>
      <c r="AF316" s="938">
        <f t="shared" si="157"/>
        <v>0</v>
      </c>
      <c r="AG316" s="938">
        <f t="shared" si="158"/>
        <v>0</v>
      </c>
      <c r="AH316" s="1173">
        <f t="shared" si="154"/>
        <v>0</v>
      </c>
      <c r="AI316" s="938">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9">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50">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7">
        <f t="shared" si="159"/>
        <v>0</v>
      </c>
      <c r="AE317" s="938">
        <f t="shared" si="156"/>
        <v>0</v>
      </c>
      <c r="AF317" s="938">
        <f t="shared" si="157"/>
        <v>0</v>
      </c>
      <c r="AG317" s="938">
        <f t="shared" si="158"/>
        <v>0</v>
      </c>
      <c r="AH317" s="1173">
        <f t="shared" si="154"/>
        <v>0</v>
      </c>
      <c r="AI317" s="938">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2.1059433566943275E-6</v>
      </c>
      <c r="T318" s="345">
        <v>1.8533290617932585E-5</v>
      </c>
      <c r="U318" s="345">
        <v>3.9748519726656168E-5</v>
      </c>
      <c r="V318" s="345">
        <v>6.2809067142560515E-5</v>
      </c>
      <c r="W318" s="345">
        <v>1.0986593659389279E-4</v>
      </c>
      <c r="X318" s="345">
        <v>1.3490996366606806E-4</v>
      </c>
      <c r="Y318" s="380">
        <v>1.8201352908456863E-4</v>
      </c>
      <c r="Z318" s="296">
        <f t="shared" si="151"/>
        <v>9.1534008299635896E-6</v>
      </c>
      <c r="AA318" s="298">
        <f t="shared" si="152"/>
        <v>4.4841507935532547E-6</v>
      </c>
      <c r="AB318" s="949">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50">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7">
        <f t="shared" si="159"/>
        <v>0</v>
      </c>
      <c r="AE318" s="938">
        <f t="shared" si="156"/>
        <v>0</v>
      </c>
      <c r="AF318" s="938">
        <f t="shared" si="157"/>
        <v>9.1534008299635896E-6</v>
      </c>
      <c r="AG318" s="938">
        <f t="shared" si="158"/>
        <v>9.1534008299635896E-6</v>
      </c>
      <c r="AH318" s="1173">
        <f t="shared" si="154"/>
        <v>0</v>
      </c>
      <c r="AI318" s="938">
        <f t="shared" si="155"/>
        <v>1</v>
      </c>
    </row>
    <row r="319" spans="1:35" ht="15" thickBot="1" x14ac:dyDescent="0.25">
      <c r="A319" s="328">
        <v>2040</v>
      </c>
      <c r="B319" s="346">
        <v>0</v>
      </c>
      <c r="C319" s="347">
        <v>0</v>
      </c>
      <c r="D319" s="347">
        <v>0</v>
      </c>
      <c r="E319" s="347">
        <v>0</v>
      </c>
      <c r="F319" s="347">
        <v>0</v>
      </c>
      <c r="G319" s="347">
        <v>4.7198599961598283E-4</v>
      </c>
      <c r="H319" s="347">
        <v>4.8544504610793359E-3</v>
      </c>
      <c r="I319" s="347">
        <v>1.7424837814757753E-2</v>
      </c>
      <c r="J319" s="347">
        <v>3.6750721378586253E-2</v>
      </c>
      <c r="K319" s="347">
        <v>5.3499649359620226E-2</v>
      </c>
      <c r="L319" s="381">
        <v>9.2799636392334364E-2</v>
      </c>
      <c r="M319" s="310">
        <f t="shared" si="149"/>
        <v>6.6611812146026806E-3</v>
      </c>
      <c r="N319" s="312">
        <f t="shared" si="150"/>
        <v>2.7940857999132376E-3</v>
      </c>
      <c r="O319" s="346">
        <v>0</v>
      </c>
      <c r="P319" s="347">
        <v>0</v>
      </c>
      <c r="Q319" s="347">
        <v>1.963205672136736E-6</v>
      </c>
      <c r="R319" s="347">
        <v>5.3950245103022429E-5</v>
      </c>
      <c r="S319" s="347">
        <v>1.66255620104095E-4</v>
      </c>
      <c r="T319" s="347">
        <v>3.1954948948408003E-4</v>
      </c>
      <c r="U319" s="347">
        <v>3.755653641349228E-4</v>
      </c>
      <c r="V319" s="347">
        <v>4.5592382487862537E-4</v>
      </c>
      <c r="W319" s="347">
        <v>5.0564059191163658E-4</v>
      </c>
      <c r="X319" s="347">
        <v>5.387666728644923E-4</v>
      </c>
      <c r="Y319" s="381">
        <v>5.6365388054078699E-4</v>
      </c>
      <c r="Z319" s="310">
        <f t="shared" si="151"/>
        <v>7.9844936544193058E-5</v>
      </c>
      <c r="AA319" s="312">
        <f t="shared" si="152"/>
        <v>5.0647740150129287E-5</v>
      </c>
      <c r="AB319" s="949">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50">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7">
        <f t="shared" si="159"/>
        <v>0</v>
      </c>
      <c r="AE319" s="938">
        <f t="shared" si="156"/>
        <v>6.6611812146026806E-3</v>
      </c>
      <c r="AF319" s="938">
        <f t="shared" si="157"/>
        <v>7.9844936544193058E-5</v>
      </c>
      <c r="AG319" s="938">
        <f t="shared" si="158"/>
        <v>6.7410261511468735E-3</v>
      </c>
      <c r="AH319" s="1173">
        <f t="shared" si="154"/>
        <v>0.98815537356569838</v>
      </c>
      <c r="AI319" s="938">
        <f t="shared" si="155"/>
        <v>1.1844626434301663E-2</v>
      </c>
    </row>
    <row r="320" spans="1:35" x14ac:dyDescent="0.2">
      <c r="A320" s="329">
        <v>2041</v>
      </c>
      <c r="B320" s="342">
        <v>0</v>
      </c>
      <c r="C320" s="343">
        <v>0</v>
      </c>
      <c r="D320" s="343">
        <v>2.0730664736304849E-4</v>
      </c>
      <c r="E320" s="343">
        <v>1.4756784270245028E-2</v>
      </c>
      <c r="F320" s="343">
        <v>5.987711515473973E-2</v>
      </c>
      <c r="G320" s="343">
        <v>0.10981795946190771</v>
      </c>
      <c r="H320" s="343">
        <v>0.1524308873494846</v>
      </c>
      <c r="I320" s="343">
        <v>0.18061438274032088</v>
      </c>
      <c r="J320" s="343">
        <v>0.19233683478324767</v>
      </c>
      <c r="K320" s="343">
        <v>0.20485073334898854</v>
      </c>
      <c r="L320" s="379">
        <v>0.22717633032249757</v>
      </c>
      <c r="M320" s="282">
        <f t="shared" si="149"/>
        <v>5.8372893208671631E-2</v>
      </c>
      <c r="N320" s="284">
        <f t="shared" si="150"/>
        <v>3.3982255903077838E-2</v>
      </c>
      <c r="O320" s="342">
        <v>0</v>
      </c>
      <c r="P320" s="343">
        <v>1.1013161706855223E-6</v>
      </c>
      <c r="Q320" s="343">
        <v>1.8396826185814342E-4</v>
      </c>
      <c r="R320" s="343">
        <v>5.9424155860202175E-4</v>
      </c>
      <c r="S320" s="343">
        <v>8.9223999358289388E-4</v>
      </c>
      <c r="T320" s="343">
        <v>1.0572032055484939E-3</v>
      </c>
      <c r="U320" s="343">
        <v>1.1173528532384565E-3</v>
      </c>
      <c r="V320" s="343">
        <v>1.1485944797619779E-3</v>
      </c>
      <c r="W320" s="343">
        <v>1.2148410931448307E-3</v>
      </c>
      <c r="X320" s="343">
        <v>1.2202159170647199E-3</v>
      </c>
      <c r="Y320" s="379">
        <v>1.220565581037999E-3</v>
      </c>
      <c r="Z320" s="282">
        <f t="shared" si="151"/>
        <v>2.9846847805154619E-4</v>
      </c>
      <c r="AA320" s="284">
        <f t="shared" si="152"/>
        <v>2.199581280502354E-4</v>
      </c>
      <c r="AB320" s="949">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50">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7">
        <f t="shared" si="159"/>
        <v>0</v>
      </c>
      <c r="AE320" s="938">
        <f t="shared" si="156"/>
        <v>5.8372893208671631E-2</v>
      </c>
      <c r="AF320" s="938">
        <f t="shared" si="157"/>
        <v>2.9846847805154619E-4</v>
      </c>
      <c r="AG320" s="938">
        <f t="shared" si="158"/>
        <v>5.8671361686723177E-2</v>
      </c>
      <c r="AH320" s="1173">
        <f t="shared" si="154"/>
        <v>0.99491287624028191</v>
      </c>
      <c r="AI320" s="938">
        <f t="shared" si="155"/>
        <v>5.0871237597181424E-3</v>
      </c>
    </row>
    <row r="321" spans="1:35" x14ac:dyDescent="0.2">
      <c r="A321" s="330">
        <v>2042</v>
      </c>
      <c r="B321" s="344">
        <v>0</v>
      </c>
      <c r="C321" s="345">
        <v>9.6805775493119054E-5</v>
      </c>
      <c r="D321" s="345">
        <v>4.1226401438570107E-2</v>
      </c>
      <c r="E321" s="345">
        <v>0.13065211076330732</v>
      </c>
      <c r="F321" s="345">
        <v>0.18498394261652693</v>
      </c>
      <c r="G321" s="345">
        <v>0.21094365349315905</v>
      </c>
      <c r="H321" s="345">
        <v>0.2329527888260424</v>
      </c>
      <c r="I321" s="345">
        <v>0.24149875582149555</v>
      </c>
      <c r="J321" s="345">
        <v>0.24362650638055225</v>
      </c>
      <c r="K321" s="345">
        <v>0.24893139172666692</v>
      </c>
      <c r="L321" s="380">
        <v>0.24809791034463496</v>
      </c>
      <c r="M321" s="296">
        <f t="shared" si="149"/>
        <v>0.10746119991132026</v>
      </c>
      <c r="N321" s="298">
        <f t="shared" si="150"/>
        <v>7.4565972993950361E-2</v>
      </c>
      <c r="O321" s="344">
        <v>0</v>
      </c>
      <c r="P321" s="345">
        <v>1.3049604348973774E-4</v>
      </c>
      <c r="Q321" s="345">
        <v>1.1688417904400731E-3</v>
      </c>
      <c r="R321" s="345">
        <v>1.8982949742059651E-3</v>
      </c>
      <c r="S321" s="345">
        <v>2.1200444503573605E-3</v>
      </c>
      <c r="T321" s="345">
        <v>2.2713729593799459E-3</v>
      </c>
      <c r="U321" s="345">
        <v>2.2649253985741954E-3</v>
      </c>
      <c r="V321" s="345">
        <v>2.315803665091082E-3</v>
      </c>
      <c r="W321" s="345">
        <v>2.2844146018372712E-3</v>
      </c>
      <c r="X321" s="345">
        <v>2.292994439740007E-3</v>
      </c>
      <c r="Y321" s="380">
        <v>2.2734876648342998E-3</v>
      </c>
      <c r="Z321" s="296">
        <f t="shared" si="151"/>
        <v>7.1483748094646978E-4</v>
      </c>
      <c r="AA321" s="298">
        <f t="shared" si="152"/>
        <v>5.7825683774066804E-4</v>
      </c>
      <c r="AB321" s="949">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50">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7">
        <f t="shared" si="159"/>
        <v>0</v>
      </c>
      <c r="AE321" s="938">
        <f t="shared" si="156"/>
        <v>0.10746119991132026</v>
      </c>
      <c r="AF321" s="938">
        <f t="shared" si="157"/>
        <v>7.1483748094646978E-4</v>
      </c>
      <c r="AG321" s="938">
        <f t="shared" si="158"/>
        <v>0.10817603739226674</v>
      </c>
      <c r="AH321" s="1173">
        <f t="shared" si="154"/>
        <v>0.99339190547020739</v>
      </c>
      <c r="AI321" s="938">
        <f t="shared" si="155"/>
        <v>6.6080945297925277E-3</v>
      </c>
    </row>
    <row r="322" spans="1:35" x14ac:dyDescent="0.2">
      <c r="A322" s="330">
        <v>2043</v>
      </c>
      <c r="B322" s="344">
        <v>0</v>
      </c>
      <c r="C322" s="345">
        <v>7.1466421749199899E-3</v>
      </c>
      <c r="D322" s="345">
        <v>0.10617680361795204</v>
      </c>
      <c r="E322" s="345">
        <v>0.1857712879480253</v>
      </c>
      <c r="F322" s="345">
        <v>0.2214300036601238</v>
      </c>
      <c r="G322" s="345">
        <v>0.23749022421585689</v>
      </c>
      <c r="H322" s="345">
        <v>0.24883374469039124</v>
      </c>
      <c r="I322" s="345">
        <v>0.25007303147633303</v>
      </c>
      <c r="J322" s="345">
        <v>0.25584432903141002</v>
      </c>
      <c r="K322" s="345">
        <v>0.25239547791360495</v>
      </c>
      <c r="L322" s="380">
        <v>0.25380322260239108</v>
      </c>
      <c r="M322" s="296">
        <f t="shared" si="149"/>
        <v>0.12528056800256557</v>
      </c>
      <c r="N322" s="298">
        <f t="shared" si="150"/>
        <v>9.2915889003938101E-2</v>
      </c>
      <c r="O322" s="344">
        <v>0</v>
      </c>
      <c r="P322" s="345">
        <v>8.7531970296663558E-4</v>
      </c>
      <c r="Q322" s="345">
        <v>2.6946486655296622E-3</v>
      </c>
      <c r="R322" s="345">
        <v>3.5582315665741403E-3</v>
      </c>
      <c r="S322" s="345">
        <v>3.917682589781344E-3</v>
      </c>
      <c r="T322" s="345">
        <v>3.9540699231221813E-3</v>
      </c>
      <c r="U322" s="345">
        <v>4.0382350028394355E-3</v>
      </c>
      <c r="V322" s="345">
        <v>4.0127456037815246E-3</v>
      </c>
      <c r="W322" s="345">
        <v>3.9417557514647445E-3</v>
      </c>
      <c r="X322" s="345">
        <v>3.9273096457831738E-3</v>
      </c>
      <c r="Y322" s="380">
        <v>3.8996981374594141E-3</v>
      </c>
      <c r="Z322" s="296">
        <f t="shared" si="151"/>
        <v>1.32972117460381E-3</v>
      </c>
      <c r="AA322" s="298">
        <f t="shared" si="152"/>
        <v>1.12857342302367E-3</v>
      </c>
      <c r="AB322" s="949">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50">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7">
        <f t="shared" si="159"/>
        <v>0</v>
      </c>
      <c r="AE322" s="938">
        <f t="shared" si="156"/>
        <v>0.12528056800256557</v>
      </c>
      <c r="AF322" s="938">
        <f t="shared" si="157"/>
        <v>1.32972117460381E-3</v>
      </c>
      <c r="AG322" s="938">
        <f t="shared" si="158"/>
        <v>0.12661028917716938</v>
      </c>
      <c r="AH322" s="1173">
        <f t="shared" si="154"/>
        <v>0.98949752675516689</v>
      </c>
      <c r="AI322" s="938">
        <f t="shared" si="155"/>
        <v>1.0502473244833154E-2</v>
      </c>
    </row>
    <row r="323" spans="1:35" x14ac:dyDescent="0.2">
      <c r="A323" s="330">
        <v>2044</v>
      </c>
      <c r="B323" s="344">
        <v>0</v>
      </c>
      <c r="C323" s="345">
        <v>3.7028690567143696E-2</v>
      </c>
      <c r="D323" s="345">
        <v>0.1437623768390334</v>
      </c>
      <c r="E323" s="345">
        <v>0.22300305297472012</v>
      </c>
      <c r="F323" s="345">
        <v>0.23744456287960397</v>
      </c>
      <c r="G323" s="345">
        <v>0.2510053578811795</v>
      </c>
      <c r="H323" s="345">
        <v>0.25260384711971051</v>
      </c>
      <c r="I323" s="345">
        <v>0.2573693033096856</v>
      </c>
      <c r="J323" s="345">
        <v>0.25643408902348114</v>
      </c>
      <c r="K323" s="345">
        <v>0.25492018449894288</v>
      </c>
      <c r="L323" s="380">
        <v>0.25344451457787792</v>
      </c>
      <c r="M323" s="296">
        <f t="shared" si="149"/>
        <v>0.13552539636991168</v>
      </c>
      <c r="N323" s="298">
        <f t="shared" si="150"/>
        <v>0.10535787778690517</v>
      </c>
      <c r="O323" s="344">
        <v>2.3609901885289182E-5</v>
      </c>
      <c r="P323" s="345">
        <v>1.951746113283476E-3</v>
      </c>
      <c r="Q323" s="345">
        <v>3.7025991538411282E-3</v>
      </c>
      <c r="R323" s="345">
        <v>4.9375647461065196E-3</v>
      </c>
      <c r="S323" s="345">
        <v>5.101373645811349E-3</v>
      </c>
      <c r="T323" s="345">
        <v>5.1289678972414772E-3</v>
      </c>
      <c r="U323" s="345">
        <v>5.107114271272503E-3</v>
      </c>
      <c r="V323" s="345">
        <v>5.1183699866073056E-3</v>
      </c>
      <c r="W323" s="345">
        <v>5.0624582910324279E-3</v>
      </c>
      <c r="X323" s="345">
        <v>5.0319749548754789E-3</v>
      </c>
      <c r="Y323" s="380">
        <v>5.0014017750557183E-3</v>
      </c>
      <c r="Z323" s="296">
        <f t="shared" si="151"/>
        <v>1.7688534285220895E-3</v>
      </c>
      <c r="AA323" s="298">
        <f t="shared" si="152"/>
        <v>1.5509982514444139E-3</v>
      </c>
      <c r="AB323" s="949">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50">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7">
        <f t="shared" si="159"/>
        <v>0</v>
      </c>
      <c r="AE323" s="938">
        <f t="shared" si="156"/>
        <v>0.13552539636991168</v>
      </c>
      <c r="AF323" s="938">
        <f t="shared" si="157"/>
        <v>1.7688534285220895E-3</v>
      </c>
      <c r="AG323" s="938">
        <f t="shared" si="158"/>
        <v>0.13729424979843377</v>
      </c>
      <c r="AH323" s="1173">
        <f t="shared" si="154"/>
        <v>0.987116332758881</v>
      </c>
      <c r="AI323" s="938">
        <f t="shared" si="155"/>
        <v>1.2883667241118996E-2</v>
      </c>
    </row>
    <row r="324" spans="1:35" ht="15" thickBot="1" x14ac:dyDescent="0.25">
      <c r="A324" s="328">
        <v>2045</v>
      </c>
      <c r="B324" s="346">
        <v>0</v>
      </c>
      <c r="C324" s="347">
        <v>0.12936748257397174</v>
      </c>
      <c r="D324" s="347">
        <v>0.21476249879101952</v>
      </c>
      <c r="E324" s="347">
        <v>0.26436505696200119</v>
      </c>
      <c r="F324" s="347">
        <v>0.26154197621670439</v>
      </c>
      <c r="G324" s="347">
        <v>0.26229226584372439</v>
      </c>
      <c r="H324" s="347">
        <v>0.26256866391380118</v>
      </c>
      <c r="I324" s="347">
        <v>0.2588483717079168</v>
      </c>
      <c r="J324" s="347">
        <v>0.25624041232723066</v>
      </c>
      <c r="K324" s="347">
        <v>0.25489168612818397</v>
      </c>
      <c r="L324" s="381">
        <v>0.25265136591768439</v>
      </c>
      <c r="M324" s="310">
        <f t="shared" si="149"/>
        <v>0.15127703311425775</v>
      </c>
      <c r="N324" s="312">
        <f t="shared" si="150"/>
        <v>0.12772779261073441</v>
      </c>
      <c r="O324" s="346">
        <v>1.1468302427560554E-3</v>
      </c>
      <c r="P324" s="347">
        <v>4.206343713504682E-3</v>
      </c>
      <c r="Q324" s="347">
        <v>5.778534076570311E-3</v>
      </c>
      <c r="R324" s="347">
        <v>7.9979771237258229E-3</v>
      </c>
      <c r="S324" s="347">
        <v>8.1930220720691505E-3</v>
      </c>
      <c r="T324" s="347">
        <v>8.2534302930645873E-3</v>
      </c>
      <c r="U324" s="347">
        <v>8.2410885603556947E-3</v>
      </c>
      <c r="V324" s="347">
        <v>8.1996328091682794E-3</v>
      </c>
      <c r="W324" s="347">
        <v>8.0979903607219846E-3</v>
      </c>
      <c r="X324" s="347">
        <v>8.0572502500548364E-3</v>
      </c>
      <c r="Y324" s="381">
        <v>8.0168071892867693E-3</v>
      </c>
      <c r="Z324" s="310">
        <f t="shared" si="151"/>
        <v>2.8783795304963351E-3</v>
      </c>
      <c r="AA324" s="312">
        <f t="shared" si="152"/>
        <v>2.6093493974517598E-3</v>
      </c>
      <c r="AB324" s="949">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50">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7">
        <f t="shared" si="159"/>
        <v>0</v>
      </c>
      <c r="AE324" s="938">
        <f t="shared" si="156"/>
        <v>0.15127703311425775</v>
      </c>
      <c r="AF324" s="938">
        <f t="shared" si="157"/>
        <v>2.8783795304963351E-3</v>
      </c>
      <c r="AG324" s="938">
        <f t="shared" si="158"/>
        <v>0.15415541264475408</v>
      </c>
      <c r="AH324" s="1173">
        <f t="shared" si="154"/>
        <v>0.98132806703888198</v>
      </c>
      <c r="AI324" s="938">
        <f t="shared" si="155"/>
        <v>1.8671932961118031E-2</v>
      </c>
    </row>
    <row r="325" spans="1:35" x14ac:dyDescent="0.2">
      <c r="A325" s="329">
        <v>2046</v>
      </c>
      <c r="B325" s="342">
        <v>4.1719521272401568E-4</v>
      </c>
      <c r="C325" s="343">
        <v>0.18134679912774282</v>
      </c>
      <c r="D325" s="343">
        <v>0.22660250502943458</v>
      </c>
      <c r="E325" s="343">
        <v>0.27125097050639585</v>
      </c>
      <c r="F325" s="343">
        <v>0.27600577446972741</v>
      </c>
      <c r="G325" s="343">
        <v>0.26618636804419771</v>
      </c>
      <c r="H325" s="343">
        <v>0.26114158258038533</v>
      </c>
      <c r="I325" s="343">
        <v>0.25773529519297744</v>
      </c>
      <c r="J325" s="343">
        <v>0.25530844271445058</v>
      </c>
      <c r="K325" s="343">
        <v>0.25414427664090844</v>
      </c>
      <c r="L325" s="379">
        <v>0.25279993923924821</v>
      </c>
      <c r="M325" s="282">
        <f t="shared" si="149"/>
        <v>0.15625280848821377</v>
      </c>
      <c r="N325" s="284">
        <f t="shared" si="150"/>
        <v>0.13576646257415856</v>
      </c>
      <c r="O325" s="342">
        <v>3.7142705793379756E-3</v>
      </c>
      <c r="P325" s="343">
        <v>9.1336209256443722E-3</v>
      </c>
      <c r="Q325" s="343">
        <v>8.6156852834560101E-3</v>
      </c>
      <c r="R325" s="343">
        <v>1.2266157267769653E-2</v>
      </c>
      <c r="S325" s="343">
        <v>1.2675193247913958E-2</v>
      </c>
      <c r="T325" s="343">
        <v>1.2688405559420135E-2</v>
      </c>
      <c r="U325" s="343">
        <v>1.2639923021299916E-2</v>
      </c>
      <c r="V325" s="343">
        <v>1.2588183153829377E-2</v>
      </c>
      <c r="W325" s="343">
        <v>1.2456420430584779E-2</v>
      </c>
      <c r="X325" s="343">
        <v>1.2469623473502413E-2</v>
      </c>
      <c r="Y325" s="379">
        <v>1.2359417113203304E-2</v>
      </c>
      <c r="Z325" s="282">
        <f t="shared" si="151"/>
        <v>4.5078615157715142E-3</v>
      </c>
      <c r="AA325" s="284">
        <f t="shared" si="152"/>
        <v>4.2669684163656055E-3</v>
      </c>
      <c r="AB325" s="949">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50">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7">
        <f t="shared" si="159"/>
        <v>0</v>
      </c>
      <c r="AE325" s="938">
        <f t="shared" si="156"/>
        <v>0.15625280848821377</v>
      </c>
      <c r="AF325" s="938">
        <f t="shared" si="157"/>
        <v>4.5078615157715142E-3</v>
      </c>
      <c r="AG325" s="938">
        <f t="shared" si="158"/>
        <v>0.16076067000398528</v>
      </c>
      <c r="AH325" s="1173">
        <f t="shared" si="154"/>
        <v>0.97195917685799793</v>
      </c>
      <c r="AI325" s="938">
        <f t="shared" si="155"/>
        <v>2.8040823142002107E-2</v>
      </c>
    </row>
    <row r="326" spans="1:35" x14ac:dyDescent="0.2">
      <c r="A326" s="330">
        <v>2047</v>
      </c>
      <c r="B326" s="344">
        <v>4.6724986573000631E-3</v>
      </c>
      <c r="C326" s="345">
        <v>0.23699547812495622</v>
      </c>
      <c r="D326" s="345">
        <v>0.25306494717164513</v>
      </c>
      <c r="E326" s="345">
        <v>0.28631894424003723</v>
      </c>
      <c r="F326" s="345">
        <v>0.27567728616114689</v>
      </c>
      <c r="G326" s="345">
        <v>0.26829066153441267</v>
      </c>
      <c r="H326" s="345">
        <v>0.26130450712396863</v>
      </c>
      <c r="I326" s="345">
        <v>0.25812170136331841</v>
      </c>
      <c r="J326" s="345">
        <v>0.25569117651275897</v>
      </c>
      <c r="K326" s="345">
        <v>0.25452484081674465</v>
      </c>
      <c r="L326" s="380">
        <v>0.25240181651707438</v>
      </c>
      <c r="M326" s="296">
        <f t="shared" si="149"/>
        <v>0.1612317242706432</v>
      </c>
      <c r="N326" s="298">
        <f t="shared" si="150"/>
        <v>0.14484147610820597</v>
      </c>
      <c r="O326" s="344">
        <v>1.1878730839740859E-2</v>
      </c>
      <c r="P326" s="345">
        <v>1.5523753716775364E-2</v>
      </c>
      <c r="Q326" s="345">
        <v>1.2727244229777097E-2</v>
      </c>
      <c r="R326" s="345">
        <v>1.8525781109138283E-2</v>
      </c>
      <c r="S326" s="345">
        <v>1.8612375204771422E-2</v>
      </c>
      <c r="T326" s="345">
        <v>1.8737078851304993E-2</v>
      </c>
      <c r="U326" s="345">
        <v>1.868445498735978E-2</v>
      </c>
      <c r="V326" s="345">
        <v>1.8627252930850595E-2</v>
      </c>
      <c r="W326" s="345">
        <v>1.8564190612015228E-2</v>
      </c>
      <c r="X326" s="345">
        <v>1.8491743010073735E-2</v>
      </c>
      <c r="Y326" s="380">
        <v>1.8420814593937063E-2</v>
      </c>
      <c r="Z326" s="296">
        <f t="shared" si="151"/>
        <v>6.788917316221053E-3</v>
      </c>
      <c r="AA326" s="298">
        <f t="shared" si="152"/>
        <v>6.7555747202220889E-3</v>
      </c>
      <c r="AB326" s="949">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50">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7">
        <f t="shared" si="159"/>
        <v>0</v>
      </c>
      <c r="AE326" s="938">
        <f t="shared" si="156"/>
        <v>0.1612317242706432</v>
      </c>
      <c r="AF326" s="938">
        <f t="shared" si="157"/>
        <v>6.788917316221053E-3</v>
      </c>
      <c r="AG326" s="938">
        <f t="shared" si="158"/>
        <v>0.16802064158686425</v>
      </c>
      <c r="AH326" s="1173">
        <f t="shared" si="154"/>
        <v>0.95959474233580233</v>
      </c>
      <c r="AI326" s="938">
        <f t="shared" si="155"/>
        <v>4.0405257664197648E-2</v>
      </c>
    </row>
    <row r="327" spans="1:35" x14ac:dyDescent="0.2">
      <c r="A327" s="330">
        <v>2048</v>
      </c>
      <c r="B327" s="344">
        <v>2.3464137653381331E-2</v>
      </c>
      <c r="C327" s="345">
        <v>0.31106319987127401</v>
      </c>
      <c r="D327" s="345">
        <v>0.26756064543715896</v>
      </c>
      <c r="E327" s="345">
        <v>0.29181486641631738</v>
      </c>
      <c r="F327" s="345">
        <v>0.27762646727252832</v>
      </c>
      <c r="G327" s="345">
        <v>0.26823957844130569</v>
      </c>
      <c r="H327" s="345">
        <v>0.26009882919725791</v>
      </c>
      <c r="I327" s="345">
        <v>0.25710602813153249</v>
      </c>
      <c r="J327" s="345">
        <v>0.25487138792028663</v>
      </c>
      <c r="K327" s="345">
        <v>0.25390691380055613</v>
      </c>
      <c r="L327" s="380">
        <v>0.25274500542906014</v>
      </c>
      <c r="M327" s="296">
        <f t="shared" si="149"/>
        <v>0.16532115523201768</v>
      </c>
      <c r="N327" s="298">
        <f t="shared" si="150"/>
        <v>0.15416673757140878</v>
      </c>
      <c r="O327" s="344">
        <v>2.9614546561406371E-2</v>
      </c>
      <c r="P327" s="345">
        <v>2.1639007944373793E-2</v>
      </c>
      <c r="Q327" s="345">
        <v>1.6383970522102158E-2</v>
      </c>
      <c r="R327" s="345">
        <v>2.2195827879989204E-2</v>
      </c>
      <c r="S327" s="345">
        <v>2.2484729576648595E-2</v>
      </c>
      <c r="T327" s="345">
        <v>2.2569134887884756E-2</v>
      </c>
      <c r="U327" s="345">
        <v>2.2507432971885625E-2</v>
      </c>
      <c r="V327" s="345">
        <v>2.2439858270060564E-2</v>
      </c>
      <c r="W327" s="345">
        <v>2.225380096706054E-2</v>
      </c>
      <c r="X327" s="345">
        <v>2.2278155887505903E-2</v>
      </c>
      <c r="Y327" s="380">
        <v>2.2192988684667916E-2</v>
      </c>
      <c r="Z327" s="296">
        <f t="shared" si="151"/>
        <v>8.4239197309595344E-3</v>
      </c>
      <c r="AA327" s="298">
        <f t="shared" si="152"/>
        <v>9.1012412809865322E-3</v>
      </c>
      <c r="AB327" s="949">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50">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7">
        <f t="shared" si="159"/>
        <v>0</v>
      </c>
      <c r="AE327" s="938">
        <f t="shared" si="156"/>
        <v>0.16532115523201768</v>
      </c>
      <c r="AF327" s="938">
        <f t="shared" si="157"/>
        <v>8.4239197309595344E-3</v>
      </c>
      <c r="AG327" s="938">
        <f t="shared" si="158"/>
        <v>0.17374507496297723</v>
      </c>
      <c r="AH327" s="1173">
        <f t="shared" si="154"/>
        <v>0.95151563442730924</v>
      </c>
      <c r="AI327" s="938">
        <f t="shared" si="155"/>
        <v>4.8484365572690681E-2</v>
      </c>
    </row>
    <row r="328" spans="1:35" x14ac:dyDescent="0.2">
      <c r="A328" s="330">
        <v>2049</v>
      </c>
      <c r="B328" s="344">
        <v>7.2385177442702786E-2</v>
      </c>
      <c r="C328" s="345">
        <v>0.36754724825907598</v>
      </c>
      <c r="D328" s="345">
        <v>0.27575644876507249</v>
      </c>
      <c r="E328" s="345">
        <v>0.298317024885214</v>
      </c>
      <c r="F328" s="345">
        <v>0.27734252054651648</v>
      </c>
      <c r="G328" s="345">
        <v>0.26677627425471329</v>
      </c>
      <c r="H328" s="345">
        <v>0.26041759286176147</v>
      </c>
      <c r="I328" s="345">
        <v>0.25742121273399388</v>
      </c>
      <c r="J328" s="345">
        <v>0.25518378516888468</v>
      </c>
      <c r="K328" s="345">
        <v>0.25379500686588868</v>
      </c>
      <c r="L328" s="380">
        <v>0.2530542928224046</v>
      </c>
      <c r="M328" s="296">
        <f t="shared" si="149"/>
        <v>0.16858057962677167</v>
      </c>
      <c r="N328" s="298">
        <f t="shared" si="150"/>
        <v>0.16245530650180284</v>
      </c>
      <c r="O328" s="344">
        <v>6.6367682245331946E-2</v>
      </c>
      <c r="P328" s="345">
        <v>3.1838138874131963E-2</v>
      </c>
      <c r="Q328" s="345">
        <v>2.3204780517641743E-2</v>
      </c>
      <c r="R328" s="345">
        <v>3.1027375696424744E-2</v>
      </c>
      <c r="S328" s="345">
        <v>3.1424731714543352E-2</v>
      </c>
      <c r="T328" s="345">
        <v>3.1625468357962684E-2</v>
      </c>
      <c r="U328" s="345">
        <v>3.1574719687910126E-2</v>
      </c>
      <c r="V328" s="345">
        <v>3.1515946429322123E-2</v>
      </c>
      <c r="W328" s="345">
        <v>3.1447263443650675E-2</v>
      </c>
      <c r="X328" s="345">
        <v>3.1363067479185484E-2</v>
      </c>
      <c r="Y328" s="380">
        <v>3.1363067479185484E-2</v>
      </c>
      <c r="Z328" s="296">
        <f t="shared" si="151"/>
        <v>1.2057442212828671E-2</v>
      </c>
      <c r="AA328" s="298">
        <f t="shared" si="152"/>
        <v>1.4009028207018558E-2</v>
      </c>
      <c r="AB328" s="949">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50">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7">
        <f t="shared" si="159"/>
        <v>0</v>
      </c>
      <c r="AE328" s="938">
        <f t="shared" si="156"/>
        <v>0.16858057962677167</v>
      </c>
      <c r="AF328" s="938">
        <f t="shared" si="157"/>
        <v>1.2057442212828671E-2</v>
      </c>
      <c r="AG328" s="938">
        <f t="shared" si="158"/>
        <v>0.18063802183960034</v>
      </c>
      <c r="AH328" s="1173">
        <f t="shared" si="154"/>
        <v>0.93325080683437056</v>
      </c>
      <c r="AI328" s="938">
        <f t="shared" si="155"/>
        <v>6.6749193165629425E-2</v>
      </c>
    </row>
    <row r="329" spans="1:35" ht="15" thickBot="1" x14ac:dyDescent="0.25">
      <c r="A329" s="328">
        <v>2050</v>
      </c>
      <c r="B329" s="346">
        <v>0.16887158056055518</v>
      </c>
      <c r="C329" s="347">
        <v>0.42117211744637945</v>
      </c>
      <c r="D329" s="347">
        <v>0.28755699083476577</v>
      </c>
      <c r="E329" s="347">
        <v>0.29999718197621761</v>
      </c>
      <c r="F329" s="347">
        <v>0.27764267140157556</v>
      </c>
      <c r="G329" s="347">
        <v>0.26706595276622219</v>
      </c>
      <c r="H329" s="347">
        <v>0.26070147609967864</v>
      </c>
      <c r="I329" s="347">
        <v>0.25652008652376201</v>
      </c>
      <c r="J329" s="347">
        <v>0.25449442154407148</v>
      </c>
      <c r="K329" s="347">
        <v>0.25407137618000386</v>
      </c>
      <c r="L329" s="381">
        <v>0.2533295529601749</v>
      </c>
      <c r="M329" s="310">
        <f t="shared" si="149"/>
        <v>0.17193235059419881</v>
      </c>
      <c r="N329" s="312">
        <f t="shared" si="150"/>
        <v>0.17234583280725427</v>
      </c>
      <c r="O329" s="346">
        <v>0.12007777113079528</v>
      </c>
      <c r="P329" s="347">
        <v>3.7109144267757958E-2</v>
      </c>
      <c r="Q329" s="347">
        <v>2.8207200970111569E-2</v>
      </c>
      <c r="R329" s="347">
        <v>3.6382282396314379E-2</v>
      </c>
      <c r="S329" s="347">
        <v>3.686916050353431E-2</v>
      </c>
      <c r="T329" s="347">
        <v>3.7119044154945262E-2</v>
      </c>
      <c r="U329" s="347">
        <v>3.706330052641927E-2</v>
      </c>
      <c r="V329" s="347">
        <v>3.6997301213068878E-2</v>
      </c>
      <c r="W329" s="347">
        <v>3.6918809502011513E-2</v>
      </c>
      <c r="X329" s="347">
        <v>3.6821158184697465E-2</v>
      </c>
      <c r="Y329" s="381">
        <v>3.6728394851719783E-2</v>
      </c>
      <c r="Z329" s="310">
        <f t="shared" si="151"/>
        <v>1.4523766436330255E-2</v>
      </c>
      <c r="AA329" s="312">
        <f t="shared" si="152"/>
        <v>1.8424519052455842E-2</v>
      </c>
      <c r="AB329" s="951">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2">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8">
        <f t="shared" si="159"/>
        <v>0</v>
      </c>
      <c r="AE329" s="938">
        <f t="shared" ref="AE329" si="160">SUMPRODUCT($B$74:$L$74,B329:L329)</f>
        <v>0.17193235059419881</v>
      </c>
      <c r="AF329" s="938">
        <f t="shared" ref="AF329" si="161">SUMPRODUCT($O$74:$Y$74,O329:Y329)</f>
        <v>1.4523766436330255E-2</v>
      </c>
      <c r="AG329" s="938">
        <f t="shared" ref="AG329" si="162">SUM(AE329:AF329)</f>
        <v>0.18645611703052906</v>
      </c>
      <c r="AH329" s="1173">
        <f t="shared" ref="AH329" si="163">IF(AG329&gt;0,AE329/AG329,0)</f>
        <v>0.92210624854988144</v>
      </c>
      <c r="AI329" s="938">
        <f t="shared" ref="AI329" si="164">IF(AG329&gt;0,AF329/AG329,0)</f>
        <v>7.7893751450118592E-2</v>
      </c>
    </row>
    <row r="330" spans="1:35" x14ac:dyDescent="0.2">
      <c r="B330" s="227" t="str">
        <f>B$120</f>
        <v>Output generated: 7/21/2020 15:48</v>
      </c>
      <c r="O330" s="227" t="str">
        <f>O$120</f>
        <v>Output generated: 7/21/2020 15:48</v>
      </c>
    </row>
  </sheetData>
  <mergeCells count="47">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 ref="AX19:BB19"/>
    <mergeCell ref="AS19:AW19"/>
    <mergeCell ref="AN19:AR19"/>
    <mergeCell ref="BC19:BH19"/>
    <mergeCell ref="AI19:AM19"/>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B3:C3"/>
    <mergeCell ref="L3:O3"/>
    <mergeCell ref="B4:C4"/>
    <mergeCell ref="L4:O4"/>
    <mergeCell ref="L5:O5"/>
    <mergeCell ref="B71:L71"/>
    <mergeCell ref="O71:Y71"/>
    <mergeCell ref="B122:N122"/>
    <mergeCell ref="O122:AA122"/>
    <mergeCell ref="B5:C5"/>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4" zoomScale="80" zoomScaleNormal="80" workbookViewId="0">
      <selection activeCell="S10" sqref="S10"/>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62" t="s">
        <v>53</v>
      </c>
      <c r="C3" s="1563"/>
      <c r="D3" s="236">
        <v>7.4999999999999997E-2</v>
      </c>
      <c r="F3"/>
      <c r="G3"/>
      <c r="H3"/>
      <c r="L3" s="227" t="s">
        <v>374</v>
      </c>
      <c r="N3" s="227" t="s">
        <v>127</v>
      </c>
      <c r="P3" s="1567" t="s">
        <v>204</v>
      </c>
      <c r="Q3" s="1568"/>
      <c r="R3" s="1568"/>
      <c r="S3" s="1568"/>
      <c r="T3" s="1568"/>
      <c r="U3" s="1569"/>
      <c r="Y3" s="216"/>
      <c r="AI3" s="227"/>
      <c r="AJ3" s="227"/>
      <c r="AK3" s="227"/>
      <c r="AL3" s="227"/>
      <c r="AM3" s="227"/>
    </row>
    <row r="4" spans="2:64" x14ac:dyDescent="0.2">
      <c r="B4" s="1562" t="s">
        <v>104</v>
      </c>
      <c r="C4" s="1563"/>
      <c r="D4" s="225" t="s">
        <v>111</v>
      </c>
      <c r="F4"/>
      <c r="G4"/>
      <c r="H4"/>
      <c r="N4" s="227" t="s">
        <v>126</v>
      </c>
      <c r="P4" s="1572">
        <v>44033.659004629626</v>
      </c>
      <c r="Q4" s="1568"/>
      <c r="R4" s="1568"/>
      <c r="S4" s="1568"/>
      <c r="T4" s="1568"/>
      <c r="U4" s="1569"/>
      <c r="V4" s="227" t="s">
        <v>186</v>
      </c>
      <c r="AI4" s="227"/>
      <c r="AJ4" s="227"/>
      <c r="AK4" s="227"/>
      <c r="AL4" s="227"/>
      <c r="AM4" s="227"/>
    </row>
    <row r="5" spans="2:64" x14ac:dyDescent="0.2">
      <c r="B5" s="1562" t="s">
        <v>118</v>
      </c>
      <c r="C5" s="1563"/>
      <c r="D5" s="225" t="s">
        <v>15</v>
      </c>
      <c r="F5"/>
      <c r="G5"/>
      <c r="H5"/>
      <c r="P5" s="1572">
        <v>44033.659004629626</v>
      </c>
      <c r="Q5" s="1568"/>
      <c r="R5" s="1568"/>
      <c r="S5" s="1568"/>
      <c r="T5" s="1568"/>
      <c r="U5" s="1569"/>
      <c r="V5" s="227" t="s">
        <v>15</v>
      </c>
      <c r="AI5" s="227"/>
      <c r="AJ5" s="227"/>
      <c r="AK5" s="227"/>
      <c r="AL5" s="227"/>
      <c r="AM5" s="227"/>
    </row>
    <row r="6" spans="2:64" x14ac:dyDescent="0.2">
      <c r="B6" s="1562" t="s">
        <v>68</v>
      </c>
      <c r="C6" s="1563"/>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8" customFormat="1" ht="28.5" customHeight="1" x14ac:dyDescent="0.15">
      <c r="B9" s="1060"/>
      <c r="C9" s="1061"/>
      <c r="D9" s="1062"/>
      <c r="E9" s="1062"/>
      <c r="F9" s="1060"/>
      <c r="G9" s="1063"/>
      <c r="H9" s="1064"/>
      <c r="I9" s="1064"/>
      <c r="J9" s="1538" t="s">
        <v>76</v>
      </c>
      <c r="K9" s="1539"/>
      <c r="L9" s="1584" t="s">
        <v>83</v>
      </c>
      <c r="M9" s="1585"/>
      <c r="N9" s="1584" t="s">
        <v>109</v>
      </c>
      <c r="O9" s="1586"/>
      <c r="P9" s="1586"/>
      <c r="Q9" s="1585"/>
      <c r="R9" s="1065"/>
      <c r="S9" s="1066"/>
      <c r="T9" s="1067"/>
      <c r="AD9" s="1069"/>
      <c r="AG9" s="1070"/>
      <c r="AH9" s="1070"/>
      <c r="AI9" s="1070"/>
      <c r="AJ9" s="1071"/>
      <c r="BF9" s="1072"/>
      <c r="BG9" s="1072"/>
      <c r="BH9" s="1072"/>
      <c r="BI9" s="1072"/>
      <c r="BJ9" s="1072"/>
      <c r="BK9" s="1072"/>
    </row>
    <row r="10" spans="2:64" s="240" customFormat="1" ht="39" customHeight="1" thickBot="1" x14ac:dyDescent="0.25">
      <c r="B10" s="273"/>
      <c r="C10" s="608" t="s">
        <v>75</v>
      </c>
      <c r="D10" s="591"/>
      <c r="E10" s="591"/>
      <c r="F10" s="731" t="s">
        <v>211</v>
      </c>
      <c r="G10" s="732" t="s">
        <v>210</v>
      </c>
      <c r="H10" s="836" t="s">
        <v>264</v>
      </c>
      <c r="I10" s="741" t="s">
        <v>81</v>
      </c>
      <c r="J10" s="1114" t="s">
        <v>283</v>
      </c>
      <c r="K10" s="1115"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6"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7" t="b">
        <f t="shared" si="1"/>
        <v>0</v>
      </c>
      <c r="I12" s="743">
        <f t="shared" si="1"/>
        <v>2021</v>
      </c>
      <c r="J12" s="739">
        <f t="shared" si="1"/>
        <v>0</v>
      </c>
      <c r="K12" s="237">
        <f t="shared" si="1"/>
        <v>0.5</v>
      </c>
      <c r="L12" s="237">
        <f t="shared" si="1"/>
        <v>5000</v>
      </c>
      <c r="M12" s="237">
        <f t="shared" si="1"/>
        <v>100</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ISG</v>
      </c>
      <c r="D13" s="585"/>
      <c r="E13" s="585"/>
      <c r="F13" s="725" t="str">
        <f t="shared" si="1"/>
        <v>Diesel</v>
      </c>
      <c r="G13" s="726" t="str">
        <f t="shared" si="1"/>
        <v>N/A</v>
      </c>
      <c r="H13" s="887" t="b">
        <f t="shared" si="1"/>
        <v>0</v>
      </c>
      <c r="I13" s="743">
        <f t="shared" si="1"/>
        <v>2021</v>
      </c>
      <c r="J13" s="739">
        <f t="shared" si="1"/>
        <v>0</v>
      </c>
      <c r="K13" s="237">
        <f t="shared" si="1"/>
        <v>0.5</v>
      </c>
      <c r="L13" s="237">
        <f t="shared" si="1"/>
        <v>5000</v>
      </c>
      <c r="M13" s="237">
        <f t="shared" si="1"/>
        <v>100</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HEV</v>
      </c>
      <c r="D14" s="585"/>
      <c r="E14" s="585"/>
      <c r="F14" s="725" t="str">
        <f t="shared" si="1"/>
        <v>Diesel</v>
      </c>
      <c r="G14" s="726" t="str">
        <f t="shared" si="1"/>
        <v>N/A</v>
      </c>
      <c r="H14" s="887" t="b">
        <f t="shared" si="1"/>
        <v>0</v>
      </c>
      <c r="I14" s="743">
        <f t="shared" si="1"/>
        <v>2021</v>
      </c>
      <c r="J14" s="739">
        <f t="shared" si="1"/>
        <v>0</v>
      </c>
      <c r="K14" s="237">
        <f t="shared" si="1"/>
        <v>0.5</v>
      </c>
      <c r="L14" s="237">
        <f t="shared" si="1"/>
        <v>5000</v>
      </c>
      <c r="M14" s="237">
        <f t="shared" si="1"/>
        <v>100</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PHEV</v>
      </c>
      <c r="D15" s="587"/>
      <c r="E15" s="587"/>
      <c r="F15" s="727" t="str">
        <f t="shared" si="1"/>
        <v>Diesel</v>
      </c>
      <c r="G15" s="728" t="str">
        <f t="shared" si="1"/>
        <v>Electricity</v>
      </c>
      <c r="H15" s="887" t="b">
        <f t="shared" si="1"/>
        <v>0</v>
      </c>
      <c r="I15" s="743">
        <f t="shared" si="1"/>
        <v>2021</v>
      </c>
      <c r="J15" s="739">
        <f t="shared" si="1"/>
        <v>0</v>
      </c>
      <c r="K15" s="237">
        <f t="shared" si="1"/>
        <v>0.5</v>
      </c>
      <c r="L15" s="237">
        <f t="shared" si="1"/>
        <v>5000</v>
      </c>
      <c r="M15" s="237">
        <f t="shared" si="1"/>
        <v>100</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t="str">
        <f t="shared" si="0"/>
        <v>BEV</v>
      </c>
      <c r="D16" s="581"/>
      <c r="E16" s="581"/>
      <c r="F16" s="263" t="str">
        <f t="shared" si="1"/>
        <v>Electricity</v>
      </c>
      <c r="G16" s="262" t="str">
        <f t="shared" si="1"/>
        <v>N/A</v>
      </c>
      <c r="H16" s="888" t="b">
        <f t="shared" si="1"/>
        <v>1</v>
      </c>
      <c r="I16" s="744">
        <f t="shared" si="1"/>
        <v>2021</v>
      </c>
      <c r="J16" s="740">
        <f t="shared" si="1"/>
        <v>0</v>
      </c>
      <c r="K16" s="264">
        <f t="shared" si="1"/>
        <v>0.5</v>
      </c>
      <c r="L16" s="264">
        <f t="shared" si="1"/>
        <v>5000</v>
      </c>
      <c r="M16" s="264">
        <f t="shared" si="1"/>
        <v>100</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6" thickBot="1" x14ac:dyDescent="0.25">
      <c r="A19" s="805"/>
      <c r="B19" s="1559" t="s">
        <v>234</v>
      </c>
      <c r="C19" s="1560"/>
      <c r="D19" s="1560"/>
      <c r="E19" s="1560"/>
      <c r="F19" s="1560"/>
      <c r="G19" s="1561"/>
      <c r="H19" s="1559" t="s">
        <v>220</v>
      </c>
      <c r="I19" s="1560"/>
      <c r="J19" s="1560"/>
      <c r="K19" s="1560"/>
      <c r="L19" s="1560"/>
      <c r="M19" s="1561"/>
      <c r="N19" s="1560" t="s">
        <v>71</v>
      </c>
      <c r="O19" s="1560"/>
      <c r="P19" s="1560"/>
      <c r="Q19" s="1560"/>
      <c r="R19" s="1560"/>
      <c r="S19" s="1561"/>
      <c r="T19" s="1559" t="s">
        <v>107</v>
      </c>
      <c r="U19" s="1560"/>
      <c r="V19" s="1560"/>
      <c r="W19" s="1560"/>
      <c r="X19" s="1561"/>
      <c r="Y19" s="1559" t="s">
        <v>72</v>
      </c>
      <c r="Z19" s="1560"/>
      <c r="AA19" s="1560"/>
      <c r="AB19" s="1560"/>
      <c r="AC19" s="1561"/>
      <c r="AD19" s="1559" t="s">
        <v>92</v>
      </c>
      <c r="AE19" s="1560"/>
      <c r="AF19" s="1560"/>
      <c r="AG19" s="1560"/>
      <c r="AH19" s="1561"/>
      <c r="AI19" s="1559" t="s">
        <v>76</v>
      </c>
      <c r="AJ19" s="1560"/>
      <c r="AK19" s="1560"/>
      <c r="AL19" s="1560"/>
      <c r="AM19" s="1561"/>
      <c r="AN19" s="1559" t="s">
        <v>100</v>
      </c>
      <c r="AO19" s="1560"/>
      <c r="AP19" s="1560"/>
      <c r="AQ19" s="1560"/>
      <c r="AR19" s="1561"/>
      <c r="AS19" s="1559" t="s">
        <v>73</v>
      </c>
      <c r="AT19" s="1560"/>
      <c r="AU19" s="1560"/>
      <c r="AV19" s="1560"/>
      <c r="AW19" s="1561"/>
      <c r="AX19" s="1559" t="s">
        <v>102</v>
      </c>
      <c r="AY19" s="1560"/>
      <c r="AZ19" s="1560"/>
      <c r="BA19" s="1560"/>
      <c r="BB19" s="1561"/>
      <c r="BC19" s="1559" t="s">
        <v>82</v>
      </c>
      <c r="BD19" s="1560"/>
      <c r="BE19" s="1560"/>
      <c r="BF19" s="1560"/>
      <c r="BG19" s="1560"/>
      <c r="BH19" s="1561"/>
    </row>
    <row r="20" spans="1:60" ht="15" customHeight="1" x14ac:dyDescent="0.2">
      <c r="A20" s="272"/>
      <c r="B20" s="1038" t="s">
        <v>69</v>
      </c>
      <c r="C20" s="1039" t="s">
        <v>65</v>
      </c>
      <c r="D20" s="1039" t="s">
        <v>66</v>
      </c>
      <c r="E20" s="1039" t="s">
        <v>67</v>
      </c>
      <c r="F20" s="1039" t="s">
        <v>205</v>
      </c>
      <c r="G20" s="1085" t="s">
        <v>206</v>
      </c>
      <c r="H20" s="1038" t="s">
        <v>69</v>
      </c>
      <c r="I20" s="1039" t="s">
        <v>65</v>
      </c>
      <c r="J20" s="1039" t="s">
        <v>66</v>
      </c>
      <c r="K20" s="1039" t="s">
        <v>67</v>
      </c>
      <c r="L20" s="1039" t="s">
        <v>205</v>
      </c>
      <c r="M20" s="1085" t="s">
        <v>206</v>
      </c>
      <c r="N20" s="1038" t="s">
        <v>69</v>
      </c>
      <c r="O20" s="1039" t="s">
        <v>65</v>
      </c>
      <c r="P20" s="1039" t="s">
        <v>66</v>
      </c>
      <c r="Q20" s="1039" t="s">
        <v>67</v>
      </c>
      <c r="R20" s="1039" t="s">
        <v>205</v>
      </c>
      <c r="S20" s="1085" t="s">
        <v>206</v>
      </c>
      <c r="T20" s="1044" t="s">
        <v>65</v>
      </c>
      <c r="U20" s="1045" t="s">
        <v>66</v>
      </c>
      <c r="V20" s="1045" t="s">
        <v>67</v>
      </c>
      <c r="W20" s="1039" t="s">
        <v>205</v>
      </c>
      <c r="X20" s="1085" t="s">
        <v>206</v>
      </c>
      <c r="Y20" s="1044" t="s">
        <v>65</v>
      </c>
      <c r="Z20" s="1045" t="s">
        <v>66</v>
      </c>
      <c r="AA20" s="1045" t="s">
        <v>67</v>
      </c>
      <c r="AB20" s="1039" t="s">
        <v>205</v>
      </c>
      <c r="AC20" s="1085" t="s">
        <v>206</v>
      </c>
      <c r="AD20" s="1044" t="s">
        <v>65</v>
      </c>
      <c r="AE20" s="1045" t="s">
        <v>66</v>
      </c>
      <c r="AF20" s="1045" t="s">
        <v>67</v>
      </c>
      <c r="AG20" s="1039" t="s">
        <v>205</v>
      </c>
      <c r="AH20" s="1085" t="s">
        <v>206</v>
      </c>
      <c r="AI20" s="1044" t="s">
        <v>65</v>
      </c>
      <c r="AJ20" s="1045" t="s">
        <v>66</v>
      </c>
      <c r="AK20" s="1045" t="s">
        <v>67</v>
      </c>
      <c r="AL20" s="1039" t="s">
        <v>205</v>
      </c>
      <c r="AM20" s="1085" t="s">
        <v>206</v>
      </c>
      <c r="AN20" s="1044" t="s">
        <v>65</v>
      </c>
      <c r="AO20" s="1045" t="s">
        <v>66</v>
      </c>
      <c r="AP20" s="1045" t="s">
        <v>67</v>
      </c>
      <c r="AQ20" s="1039" t="s">
        <v>205</v>
      </c>
      <c r="AR20" s="1085" t="s">
        <v>206</v>
      </c>
      <c r="AS20" s="1044" t="s">
        <v>65</v>
      </c>
      <c r="AT20" s="1045" t="s">
        <v>66</v>
      </c>
      <c r="AU20" s="1045" t="s">
        <v>67</v>
      </c>
      <c r="AV20" s="1039" t="s">
        <v>205</v>
      </c>
      <c r="AW20" s="1085" t="s">
        <v>206</v>
      </c>
      <c r="AX20" s="1044" t="s">
        <v>65</v>
      </c>
      <c r="AY20" s="1045" t="s">
        <v>66</v>
      </c>
      <c r="AZ20" s="1045" t="s">
        <v>67</v>
      </c>
      <c r="BA20" s="1039" t="s">
        <v>205</v>
      </c>
      <c r="BB20" s="1085" t="s">
        <v>206</v>
      </c>
      <c r="BC20" s="1044" t="s">
        <v>69</v>
      </c>
      <c r="BD20" s="1045" t="s">
        <v>65</v>
      </c>
      <c r="BE20" s="1045" t="s">
        <v>66</v>
      </c>
      <c r="BF20" s="1045" t="s">
        <v>67</v>
      </c>
      <c r="BG20" s="1039" t="s">
        <v>205</v>
      </c>
      <c r="BH20" s="1085" t="s">
        <v>206</v>
      </c>
    </row>
    <row r="21" spans="1:60" s="234" customFormat="1" ht="15" x14ac:dyDescent="0.2">
      <c r="A21" s="767"/>
      <c r="B21" s="1073"/>
      <c r="C21" s="1074"/>
      <c r="D21" s="1074"/>
      <c r="E21" s="1074"/>
      <c r="F21" s="1074"/>
      <c r="G21" s="1075"/>
      <c r="H21" s="994" t="str">
        <f>IF(INDEX($G$11:$G$16,MATCH(H20,$B$11:$B$16,0))="N/A","Single-fuel","Dual-Fuel")</f>
        <v>Single-fuel</v>
      </c>
      <c r="I21" s="995" t="str">
        <f t="shared" ref="I21:M21" si="3">IF(INDEX($G$11:$G$16,MATCH(I20,$B$11:$B$16,0))="N/A","Single-fuel","Dual-Fuel")</f>
        <v>Single-fuel</v>
      </c>
      <c r="J21" s="995" t="str">
        <f t="shared" si="3"/>
        <v>Single-fuel</v>
      </c>
      <c r="K21" s="995" t="str">
        <f t="shared" si="3"/>
        <v>Single-fuel</v>
      </c>
      <c r="L21" s="995" t="str">
        <f t="shared" si="3"/>
        <v>Dual-Fuel</v>
      </c>
      <c r="M21" s="996" t="str">
        <f t="shared" si="3"/>
        <v>Single-fuel</v>
      </c>
      <c r="N21" s="994" t="str">
        <f>INDEX($F$11:$F$16,MATCH(N20,$B$11:$B$16,0))</f>
        <v>Diesel</v>
      </c>
      <c r="O21" s="995" t="str">
        <f t="shared" ref="O21:S21" si="4">INDEX($F$11:$F$16,MATCH(O20,$B$11:$B$16,0))</f>
        <v>Diesel</v>
      </c>
      <c r="P21" s="995" t="str">
        <f t="shared" si="4"/>
        <v>Diesel</v>
      </c>
      <c r="Q21" s="995" t="str">
        <f t="shared" si="4"/>
        <v>Diesel</v>
      </c>
      <c r="R21" s="995" t="str">
        <f t="shared" si="4"/>
        <v>Diesel</v>
      </c>
      <c r="S21" s="996" t="str">
        <f t="shared" si="4"/>
        <v>Electricity</v>
      </c>
      <c r="T21" s="1564" t="s">
        <v>117</v>
      </c>
      <c r="U21" s="1565"/>
      <c r="V21" s="1565"/>
      <c r="W21" s="1565"/>
      <c r="X21" s="1566"/>
      <c r="Y21" s="994" t="str">
        <f t="shared" ref="Y21" si="5">INDEX($F$11:$F$16,MATCH(Y20,$B$11:$B$16,0))</f>
        <v>Diesel</v>
      </c>
      <c r="Z21" s="995" t="str">
        <f t="shared" ref="Z21" si="6">INDEX($F$11:$F$16,MATCH(Z20,$B$11:$B$16,0))</f>
        <v>Diesel</v>
      </c>
      <c r="AA21" s="995" t="str">
        <f t="shared" ref="AA21" si="7">INDEX($F$11:$F$16,MATCH(AA20,$B$11:$B$16,0))</f>
        <v>Diesel</v>
      </c>
      <c r="AB21" s="995" t="str">
        <f t="shared" ref="AB21" si="8">INDEX($F$11:$F$16,MATCH(AB20,$B$11:$B$16,0))</f>
        <v>Diesel</v>
      </c>
      <c r="AC21" s="996" t="str">
        <f t="shared" ref="AC21" si="9">INDEX($F$11:$F$16,MATCH(AC20,$B$11:$B$16,0))</f>
        <v>Electricity</v>
      </c>
      <c r="AD21" s="1017">
        <f>INDEX($L$11:$L$16,MATCH(AD20,$B$11:$B$16,0))</f>
        <v>5000</v>
      </c>
      <c r="AE21" s="1018">
        <f>INDEX($L$11:$L$16,MATCH(AE20,$B$11:$B$16,0))</f>
        <v>5000</v>
      </c>
      <c r="AF21" s="1018">
        <f>INDEX($L$11:$L$16,MATCH(AF20,$B$11:$B$16,0))</f>
        <v>5000</v>
      </c>
      <c r="AG21" s="1018">
        <f>INDEX($L$11:$L$16,MATCH(AG20,$B$11:$B$16,0))</f>
        <v>5000</v>
      </c>
      <c r="AH21" s="1019">
        <f>INDEX($L$11:$L$16,MATCH(AH20,$B$11:$B$16,0))</f>
        <v>5000</v>
      </c>
      <c r="AI21" s="1053">
        <f>INDEX($J$11:$J$16,MATCH(AI20,$B$11:$B$16,0))</f>
        <v>0</v>
      </c>
      <c r="AJ21" s="1054">
        <f t="shared" ref="AJ21:AM21" si="10">INDEX($J$11:$J$16,MATCH(AJ20,$B$11:$B$16,0))</f>
        <v>0</v>
      </c>
      <c r="AK21" s="1054">
        <f t="shared" si="10"/>
        <v>0</v>
      </c>
      <c r="AL21" s="1054">
        <f t="shared" si="10"/>
        <v>0</v>
      </c>
      <c r="AM21" s="1055">
        <f t="shared" si="10"/>
        <v>0</v>
      </c>
      <c r="AN21" s="994" t="str">
        <f t="shared" ref="AN21" si="11">INDEX($F$11:$F$16,MATCH(AN20,$B$11:$B$16,0))</f>
        <v>Diesel</v>
      </c>
      <c r="AO21" s="995" t="str">
        <f t="shared" ref="AO21" si="12">INDEX($F$11:$F$16,MATCH(AO20,$B$11:$B$16,0))</f>
        <v>Diesel</v>
      </c>
      <c r="AP21" s="995" t="str">
        <f t="shared" ref="AP21" si="13">INDEX($F$11:$F$16,MATCH(AP20,$B$11:$B$16,0))</f>
        <v>Diesel</v>
      </c>
      <c r="AQ21" s="995" t="str">
        <f t="shared" ref="AQ21" si="14">INDEX($F$11:$F$16,MATCH(AQ20,$B$11:$B$16,0))</f>
        <v>Diesel</v>
      </c>
      <c r="AR21" s="996" t="str">
        <f t="shared" ref="AR21" si="15">INDEX($F$11:$F$16,MATCH(AR20,$B$11:$B$16,0))</f>
        <v>Electricity</v>
      </c>
      <c r="AS21" s="994" t="str">
        <f t="shared" ref="AS21" si="16">INDEX($F$11:$F$16,MATCH(AS20,$B$11:$B$16,0))</f>
        <v>Diesel</v>
      </c>
      <c r="AT21" s="995" t="str">
        <f t="shared" ref="AT21" si="17">INDEX($F$11:$F$16,MATCH(AT20,$B$11:$B$16,0))</f>
        <v>Diesel</v>
      </c>
      <c r="AU21" s="995" t="str">
        <f t="shared" ref="AU21" si="18">INDEX($F$11:$F$16,MATCH(AU20,$B$11:$B$16,0))</f>
        <v>Diesel</v>
      </c>
      <c r="AV21" s="995" t="str">
        <f t="shared" ref="AV21" si="19">INDEX($F$11:$F$16,MATCH(AV20,$B$11:$B$16,0))</f>
        <v>Diesel</v>
      </c>
      <c r="AW21" s="996" t="str">
        <f t="shared" ref="AW21" si="20">INDEX($F$11:$F$16,MATCH(AW20,$B$11:$B$16,0))</f>
        <v>Electricity</v>
      </c>
      <c r="AX21" s="994" t="str">
        <f t="shared" ref="AX21" si="21">INDEX($F$11:$F$16,MATCH(AX20,$B$11:$B$16,0))</f>
        <v>Diesel</v>
      </c>
      <c r="AY21" s="995" t="str">
        <f t="shared" ref="AY21" si="22">INDEX($F$11:$F$16,MATCH(AY20,$B$11:$B$16,0))</f>
        <v>Diesel</v>
      </c>
      <c r="AZ21" s="995" t="str">
        <f t="shared" ref="AZ21" si="23">INDEX($F$11:$F$16,MATCH(AZ20,$B$11:$B$16,0))</f>
        <v>Diesel</v>
      </c>
      <c r="BA21" s="995" t="str">
        <f t="shared" ref="BA21" si="24">INDEX($F$11:$F$16,MATCH(BA20,$B$11:$B$16,0))</f>
        <v>Diesel</v>
      </c>
      <c r="BB21" s="996" t="str">
        <f t="shared" ref="BB21" si="25">INDEX($F$11:$F$16,MATCH(BB20,$B$11:$B$16,0))</f>
        <v>Electricity</v>
      </c>
      <c r="BC21" s="1027" t="str">
        <f>INDEX($F$11:$F$16,MATCH(BC20,$B$11:$B$16,0))</f>
        <v>Diesel</v>
      </c>
      <c r="BD21" s="995" t="str">
        <f t="shared" ref="BD21:BH21" si="26">INDEX($F$11:$F$16,MATCH(BD20,$B$11:$B$16,0))</f>
        <v>Diesel</v>
      </c>
      <c r="BE21" s="995" t="str">
        <f t="shared" si="26"/>
        <v>Diesel</v>
      </c>
      <c r="BF21" s="995" t="str">
        <f t="shared" si="26"/>
        <v>Diesel</v>
      </c>
      <c r="BG21" s="995" t="str">
        <f t="shared" si="26"/>
        <v>Diesel</v>
      </c>
      <c r="BH21" s="996" t="str">
        <f t="shared" si="26"/>
        <v>Electricity</v>
      </c>
    </row>
    <row r="22" spans="1:60" x14ac:dyDescent="0.2">
      <c r="A22" s="767"/>
      <c r="B22" s="1073"/>
      <c r="C22" s="1074"/>
      <c r="D22" s="1074"/>
      <c r="E22" s="1074"/>
      <c r="F22" s="1074"/>
      <c r="G22" s="1075"/>
      <c r="H22" s="1079"/>
      <c r="I22" s="1080"/>
      <c r="J22" s="1080"/>
      <c r="K22" s="1080"/>
      <c r="L22" s="1080"/>
      <c r="M22" s="1081"/>
      <c r="N22" s="997"/>
      <c r="O22" s="998"/>
      <c r="P22" s="998"/>
      <c r="Q22" s="998"/>
      <c r="R22" s="998"/>
      <c r="S22" s="999"/>
      <c r="T22" s="1003">
        <f>Q12</f>
        <v>0</v>
      </c>
      <c r="U22" s="1004">
        <f>Q13</f>
        <v>0</v>
      </c>
      <c r="V22" s="1004">
        <f>Q14</f>
        <v>0</v>
      </c>
      <c r="W22" s="1004">
        <f>Q15</f>
        <v>0</v>
      </c>
      <c r="X22" s="1005">
        <f>Q16</f>
        <v>0</v>
      </c>
      <c r="Y22" s="994" t="b">
        <f>INDEX($H$11:$H$16,MATCH(Y20,$B$11:$B$16,0))</f>
        <v>0</v>
      </c>
      <c r="Z22" s="1012" t="b">
        <f t="shared" ref="Z22:AC22" si="27">INDEX($H$11:$H$16,MATCH(Z20,$B$11:$B$16,0))</f>
        <v>0</v>
      </c>
      <c r="AA22" s="1012" t="b">
        <f t="shared" si="27"/>
        <v>0</v>
      </c>
      <c r="AB22" s="1012" t="b">
        <f t="shared" si="27"/>
        <v>0</v>
      </c>
      <c r="AC22" s="1013" t="b">
        <f t="shared" si="27"/>
        <v>1</v>
      </c>
      <c r="AD22" s="1017">
        <f>INDEX($M$11:$M$16,MATCH(AD20,$B$11:$B$16,0))</f>
        <v>100</v>
      </c>
      <c r="AE22" s="1020">
        <f>INDEX($M$11:$M$16,MATCH(AE20,$B$11:$B$16,0))</f>
        <v>100</v>
      </c>
      <c r="AF22" s="1020">
        <f>INDEX($M$11:$M$16,MATCH(AF20,$B$11:$B$16,0))</f>
        <v>100</v>
      </c>
      <c r="AG22" s="1020">
        <f>INDEX($M$11:$M$16,MATCH(AG20,$B$11:$B$16,0))</f>
        <v>100</v>
      </c>
      <c r="AH22" s="1021">
        <f>INDEX($M$11:$M$16,MATCH(AH20,$B$11:$B$16,0))</f>
        <v>100</v>
      </c>
      <c r="AI22" s="1053">
        <f>INDEX($K$11:$K$16,MATCH(AI20,$B$11:$B$16,0))</f>
        <v>0.5</v>
      </c>
      <c r="AJ22" s="1054">
        <f t="shared" ref="AJ22:AM22" si="28">INDEX($K$11:$K$16,MATCH(AJ20,$B$11:$B$16,0))</f>
        <v>0.5</v>
      </c>
      <c r="AK22" s="1054">
        <f t="shared" si="28"/>
        <v>0.5</v>
      </c>
      <c r="AL22" s="1054">
        <f t="shared" si="28"/>
        <v>0.5</v>
      </c>
      <c r="AM22" s="1055">
        <f t="shared" si="28"/>
        <v>0.5</v>
      </c>
      <c r="AN22" s="994"/>
      <c r="AO22" s="995"/>
      <c r="AP22" s="995"/>
      <c r="AQ22" s="995"/>
      <c r="AR22" s="996"/>
      <c r="AS22" s="1011"/>
      <c r="AT22" s="1012"/>
      <c r="AU22" s="1012"/>
      <c r="AV22" s="1012"/>
      <c r="AW22" s="1013"/>
      <c r="AX22" s="1011"/>
      <c r="AY22" s="1012"/>
      <c r="AZ22" s="1012"/>
      <c r="BA22" s="1012"/>
      <c r="BB22" s="1013"/>
      <c r="BC22" s="1011"/>
      <c r="BD22" s="1012"/>
      <c r="BE22" s="1012"/>
      <c r="BF22" s="1012"/>
      <c r="BG22" s="1012"/>
      <c r="BH22" s="1013"/>
    </row>
    <row r="23" spans="1:60" ht="15" thickBot="1" x14ac:dyDescent="0.25">
      <c r="A23" s="746"/>
      <c r="B23" s="1076"/>
      <c r="C23" s="1077"/>
      <c r="D23" s="1077"/>
      <c r="E23" s="1077"/>
      <c r="F23" s="1077"/>
      <c r="G23" s="1078"/>
      <c r="H23" s="1082"/>
      <c r="I23" s="1083"/>
      <c r="J23" s="1083"/>
      <c r="K23" s="1083"/>
      <c r="L23" s="1083"/>
      <c r="M23" s="1084"/>
      <c r="N23" s="1000"/>
      <c r="O23" s="1001"/>
      <c r="P23" s="1001"/>
      <c r="Q23" s="1001"/>
      <c r="R23" s="1001"/>
      <c r="S23" s="1002"/>
      <c r="T23" s="1006"/>
      <c r="U23" s="1007"/>
      <c r="V23" s="1007"/>
      <c r="W23" s="1007"/>
      <c r="X23" s="1008"/>
      <c r="Y23" s="1022"/>
      <c r="Z23" s="1025"/>
      <c r="AA23" s="1025"/>
      <c r="AB23" s="1025"/>
      <c r="AC23" s="1026"/>
      <c r="AD23" s="1022"/>
      <c r="AE23" s="1023"/>
      <c r="AF23" s="1023"/>
      <c r="AG23" s="1023"/>
      <c r="AH23" s="1024"/>
      <c r="AI23" s="1022">
        <f>INDEX($I$11:$I$16,MATCH(AI20,$B$11:$B$16,0))</f>
        <v>2021</v>
      </c>
      <c r="AJ23" s="1025">
        <f t="shared" ref="AJ23:AM23" si="29">INDEX($I$11:$I$16,MATCH(AJ20,$B$11:$B$16,0))</f>
        <v>2021</v>
      </c>
      <c r="AK23" s="1025">
        <f t="shared" si="29"/>
        <v>2021</v>
      </c>
      <c r="AL23" s="1025">
        <f t="shared" si="29"/>
        <v>2021</v>
      </c>
      <c r="AM23" s="1026">
        <f t="shared" si="29"/>
        <v>2021</v>
      </c>
      <c r="AN23" s="1022"/>
      <c r="AO23" s="1025"/>
      <c r="AP23" s="1025"/>
      <c r="AQ23" s="1025"/>
      <c r="AR23" s="1026"/>
      <c r="AS23" s="1014"/>
      <c r="AT23" s="1015"/>
      <c r="AU23" s="1015"/>
      <c r="AV23" s="1015"/>
      <c r="AW23" s="1016"/>
      <c r="AX23" s="1014"/>
      <c r="AY23" s="1015"/>
      <c r="AZ23" s="1015"/>
      <c r="BA23" s="1015"/>
      <c r="BB23" s="1016"/>
      <c r="BC23" s="1014"/>
      <c r="BD23" s="1015"/>
      <c r="BE23" s="1015"/>
      <c r="BF23" s="1015"/>
      <c r="BG23" s="1015"/>
      <c r="BH23" s="1016"/>
    </row>
    <row r="24" spans="1:60" ht="15" thickTop="1" x14ac:dyDescent="0.2">
      <c r="A24" s="609">
        <v>2007</v>
      </c>
      <c r="B24" s="809">
        <f t="shared" ref="B24:G33" si="30">ROUND(INDEX(COST_Cls3,$A24-($A$24-1),MATCH(B$20,TECHOPTS_Cls3,0)),2)</f>
        <v>96771.81</v>
      </c>
      <c r="C24" s="809">
        <f t="shared" si="30"/>
        <v>1000000</v>
      </c>
      <c r="D24" s="809">
        <f t="shared" si="30"/>
        <v>1000000</v>
      </c>
      <c r="E24" s="809">
        <f t="shared" si="30"/>
        <v>1000000</v>
      </c>
      <c r="F24" s="809">
        <f t="shared" si="30"/>
        <v>1000000</v>
      </c>
      <c r="G24" s="810">
        <f t="shared" si="30"/>
        <v>1000000</v>
      </c>
      <c r="H24" s="781">
        <f t="shared" ref="H24:M33" si="31">IF(H$21="Single-fuel",1,1-MIN(INDEX(CDRANGE_CLS3,$A24-($A$24-1),MATCH(H$20,TECHOPTS_Cls3,0))*OPDAYS_Cls3/$D$6,1))</f>
        <v>1</v>
      </c>
      <c r="I24" s="782">
        <f t="shared" si="31"/>
        <v>1</v>
      </c>
      <c r="J24" s="782">
        <f t="shared" si="31"/>
        <v>1</v>
      </c>
      <c r="K24" s="782">
        <f t="shared" si="31"/>
        <v>1</v>
      </c>
      <c r="L24" s="782">
        <f t="shared" si="31"/>
        <v>1</v>
      </c>
      <c r="M24" s="783">
        <f t="shared" si="31"/>
        <v>1</v>
      </c>
      <c r="N24" s="733">
        <f t="shared" ref="N24:N67" si="32">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7481.362058855304</v>
      </c>
      <c r="O24" s="276">
        <f t="shared" ref="O24:O67" si="33">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f t="shared" ref="P24:P67" si="3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f t="shared" ref="Q24:Q67" si="35">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43872.666565487925</v>
      </c>
      <c r="R24" s="276">
        <f t="shared" ref="R24:R67" si="36">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43872.666565487925</v>
      </c>
      <c r="S24" s="276">
        <f t="shared" ref="S24:S67" si="37">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166461.84525000001</v>
      </c>
      <c r="T24" s="275">
        <f t="shared" ref="T24:T67" si="38">$N24-O24+T$22</f>
        <v>-36391.304506632623</v>
      </c>
      <c r="U24" s="276">
        <f t="shared" ref="U24:U67" si="39">$N24-P24+U$22</f>
        <v>-36391.304506632623</v>
      </c>
      <c r="V24" s="276">
        <f t="shared" ref="V24:V67" si="40">$N24-Q24+V$22</f>
        <v>-36391.304506632623</v>
      </c>
      <c r="W24" s="276">
        <f t="shared" ref="W24:W67" si="41">$N24-R24+W$22</f>
        <v>-36391.304506632623</v>
      </c>
      <c r="X24" s="278">
        <f t="shared" ref="X24:X67" si="42">$N24-S24+X$22</f>
        <v>-158980.48319114471</v>
      </c>
      <c r="Y24" s="279">
        <f ca="1">IF(AND(Y$22=TRUE,INDEX(CDRANGE_CLS3,MATCH($A24,$A$24:$A$67,0),MATCH(Y$20,$B$20:$G$20,0))&lt;$D$6/OPDAYS_Cls3),86,payback(C24,T24,disc_rate/12,85))</f>
        <v>86</v>
      </c>
      <c r="Z24" s="280">
        <f ca="1">IF(AND(Z$22=TRUE,INDEX(CDRANGE_CLS3,MATCH($A24,$A$24:$A$67,0),MATCH(Z$20,$B$20:$G$20,0))&lt;$D$6/OPDAYS_Cls3),86,payback(D24,U24,disc_rate/12,85))</f>
        <v>86</v>
      </c>
      <c r="AA24" s="280">
        <f ca="1">IF(AND(AA$22=TRUE,INDEX(CDRANGE_CLS3,MATCH($A24,$A$24:$A$67,0),MATCH(AA$20,$B$20:$G$20,0))&lt;$D$6/OPDAYS_Cls3),86,payback(E24,V24,disc_rate/12,85))</f>
        <v>86</v>
      </c>
      <c r="AB24" s="280">
        <f ca="1">IF(AND(AB$22=TRUE,INDEX(CDRANGE_CLS3,MATCH($A24,$A$24:$A$67,0),MATCH(AB$20,$B$20:$G$20,0))&lt;$D$6/OPDAYS_Cls3),86,payback(F24,W24,disc_rate/12,85))</f>
        <v>86</v>
      </c>
      <c r="AC24" s="281">
        <f>IF(AND(AC$22=TRUE,INDEX(CDRANGE_CLS3,MATCH($A24,$A$24:$A$67,0),MATCH(AC$20,$B$20:$G$20,0))&lt;$D$6/OPDAYS_Cls3),86,payback(G24,X24,disc_rate/12,85))</f>
        <v>86</v>
      </c>
      <c r="AD24" s="282">
        <f t="shared" ref="AD24:AD67" si="43">IF(AND(C24&lt;=AD$21,$N24-O24&gt;=-AD$22),AI24*VLOOKUP(C24/AD$21,FirstCostInd,2,TRUE)*VLOOKUP(($N24-O24)/AD$22,FuelCostInd,2,1),0)</f>
        <v>0</v>
      </c>
      <c r="AE24" s="283">
        <f t="shared" ref="AE24:AE67" si="44">IF(AND(D24&lt;=AE$21,$N24-P24&gt;=-AE$22),AJ24*VLOOKUP(D24/AE$21,FirstCostInd,2,TRUE)*VLOOKUP(($N24-P24)/AE$22,FuelCostInd,2,1),0)</f>
        <v>0</v>
      </c>
      <c r="AF24" s="283">
        <f t="shared" ref="AF24:AF67" si="45">IF(AND(E24&lt;=AF$21,$N24-Q24&gt;=-AF$22),AK24*VLOOKUP(E24/AF$21,FirstCostInd,2,TRUE)*VLOOKUP(($N24-Q24)/AF$22,FuelCostInd,2,1),0)</f>
        <v>0</v>
      </c>
      <c r="AG24" s="283">
        <f t="shared" ref="AG24:AG67" si="46">IF(AND(F24&lt;=AG$21,$N24-R24&gt;=-AG$22),AL24*VLOOKUP(F24/AG$21,FirstCostInd,2,TRUE)*VLOOKUP(($N24-R24)/AG$22,FuelCostInd,2,1),0)</f>
        <v>0</v>
      </c>
      <c r="AH24" s="644">
        <f t="shared" ref="AH24:AH67" si="47">IF(AND(G24&lt;=AH$21,$N24-S24&gt;=-AH$22),AM24*VLOOKUP(G24/AH$21,FirstCostInd,2,TRUE)*VLOOKUP(($N24-S24)/AH$22,FuelCostInd,2,1),0)</f>
        <v>0</v>
      </c>
      <c r="AI24" s="285">
        <f t="shared" ref="AI24:AI67" si="48">IF($A24&lt;AI$23,0,AI$21+VLOOKUP($A24-AI$23,SCdata,2,1)*(AI$22-AI$21))*IF($D$5="Non-Central",INDEX(fuel_avail,$A24-$A$24+1,MATCH(O$21,Fuels,0)),1)</f>
        <v>0</v>
      </c>
      <c r="AJ24" s="286">
        <f t="shared" ref="AJ24:AJ67" si="49">IF($A24&lt;AJ$23,0,AJ$21+VLOOKUP($A24-AJ$23,SCdata,2,1)*(AJ$22-AJ$21))*IF($D$5="Non-Central",INDEX(fuel_avail,$A24-$A$24+1,MATCH(P$21,Fuels,0)),1)</f>
        <v>0</v>
      </c>
      <c r="AK24" s="286">
        <f t="shared" ref="AK24:AK67" si="50">IF($A24&lt;AK$23,0,AK$21+VLOOKUP($A24-AK$23,SCdata,2,1)*(AK$22-AK$21))*IF($D$5="Non-Central",INDEX(fuel_avail,$A24-$A$24+1,MATCH(Q$21,Fuels,0)),1)</f>
        <v>0</v>
      </c>
      <c r="AL24" s="286">
        <f t="shared" ref="AL24:AL67" si="51">IF($A24&lt;AL$23,0,AL$21+VLOOKUP($A24-AL$23,SCdata,2,1)*(AL$22-AL$21))*IF($D$5="Non-Central",INDEX(fuel_avail,$A24-$A$24+1,MATCH(R$21,Fuels,0)),1)</f>
        <v>0</v>
      </c>
      <c r="AM24" s="287">
        <f t="shared" ref="AM24:AM67" si="52">IF($A24&lt;AM$23,0,AM$21+VLOOKUP($A24-AM$23,SCdata,2,1)*(AM$22-AM$21))*IF($D$5="Non-Central",INDEX(fuel_avail,$A24-$A$24+1,MATCH(S$21,Fuels,0)),1)</f>
        <v>0</v>
      </c>
      <c r="AN24" s="285">
        <f>IF(C24&lt;0,1,$AQ$17*(1-WEIBULL(C24/$B24,$AO$17,$AO$18,1)))</f>
        <v>0</v>
      </c>
      <c r="AO24" s="286">
        <f t="shared" ref="AO24:AR39" si="53">IF(D24&lt;0,1,$AQ$17*(1-WEIBULL(D24/$B24,$AO$17,$AO$18,1)))</f>
        <v>0</v>
      </c>
      <c r="AP24" s="286">
        <f t="shared" si="53"/>
        <v>0</v>
      </c>
      <c r="AQ24" s="286">
        <f t="shared" si="53"/>
        <v>0</v>
      </c>
      <c r="AR24" s="287">
        <f t="shared" si="53"/>
        <v>0</v>
      </c>
      <c r="AS24" s="282">
        <f t="shared" ref="AS24:AS67" ca="1" si="54">MIN(1,MAX(AD24,IF(Y24&gt;85,0,(AI24/0.5)*VLOOKUP(Y24,AdoptDec,$AU$18,0))))</f>
        <v>0</v>
      </c>
      <c r="AT24" s="283">
        <f t="shared" ref="AT24:AT67" ca="1" si="55">MIN(1,MAX(AE24,IF(Z24&gt;85,0,(AJ24/0.5)*VLOOKUP(Z24,AdoptDec,$AU$18,0))))</f>
        <v>0</v>
      </c>
      <c r="AU24" s="806">
        <f t="shared" ref="AU24:AU67" ca="1" si="56">MIN(1,MAX(AF24,IF(AA24&gt;85,0,(AK24/0.5)*VLOOKUP(AA24,AdoptDec,$AU$18,0))))</f>
        <v>0</v>
      </c>
      <c r="AV24" s="806">
        <f t="shared" ref="AV24:AV67" ca="1" si="57">MIN(1,MAX(AG24,IF(AB24&gt;85,0,(AL24/0.5)*VLOOKUP(AB24,AdoptDec,$AU$18,0))))</f>
        <v>0</v>
      </c>
      <c r="AW24" s="807">
        <f t="shared" ref="AW24:AW67" si="58">MIN(1,MAX(AH24,IF(AC24&gt;85,0,(AM24/0.5)*VLOOKUP(AC24,AdoptDec,$AU$18,0))))</f>
        <v>0</v>
      </c>
      <c r="AX24" s="756">
        <f t="shared" ref="AX24:BB67" ca="1" si="59">MIN(AS24*AN24,1)</f>
        <v>0</v>
      </c>
      <c r="AY24" s="283">
        <f t="shared" ca="1" si="59"/>
        <v>0</v>
      </c>
      <c r="AZ24" s="283">
        <f t="shared" ca="1" si="59"/>
        <v>0</v>
      </c>
      <c r="BA24" s="283">
        <f t="shared" ca="1" si="59"/>
        <v>0</v>
      </c>
      <c r="BB24" s="644">
        <f t="shared" si="59"/>
        <v>0</v>
      </c>
      <c r="BC24" s="282">
        <f ca="1">1-SUM(BD24:BH24)</f>
        <v>1</v>
      </c>
      <c r="BD24" s="283">
        <f t="shared" ref="BD24:BD67" ca="1" si="60">IF(SUM($AX24:$BB24)=0,0,MAX($AX24:$BB24)*(AI24*AX24/SUMPRODUCT($AI24:$AM24,$AX24:$BB24)))</f>
        <v>0</v>
      </c>
      <c r="BE24" s="283">
        <f t="shared" ref="BE24:BE67" ca="1" si="61">IF(SUM($AX24:$BB24)=0,0,MAX($AX24:$BB24)*(AJ24*AY24/SUMPRODUCT($AI24:$AM24,$AX24:$BB24)))</f>
        <v>0</v>
      </c>
      <c r="BF24" s="283">
        <f t="shared" ref="BF24:BF67" ca="1" si="62">IF(SUM($AX24:$BB24)=0,0,MAX($AX24:$BB24)*(AK24*AZ24/SUMPRODUCT($AI24:$AM24,$AX24:$BB24)))</f>
        <v>0</v>
      </c>
      <c r="BG24" s="283">
        <f t="shared" ref="BG24:BG67" ca="1" si="63">IF(SUM($AX24:$BB24)=0,0,MAX($AX24:$BB24)*(AL24*BA24/SUMPRODUCT($AI24:$AM24,$AX24:$BB24)))</f>
        <v>0</v>
      </c>
      <c r="BH24" s="284">
        <f t="shared" ref="BH24:BH67" ca="1" si="64">IF(SUM($AX24:$BB24)=0,0,MAX($AX24:$BB24)*(AM24*BB24/SUMPRODUCT($AI24:$AM24,$AX24:$BB24)))</f>
        <v>0</v>
      </c>
    </row>
    <row r="25" spans="1:60" x14ac:dyDescent="0.2">
      <c r="A25" s="288">
        <v>2008</v>
      </c>
      <c r="B25" s="811">
        <f t="shared" si="30"/>
        <v>96771.81</v>
      </c>
      <c r="C25" s="812">
        <f t="shared" si="30"/>
        <v>1000000</v>
      </c>
      <c r="D25" s="812">
        <f t="shared" si="30"/>
        <v>1000000</v>
      </c>
      <c r="E25" s="812">
        <f t="shared" si="30"/>
        <v>1000000</v>
      </c>
      <c r="F25" s="812">
        <f t="shared" si="30"/>
        <v>1000000</v>
      </c>
      <c r="G25" s="813">
        <f t="shared" si="30"/>
        <v>1000000</v>
      </c>
      <c r="H25" s="781">
        <f t="shared" si="31"/>
        <v>1</v>
      </c>
      <c r="I25" s="782">
        <f t="shared" si="31"/>
        <v>1</v>
      </c>
      <c r="J25" s="782">
        <f t="shared" si="31"/>
        <v>1</v>
      </c>
      <c r="K25" s="782">
        <f t="shared" si="31"/>
        <v>1</v>
      </c>
      <c r="L25" s="782">
        <f t="shared" si="31"/>
        <v>1</v>
      </c>
      <c r="M25" s="783">
        <f t="shared" si="31"/>
        <v>1</v>
      </c>
      <c r="N25" s="733">
        <f t="shared" si="32"/>
        <v>10240.223985280858</v>
      </c>
      <c r="O25" s="276">
        <f t="shared" si="33"/>
        <v>60051.355478828358</v>
      </c>
      <c r="P25" s="276">
        <f t="shared" si="34"/>
        <v>60051.355478828358</v>
      </c>
      <c r="Q25" s="276">
        <f t="shared" si="35"/>
        <v>60051.355478828358</v>
      </c>
      <c r="R25" s="276">
        <f t="shared" si="36"/>
        <v>60051.355478828358</v>
      </c>
      <c r="S25" s="278">
        <f t="shared" si="37"/>
        <v>216200.70203249998</v>
      </c>
      <c r="T25" s="289">
        <f t="shared" si="38"/>
        <v>-49811.131493547502</v>
      </c>
      <c r="U25" s="290">
        <f t="shared" si="39"/>
        <v>-49811.131493547502</v>
      </c>
      <c r="V25" s="290">
        <f t="shared" si="40"/>
        <v>-49811.131493547502</v>
      </c>
      <c r="W25" s="290">
        <f t="shared" si="41"/>
        <v>-49811.131493547502</v>
      </c>
      <c r="X25" s="292">
        <f t="shared" si="42"/>
        <v>-205960.47804721911</v>
      </c>
      <c r="Y25" s="279">
        <f ca="1">IF(AND(Y$22=TRUE,INDEX(CDRANGE_CLS3,MATCH($A25,$A$24:$A$67,0),MATCH(Y$20,$B$20:$G$20,0))&lt;$D$6/OPDAYS_Cls3),86,payback(C25,T25,disc_rate/12,85))</f>
        <v>86</v>
      </c>
      <c r="Z25" s="280">
        <f ca="1">IF(AND(Z$22=TRUE,INDEX(CDRANGE_CLS3,MATCH($A25,$A$24:$A$67,0),MATCH(Z$20,$B$20:$G$20,0))&lt;$D$6/OPDAYS_Cls3),86,payback(D25,U25,disc_rate/12,85))</f>
        <v>86</v>
      </c>
      <c r="AA25" s="280">
        <f ca="1">IF(AND(AA$22=TRUE,INDEX(CDRANGE_CLS3,MATCH($A25,$A$24:$A$67,0),MATCH(AA$20,$B$20:$G$20,0))&lt;$D$6/OPDAYS_Cls3),86,payback(E25,V25,disc_rate/12,85))</f>
        <v>86</v>
      </c>
      <c r="AB25" s="280">
        <f ca="1">IF(AND(AB$22=TRUE,INDEX(CDRANGE_CLS3,MATCH($A25,$A$24:$A$67,0),MATCH(AB$20,$B$20:$G$20,0))&lt;$D$6/OPDAYS_Cls3),86,payback(F25,W25,disc_rate/12,85))</f>
        <v>86</v>
      </c>
      <c r="AC25" s="281">
        <f>IF(AND(AC$22=TRUE,INDEX(CDRANGE_CLS3,MATCH($A25,$A$24:$A$67,0),MATCH(AC$20,$B$20:$G$20,0))&lt;$D$6/OPDAYS_Cls3),86,payback(G25,X25,disc_rate/12,85))</f>
        <v>86</v>
      </c>
      <c r="AD25" s="296">
        <f t="shared" si="43"/>
        <v>0</v>
      </c>
      <c r="AE25" s="297">
        <f t="shared" si="44"/>
        <v>0</v>
      </c>
      <c r="AF25" s="297">
        <f t="shared" si="45"/>
        <v>0</v>
      </c>
      <c r="AG25" s="297">
        <f t="shared" si="46"/>
        <v>0</v>
      </c>
      <c r="AH25" s="597">
        <f t="shared" si="47"/>
        <v>0</v>
      </c>
      <c r="AI25" s="299">
        <f t="shared" si="48"/>
        <v>0</v>
      </c>
      <c r="AJ25" s="300">
        <f t="shared" si="49"/>
        <v>0</v>
      </c>
      <c r="AK25" s="300">
        <f t="shared" si="50"/>
        <v>0</v>
      </c>
      <c r="AL25" s="300">
        <f t="shared" si="51"/>
        <v>0</v>
      </c>
      <c r="AM25" s="301">
        <f t="shared" si="52"/>
        <v>0</v>
      </c>
      <c r="AN25" s="299">
        <f t="shared" ref="AN25:AR67" si="65">IF(C25&lt;0,1,$AQ$17*(1-WEIBULL(C25/$B25,$AO$17,$AO$18,1)))</f>
        <v>0</v>
      </c>
      <c r="AO25" s="300">
        <f t="shared" si="53"/>
        <v>0</v>
      </c>
      <c r="AP25" s="300">
        <f t="shared" si="53"/>
        <v>0</v>
      </c>
      <c r="AQ25" s="300">
        <f t="shared" si="53"/>
        <v>0</v>
      </c>
      <c r="AR25" s="301">
        <f t="shared" si="53"/>
        <v>0</v>
      </c>
      <c r="AS25" s="296">
        <f t="shared" ca="1" si="54"/>
        <v>0</v>
      </c>
      <c r="AT25" s="297">
        <f t="shared" ca="1" si="55"/>
        <v>0</v>
      </c>
      <c r="AU25" s="297">
        <f t="shared" ca="1" si="56"/>
        <v>0</v>
      </c>
      <c r="AV25" s="297">
        <f t="shared" ca="1" si="57"/>
        <v>0</v>
      </c>
      <c r="AW25" s="298">
        <f t="shared" si="58"/>
        <v>0</v>
      </c>
      <c r="AX25" s="757">
        <f t="shared" ca="1" si="59"/>
        <v>0</v>
      </c>
      <c r="AY25" s="297">
        <f t="shared" ca="1" si="59"/>
        <v>0</v>
      </c>
      <c r="AZ25" s="297">
        <f t="shared" ca="1" si="59"/>
        <v>0</v>
      </c>
      <c r="BA25" s="297">
        <f t="shared" ca="1" si="59"/>
        <v>0</v>
      </c>
      <c r="BB25" s="597">
        <f t="shared" si="59"/>
        <v>0</v>
      </c>
      <c r="BC25" s="296">
        <f t="shared" ref="BC25:BC67" ca="1" si="66">1-SUM(BD25:BH25)</f>
        <v>1</v>
      </c>
      <c r="BD25" s="297">
        <f t="shared" ca="1" si="60"/>
        <v>0</v>
      </c>
      <c r="BE25" s="297">
        <f t="shared" ca="1" si="61"/>
        <v>0</v>
      </c>
      <c r="BF25" s="297">
        <f t="shared" ca="1" si="62"/>
        <v>0</v>
      </c>
      <c r="BG25" s="297">
        <f t="shared" ca="1" si="63"/>
        <v>0</v>
      </c>
      <c r="BH25" s="298">
        <f t="shared" ca="1" si="64"/>
        <v>0</v>
      </c>
    </row>
    <row r="26" spans="1:60" x14ac:dyDescent="0.2">
      <c r="A26" s="288">
        <v>2009</v>
      </c>
      <c r="B26" s="811">
        <f t="shared" si="30"/>
        <v>96771.81</v>
      </c>
      <c r="C26" s="812">
        <f t="shared" si="30"/>
        <v>1000000</v>
      </c>
      <c r="D26" s="812">
        <f t="shared" si="30"/>
        <v>1000000</v>
      </c>
      <c r="E26" s="812">
        <f t="shared" si="30"/>
        <v>1000000</v>
      </c>
      <c r="F26" s="812">
        <f t="shared" si="30"/>
        <v>1000000</v>
      </c>
      <c r="G26" s="813">
        <f t="shared" si="30"/>
        <v>1000000</v>
      </c>
      <c r="H26" s="781">
        <f t="shared" si="31"/>
        <v>1</v>
      </c>
      <c r="I26" s="782">
        <f t="shared" si="31"/>
        <v>1</v>
      </c>
      <c r="J26" s="782">
        <f t="shared" si="31"/>
        <v>1</v>
      </c>
      <c r="K26" s="782">
        <f t="shared" si="31"/>
        <v>1</v>
      </c>
      <c r="L26" s="782">
        <f t="shared" si="31"/>
        <v>1</v>
      </c>
      <c r="M26" s="783">
        <f t="shared" si="31"/>
        <v>1</v>
      </c>
      <c r="N26" s="733">
        <f t="shared" si="32"/>
        <v>6618.87448119499</v>
      </c>
      <c r="O26" s="276">
        <f t="shared" si="33"/>
        <v>38814.81351494915</v>
      </c>
      <c r="P26" s="276">
        <f t="shared" si="34"/>
        <v>38814.81351494915</v>
      </c>
      <c r="Q26" s="276">
        <f t="shared" si="35"/>
        <v>38814.81351494915</v>
      </c>
      <c r="R26" s="276">
        <f t="shared" si="36"/>
        <v>38814.81351494915</v>
      </c>
      <c r="S26" s="278">
        <f t="shared" si="37"/>
        <v>323988.06783000001</v>
      </c>
      <c r="T26" s="289">
        <f t="shared" si="38"/>
        <v>-32195.939033754159</v>
      </c>
      <c r="U26" s="290">
        <f t="shared" si="39"/>
        <v>-32195.939033754159</v>
      </c>
      <c r="V26" s="290">
        <f t="shared" si="40"/>
        <v>-32195.939033754159</v>
      </c>
      <c r="W26" s="290">
        <f t="shared" si="41"/>
        <v>-32195.939033754159</v>
      </c>
      <c r="X26" s="292">
        <f t="shared" si="42"/>
        <v>-317369.19334880501</v>
      </c>
      <c r="Y26" s="279">
        <f ca="1">IF(AND(Y$22=TRUE,INDEX(CDRANGE_CLS3,MATCH($A26,$A$24:$A$67,0),MATCH(Y$20,$B$20:$G$20,0))&lt;$D$6/OPDAYS_Cls3),86,payback(C26,T26,disc_rate/12,85))</f>
        <v>86</v>
      </c>
      <c r="Z26" s="280">
        <f ca="1">IF(AND(Z$22=TRUE,INDEX(CDRANGE_CLS3,MATCH($A26,$A$24:$A$67,0),MATCH(Z$20,$B$20:$G$20,0))&lt;$D$6/OPDAYS_Cls3),86,payback(D26,U26,disc_rate/12,85))</f>
        <v>86</v>
      </c>
      <c r="AA26" s="280">
        <f ca="1">IF(AND(AA$22=TRUE,INDEX(CDRANGE_CLS3,MATCH($A26,$A$24:$A$67,0),MATCH(AA$20,$B$20:$G$20,0))&lt;$D$6/OPDAYS_Cls3),86,payback(E26,V26,disc_rate/12,85))</f>
        <v>86</v>
      </c>
      <c r="AB26" s="280">
        <f ca="1">IF(AND(AB$22=TRUE,INDEX(CDRANGE_CLS3,MATCH($A26,$A$24:$A$67,0),MATCH(AB$20,$B$20:$G$20,0))&lt;$D$6/OPDAYS_Cls3),86,payback(F26,W26,disc_rate/12,85))</f>
        <v>86</v>
      </c>
      <c r="AC26" s="281">
        <f>IF(AND(AC$22=TRUE,INDEX(CDRANGE_CLS3,MATCH($A26,$A$24:$A$67,0),MATCH(AC$20,$B$20:$G$20,0))&lt;$D$6/OPDAYS_Cls3),86,payback(G26,X26,disc_rate/12,85))</f>
        <v>86</v>
      </c>
      <c r="AD26" s="296">
        <f t="shared" si="43"/>
        <v>0</v>
      </c>
      <c r="AE26" s="297">
        <f t="shared" si="44"/>
        <v>0</v>
      </c>
      <c r="AF26" s="297">
        <f t="shared" si="45"/>
        <v>0</v>
      </c>
      <c r="AG26" s="297">
        <f t="shared" si="46"/>
        <v>0</v>
      </c>
      <c r="AH26" s="597">
        <f t="shared" si="47"/>
        <v>0</v>
      </c>
      <c r="AI26" s="299">
        <f t="shared" si="48"/>
        <v>0</v>
      </c>
      <c r="AJ26" s="300">
        <f t="shared" si="49"/>
        <v>0</v>
      </c>
      <c r="AK26" s="300">
        <f t="shared" si="50"/>
        <v>0</v>
      </c>
      <c r="AL26" s="300">
        <f t="shared" si="51"/>
        <v>0</v>
      </c>
      <c r="AM26" s="301">
        <f t="shared" si="52"/>
        <v>0</v>
      </c>
      <c r="AN26" s="299">
        <f t="shared" si="65"/>
        <v>0</v>
      </c>
      <c r="AO26" s="300">
        <f t="shared" si="53"/>
        <v>0</v>
      </c>
      <c r="AP26" s="300">
        <f t="shared" si="53"/>
        <v>0</v>
      </c>
      <c r="AQ26" s="300">
        <f t="shared" si="53"/>
        <v>0</v>
      </c>
      <c r="AR26" s="301">
        <f t="shared" si="53"/>
        <v>0</v>
      </c>
      <c r="AS26" s="296">
        <f t="shared" ca="1" si="54"/>
        <v>0</v>
      </c>
      <c r="AT26" s="297">
        <f t="shared" ca="1" si="55"/>
        <v>0</v>
      </c>
      <c r="AU26" s="297">
        <f t="shared" ca="1" si="56"/>
        <v>0</v>
      </c>
      <c r="AV26" s="297">
        <f t="shared" ca="1" si="57"/>
        <v>0</v>
      </c>
      <c r="AW26" s="298">
        <f t="shared" si="58"/>
        <v>0</v>
      </c>
      <c r="AX26" s="757">
        <f t="shared" ca="1" si="59"/>
        <v>0</v>
      </c>
      <c r="AY26" s="297">
        <f t="shared" ca="1" si="59"/>
        <v>0</v>
      </c>
      <c r="AZ26" s="297">
        <f t="shared" ca="1" si="59"/>
        <v>0</v>
      </c>
      <c r="BA26" s="297">
        <f t="shared" ca="1" si="59"/>
        <v>0</v>
      </c>
      <c r="BB26" s="597">
        <f t="shared" si="59"/>
        <v>0</v>
      </c>
      <c r="BC26" s="296">
        <f t="shared" ca="1" si="66"/>
        <v>1</v>
      </c>
      <c r="BD26" s="297">
        <f t="shared" ca="1" si="60"/>
        <v>0</v>
      </c>
      <c r="BE26" s="297">
        <f t="shared" ca="1" si="61"/>
        <v>0</v>
      </c>
      <c r="BF26" s="297">
        <f t="shared" ca="1" si="62"/>
        <v>0</v>
      </c>
      <c r="BG26" s="297">
        <f t="shared" ca="1" si="63"/>
        <v>0</v>
      </c>
      <c r="BH26" s="298">
        <f t="shared" ca="1" si="64"/>
        <v>0</v>
      </c>
    </row>
    <row r="27" spans="1:60" ht="15" thickBot="1" x14ac:dyDescent="0.25">
      <c r="A27" s="618">
        <v>2010</v>
      </c>
      <c r="B27" s="814">
        <f t="shared" si="30"/>
        <v>96771.81</v>
      </c>
      <c r="C27" s="815">
        <f t="shared" si="30"/>
        <v>1000000</v>
      </c>
      <c r="D27" s="815">
        <f t="shared" si="30"/>
        <v>1000000</v>
      </c>
      <c r="E27" s="815">
        <f t="shared" si="30"/>
        <v>1000000</v>
      </c>
      <c r="F27" s="815">
        <f t="shared" si="30"/>
        <v>1000000</v>
      </c>
      <c r="G27" s="816">
        <f t="shared" si="30"/>
        <v>1000000</v>
      </c>
      <c r="H27" s="781">
        <f t="shared" si="31"/>
        <v>1</v>
      </c>
      <c r="I27" s="782">
        <f t="shared" si="31"/>
        <v>1</v>
      </c>
      <c r="J27" s="782">
        <f t="shared" si="31"/>
        <v>1</v>
      </c>
      <c r="K27" s="782">
        <f t="shared" si="31"/>
        <v>1</v>
      </c>
      <c r="L27" s="782">
        <f t="shared" si="31"/>
        <v>1</v>
      </c>
      <c r="M27" s="783">
        <f t="shared" si="31"/>
        <v>1</v>
      </c>
      <c r="N27" s="883">
        <f t="shared" si="32"/>
        <v>7905.3032615962993</v>
      </c>
      <c r="O27" s="776">
        <f t="shared" si="33"/>
        <v>47849.749582637734</v>
      </c>
      <c r="P27" s="776">
        <f t="shared" si="34"/>
        <v>47849.749582637734</v>
      </c>
      <c r="Q27" s="776">
        <f t="shared" si="35"/>
        <v>47849.749582637734</v>
      </c>
      <c r="R27" s="776">
        <f t="shared" si="36"/>
        <v>47849.749582637734</v>
      </c>
      <c r="S27" s="777">
        <f t="shared" si="37"/>
        <v>233000.79674625001</v>
      </c>
      <c r="T27" s="303">
        <f t="shared" si="38"/>
        <v>-39944.446321041432</v>
      </c>
      <c r="U27" s="304">
        <f t="shared" si="39"/>
        <v>-39944.446321041432</v>
      </c>
      <c r="V27" s="304">
        <f t="shared" si="40"/>
        <v>-39944.446321041432</v>
      </c>
      <c r="W27" s="304">
        <f t="shared" si="41"/>
        <v>-39944.446321041432</v>
      </c>
      <c r="X27" s="306">
        <f t="shared" si="42"/>
        <v>-225095.49348465371</v>
      </c>
      <c r="Y27" s="723">
        <f ca="1">IF(AND(Y$22=TRUE,INDEX(CDRANGE_CLS3,MATCH($A27,$A$24:$A$67,0),MATCH(Y$20,$B$20:$G$20,0))&lt;$D$6/OPDAYS_Cls3),86,payback(C27,T27,disc_rate/12,85))</f>
        <v>86</v>
      </c>
      <c r="Z27" s="724">
        <f ca="1">IF(AND(Z$22=TRUE,INDEX(CDRANGE_CLS3,MATCH($A27,$A$24:$A$67,0),MATCH(Z$20,$B$20:$G$20,0))&lt;$D$6/OPDAYS_Cls3),86,payback(D27,U27,disc_rate/12,85))</f>
        <v>86</v>
      </c>
      <c r="AA27" s="724">
        <f ca="1">IF(AND(AA$22=TRUE,INDEX(CDRANGE_CLS3,MATCH($A27,$A$24:$A$67,0),MATCH(AA$20,$B$20:$G$20,0))&lt;$D$6/OPDAYS_Cls3),86,payback(E27,V27,disc_rate/12,85))</f>
        <v>86</v>
      </c>
      <c r="AB27" s="724">
        <f ca="1">IF(AND(AB$22=TRUE,INDEX(CDRANGE_CLS3,MATCH($A27,$A$24:$A$67,0),MATCH(AB$20,$B$20:$G$20,0))&lt;$D$6/OPDAYS_Cls3),86,payback(F27,W27,disc_rate/12,85))</f>
        <v>86</v>
      </c>
      <c r="AC27" s="892">
        <f>IF(AND(AC$22=TRUE,INDEX(CDRANGE_CLS3,MATCH($A27,$A$24:$A$67,0),MATCH(AC$20,$B$20:$G$20,0))&lt;$D$6/OPDAYS_Cls3),86,payback(G27,X27,disc_rate/12,85))</f>
        <v>86</v>
      </c>
      <c r="AD27" s="310">
        <f t="shared" si="43"/>
        <v>0</v>
      </c>
      <c r="AE27" s="311">
        <f t="shared" si="44"/>
        <v>0</v>
      </c>
      <c r="AF27" s="311">
        <f t="shared" si="45"/>
        <v>0</v>
      </c>
      <c r="AG27" s="311">
        <f t="shared" si="46"/>
        <v>0</v>
      </c>
      <c r="AH27" s="759">
        <f t="shared" si="47"/>
        <v>0</v>
      </c>
      <c r="AI27" s="313">
        <f t="shared" si="48"/>
        <v>0</v>
      </c>
      <c r="AJ27" s="314">
        <f t="shared" si="49"/>
        <v>0</v>
      </c>
      <c r="AK27" s="314">
        <f t="shared" si="50"/>
        <v>0</v>
      </c>
      <c r="AL27" s="314">
        <f t="shared" si="51"/>
        <v>0</v>
      </c>
      <c r="AM27" s="315">
        <f t="shared" si="52"/>
        <v>0</v>
      </c>
      <c r="AN27" s="313">
        <f t="shared" si="65"/>
        <v>0</v>
      </c>
      <c r="AO27" s="314">
        <f t="shared" si="53"/>
        <v>0</v>
      </c>
      <c r="AP27" s="314">
        <f t="shared" si="53"/>
        <v>0</v>
      </c>
      <c r="AQ27" s="314">
        <f t="shared" si="53"/>
        <v>0</v>
      </c>
      <c r="AR27" s="315">
        <f t="shared" si="53"/>
        <v>0</v>
      </c>
      <c r="AS27" s="310">
        <f t="shared" ca="1" si="54"/>
        <v>0</v>
      </c>
      <c r="AT27" s="311">
        <f t="shared" ca="1" si="55"/>
        <v>0</v>
      </c>
      <c r="AU27" s="311">
        <f t="shared" ca="1" si="56"/>
        <v>0</v>
      </c>
      <c r="AV27" s="311">
        <f t="shared" ca="1" si="57"/>
        <v>0</v>
      </c>
      <c r="AW27" s="312">
        <f t="shared" si="58"/>
        <v>0</v>
      </c>
      <c r="AX27" s="758">
        <f t="shared" ca="1" si="59"/>
        <v>0</v>
      </c>
      <c r="AY27" s="625">
        <f t="shared" ca="1" si="59"/>
        <v>0</v>
      </c>
      <c r="AZ27" s="625">
        <f t="shared" ca="1" si="59"/>
        <v>0</v>
      </c>
      <c r="BA27" s="625">
        <f t="shared" ca="1" si="59"/>
        <v>0</v>
      </c>
      <c r="BB27" s="645">
        <f t="shared" si="59"/>
        <v>0</v>
      </c>
      <c r="BC27" s="310">
        <f t="shared" ca="1" si="66"/>
        <v>1</v>
      </c>
      <c r="BD27" s="311">
        <f t="shared" ca="1" si="60"/>
        <v>0</v>
      </c>
      <c r="BE27" s="311">
        <f t="shared" ca="1" si="61"/>
        <v>0</v>
      </c>
      <c r="BF27" s="311">
        <f t="shared" ca="1" si="62"/>
        <v>0</v>
      </c>
      <c r="BG27" s="311">
        <f t="shared" ca="1" si="63"/>
        <v>0</v>
      </c>
      <c r="BH27" s="312">
        <f t="shared" ca="1" si="64"/>
        <v>0</v>
      </c>
    </row>
    <row r="28" spans="1:60" x14ac:dyDescent="0.2">
      <c r="A28" s="318">
        <v>2011</v>
      </c>
      <c r="B28" s="817">
        <f t="shared" si="30"/>
        <v>96771.81</v>
      </c>
      <c r="C28" s="818">
        <f t="shared" si="30"/>
        <v>1000000</v>
      </c>
      <c r="D28" s="818">
        <f t="shared" si="30"/>
        <v>1000000</v>
      </c>
      <c r="E28" s="818">
        <f t="shared" si="30"/>
        <v>1000000</v>
      </c>
      <c r="F28" s="818">
        <f t="shared" si="30"/>
        <v>1000000</v>
      </c>
      <c r="G28" s="819">
        <f t="shared" si="30"/>
        <v>1000000</v>
      </c>
      <c r="H28" s="781">
        <f t="shared" si="31"/>
        <v>1</v>
      </c>
      <c r="I28" s="782">
        <f t="shared" si="31"/>
        <v>1</v>
      </c>
      <c r="J28" s="782">
        <f t="shared" si="31"/>
        <v>1</v>
      </c>
      <c r="K28" s="782">
        <f t="shared" si="31"/>
        <v>1</v>
      </c>
      <c r="L28" s="782">
        <f t="shared" si="31"/>
        <v>1</v>
      </c>
      <c r="M28" s="783">
        <f t="shared" si="31"/>
        <v>1</v>
      </c>
      <c r="N28" s="736">
        <f t="shared" si="32"/>
        <v>10333.072288486244</v>
      </c>
      <c r="O28" s="632">
        <f t="shared" si="33"/>
        <v>63345.575959933216</v>
      </c>
      <c r="P28" s="632">
        <f t="shared" si="34"/>
        <v>63345.575959933216</v>
      </c>
      <c r="Q28" s="632">
        <f t="shared" si="35"/>
        <v>63345.575959933216</v>
      </c>
      <c r="R28" s="632">
        <f t="shared" si="36"/>
        <v>63345.575959933216</v>
      </c>
      <c r="S28" s="745">
        <f t="shared" si="37"/>
        <v>184066.20405000003</v>
      </c>
      <c r="T28" s="736">
        <f t="shared" si="38"/>
        <v>-53012.503671446975</v>
      </c>
      <c r="U28" s="632">
        <f t="shared" si="39"/>
        <v>-53012.503671446975</v>
      </c>
      <c r="V28" s="632">
        <f t="shared" si="40"/>
        <v>-53012.503671446975</v>
      </c>
      <c r="W28" s="632">
        <f t="shared" si="41"/>
        <v>-53012.503671446975</v>
      </c>
      <c r="X28" s="633">
        <f t="shared" si="42"/>
        <v>-173733.1317615138</v>
      </c>
      <c r="Y28" s="634">
        <f ca="1">IF(AND(Y$22=TRUE,INDEX(CDRANGE_CLS3,MATCH($A28,$A$24:$A$67,0),MATCH(Y$20,$B$20:$G$20,0))&lt;$D$6/OPDAYS_Cls3),86,payback(C28,T28,disc_rate/12,85))</f>
        <v>86</v>
      </c>
      <c r="Z28" s="635">
        <f ca="1">IF(AND(Z$22=TRUE,INDEX(CDRANGE_CLS3,MATCH($A28,$A$24:$A$67,0),MATCH(Z$20,$B$20:$G$20,0))&lt;$D$6/OPDAYS_Cls3),86,payback(D28,U28,disc_rate/12,85))</f>
        <v>86</v>
      </c>
      <c r="AA28" s="635">
        <f ca="1">IF(AND(AA$22=TRUE,INDEX(CDRANGE_CLS3,MATCH($A28,$A$24:$A$67,0),MATCH(AA$20,$B$20:$G$20,0))&lt;$D$6/OPDAYS_Cls3),86,payback(E28,V28,disc_rate/12,85))</f>
        <v>86</v>
      </c>
      <c r="AB28" s="635">
        <f ca="1">IF(AND(AB$22=TRUE,INDEX(CDRANGE_CLS3,MATCH($A28,$A$24:$A$67,0),MATCH(AB$20,$B$20:$G$20,0))&lt;$D$6/OPDAYS_Cls3),86,payback(F28,W28,disc_rate/12,85))</f>
        <v>86</v>
      </c>
      <c r="AC28" s="893">
        <f>IF(AND(AC$22=TRUE,INDEX(CDRANGE_CLS3,MATCH($A28,$A$24:$A$67,0),MATCH(AC$20,$B$20:$G$20,0))&lt;$D$6/OPDAYS_Cls3),86,payback(G28,X28,disc_rate/12,85))</f>
        <v>86</v>
      </c>
      <c r="AD28" s="637">
        <f t="shared" si="43"/>
        <v>0</v>
      </c>
      <c r="AE28" s="638">
        <f t="shared" si="44"/>
        <v>0</v>
      </c>
      <c r="AF28" s="638">
        <f t="shared" si="45"/>
        <v>0</v>
      </c>
      <c r="AG28" s="638">
        <f t="shared" si="46"/>
        <v>0</v>
      </c>
      <c r="AH28" s="639">
        <f t="shared" si="47"/>
        <v>0</v>
      </c>
      <c r="AI28" s="640">
        <f t="shared" si="48"/>
        <v>0</v>
      </c>
      <c r="AJ28" s="641">
        <f t="shared" si="49"/>
        <v>0</v>
      </c>
      <c r="AK28" s="641">
        <f t="shared" si="50"/>
        <v>0</v>
      </c>
      <c r="AL28" s="641">
        <f t="shared" si="51"/>
        <v>0</v>
      </c>
      <c r="AM28" s="642">
        <f t="shared" si="52"/>
        <v>0</v>
      </c>
      <c r="AN28" s="643">
        <f t="shared" si="65"/>
        <v>0</v>
      </c>
      <c r="AO28" s="641">
        <f t="shared" si="53"/>
        <v>0</v>
      </c>
      <c r="AP28" s="641">
        <f t="shared" si="53"/>
        <v>0</v>
      </c>
      <c r="AQ28" s="641">
        <f t="shared" si="53"/>
        <v>0</v>
      </c>
      <c r="AR28" s="642">
        <f t="shared" si="53"/>
        <v>0</v>
      </c>
      <c r="AS28" s="637">
        <f t="shared" ca="1" si="54"/>
        <v>0</v>
      </c>
      <c r="AT28" s="638">
        <f t="shared" ca="1" si="55"/>
        <v>0</v>
      </c>
      <c r="AU28" s="638">
        <f t="shared" ca="1" si="56"/>
        <v>0</v>
      </c>
      <c r="AV28" s="638">
        <f t="shared" ca="1" si="57"/>
        <v>0</v>
      </c>
      <c r="AW28" s="639">
        <f t="shared" si="58"/>
        <v>0</v>
      </c>
      <c r="AX28" s="637">
        <f t="shared" ca="1" si="59"/>
        <v>0</v>
      </c>
      <c r="AY28" s="638">
        <f t="shared" ca="1" si="59"/>
        <v>0</v>
      </c>
      <c r="AZ28" s="638">
        <f t="shared" ca="1" si="59"/>
        <v>0</v>
      </c>
      <c r="BA28" s="638">
        <f t="shared" ca="1" si="59"/>
        <v>0</v>
      </c>
      <c r="BB28" s="639">
        <f t="shared" si="59"/>
        <v>0</v>
      </c>
      <c r="BC28" s="637">
        <f t="shared" ca="1" si="66"/>
        <v>1</v>
      </c>
      <c r="BD28" s="638">
        <f t="shared" ca="1" si="60"/>
        <v>0</v>
      </c>
      <c r="BE28" s="638">
        <f t="shared" ca="1" si="61"/>
        <v>0</v>
      </c>
      <c r="BF28" s="638">
        <f t="shared" ca="1" si="62"/>
        <v>0</v>
      </c>
      <c r="BG28" s="638">
        <f t="shared" ca="1" si="63"/>
        <v>0</v>
      </c>
      <c r="BH28" s="639">
        <f t="shared" ca="1" si="64"/>
        <v>0</v>
      </c>
    </row>
    <row r="29" spans="1:60" x14ac:dyDescent="0.2">
      <c r="A29" s="317">
        <v>2012</v>
      </c>
      <c r="B29" s="820">
        <f t="shared" si="30"/>
        <v>96771.81</v>
      </c>
      <c r="C29" s="821">
        <f t="shared" si="30"/>
        <v>1000000</v>
      </c>
      <c r="D29" s="821">
        <f t="shared" si="30"/>
        <v>1000000</v>
      </c>
      <c r="E29" s="821">
        <f t="shared" si="30"/>
        <v>1000000</v>
      </c>
      <c r="F29" s="821">
        <f t="shared" si="30"/>
        <v>1000000</v>
      </c>
      <c r="G29" s="822">
        <f t="shared" si="30"/>
        <v>1000000</v>
      </c>
      <c r="H29" s="781">
        <f t="shared" si="31"/>
        <v>1</v>
      </c>
      <c r="I29" s="782">
        <f t="shared" si="31"/>
        <v>1</v>
      </c>
      <c r="J29" s="782">
        <f t="shared" si="31"/>
        <v>1</v>
      </c>
      <c r="K29" s="782">
        <f t="shared" si="31"/>
        <v>1</v>
      </c>
      <c r="L29" s="782">
        <f t="shared" si="31"/>
        <v>1</v>
      </c>
      <c r="M29" s="783">
        <f t="shared" si="31"/>
        <v>1</v>
      </c>
      <c r="N29" s="733">
        <f t="shared" si="32"/>
        <v>10840.706072077373</v>
      </c>
      <c r="O29" s="276">
        <f t="shared" si="33"/>
        <v>66812.080740628313</v>
      </c>
      <c r="P29" s="276">
        <f t="shared" si="34"/>
        <v>66812.080740628313</v>
      </c>
      <c r="Q29" s="276">
        <f t="shared" si="35"/>
        <v>66812.080740628313</v>
      </c>
      <c r="R29" s="276">
        <f t="shared" si="36"/>
        <v>66812.080740628313</v>
      </c>
      <c r="S29" s="278">
        <f t="shared" si="37"/>
        <v>157332.03911249997</v>
      </c>
      <c r="T29" s="734">
        <f t="shared" si="38"/>
        <v>-55971.37466855094</v>
      </c>
      <c r="U29" s="290">
        <f t="shared" si="39"/>
        <v>-55971.37466855094</v>
      </c>
      <c r="V29" s="290">
        <f t="shared" si="40"/>
        <v>-55971.37466855094</v>
      </c>
      <c r="W29" s="290">
        <f t="shared" si="41"/>
        <v>-55971.37466855094</v>
      </c>
      <c r="X29" s="291">
        <f t="shared" si="42"/>
        <v>-146491.33304042259</v>
      </c>
      <c r="Y29" s="279">
        <f ca="1">IF(AND(Y$22=TRUE,INDEX(CDRANGE_CLS3,MATCH($A29,$A$24:$A$67,0),MATCH(Y$20,$B$20:$G$20,0))&lt;$D$6/OPDAYS_Cls3),86,payback(C29,T29,disc_rate/12,85))</f>
        <v>86</v>
      </c>
      <c r="Z29" s="280">
        <f ca="1">IF(AND(Z$22=TRUE,INDEX(CDRANGE_CLS3,MATCH($A29,$A$24:$A$67,0),MATCH(Z$20,$B$20:$G$20,0))&lt;$D$6/OPDAYS_Cls3),86,payback(D29,U29,disc_rate/12,85))</f>
        <v>86</v>
      </c>
      <c r="AA29" s="280">
        <f ca="1">IF(AND(AA$22=TRUE,INDEX(CDRANGE_CLS3,MATCH($A29,$A$24:$A$67,0),MATCH(AA$20,$B$20:$G$20,0))&lt;$D$6/OPDAYS_Cls3),86,payback(E29,V29,disc_rate/12,85))</f>
        <v>86</v>
      </c>
      <c r="AB29" s="280">
        <f ca="1">IF(AND(AB$22=TRUE,INDEX(CDRANGE_CLS3,MATCH($A29,$A$24:$A$67,0),MATCH(AB$20,$B$20:$G$20,0))&lt;$D$6/OPDAYS_Cls3),86,payback(F29,W29,disc_rate/12,85))</f>
        <v>86</v>
      </c>
      <c r="AC29" s="281">
        <f>IF(AND(AC$22=TRUE,INDEX(CDRANGE_CLS3,MATCH($A29,$A$24:$A$67,0),MATCH(AC$20,$B$20:$G$20,0))&lt;$D$6/OPDAYS_Cls3),86,payback(G29,X29,disc_rate/12,85))</f>
        <v>86</v>
      </c>
      <c r="AD29" s="296">
        <f t="shared" si="43"/>
        <v>0</v>
      </c>
      <c r="AE29" s="297">
        <f t="shared" si="44"/>
        <v>0</v>
      </c>
      <c r="AF29" s="297">
        <f t="shared" si="45"/>
        <v>0</v>
      </c>
      <c r="AG29" s="297">
        <f t="shared" si="46"/>
        <v>0</v>
      </c>
      <c r="AH29" s="298">
        <f t="shared" si="47"/>
        <v>0</v>
      </c>
      <c r="AI29" s="595">
        <f t="shared" si="48"/>
        <v>0</v>
      </c>
      <c r="AJ29" s="300">
        <f t="shared" si="49"/>
        <v>0</v>
      </c>
      <c r="AK29" s="300">
        <f t="shared" si="50"/>
        <v>0</v>
      </c>
      <c r="AL29" s="300">
        <f t="shared" si="51"/>
        <v>0</v>
      </c>
      <c r="AM29" s="598">
        <f t="shared" si="52"/>
        <v>0</v>
      </c>
      <c r="AN29" s="299">
        <f t="shared" si="65"/>
        <v>0</v>
      </c>
      <c r="AO29" s="300">
        <f t="shared" si="53"/>
        <v>0</v>
      </c>
      <c r="AP29" s="300">
        <f t="shared" si="53"/>
        <v>0</v>
      </c>
      <c r="AQ29" s="300">
        <f t="shared" si="53"/>
        <v>0</v>
      </c>
      <c r="AR29" s="598">
        <f t="shared" si="53"/>
        <v>0</v>
      </c>
      <c r="AS29" s="296">
        <f t="shared" ca="1" si="54"/>
        <v>0</v>
      </c>
      <c r="AT29" s="297">
        <f t="shared" ca="1" si="55"/>
        <v>0</v>
      </c>
      <c r="AU29" s="297">
        <f t="shared" ca="1" si="56"/>
        <v>0</v>
      </c>
      <c r="AV29" s="297">
        <f t="shared" ca="1" si="57"/>
        <v>0</v>
      </c>
      <c r="AW29" s="298">
        <f t="shared" si="58"/>
        <v>0</v>
      </c>
      <c r="AX29" s="296">
        <f t="shared" ca="1" si="59"/>
        <v>0</v>
      </c>
      <c r="AY29" s="297">
        <f t="shared" ca="1" si="59"/>
        <v>0</v>
      </c>
      <c r="AZ29" s="297">
        <f t="shared" ca="1" si="59"/>
        <v>0</v>
      </c>
      <c r="BA29" s="297">
        <f t="shared" ca="1" si="59"/>
        <v>0</v>
      </c>
      <c r="BB29" s="298">
        <f t="shared" si="59"/>
        <v>0</v>
      </c>
      <c r="BC29" s="296">
        <f t="shared" ca="1" si="66"/>
        <v>1</v>
      </c>
      <c r="BD29" s="297">
        <f t="shared" ca="1" si="60"/>
        <v>0</v>
      </c>
      <c r="BE29" s="297">
        <f t="shared" ca="1" si="61"/>
        <v>0</v>
      </c>
      <c r="BF29" s="297">
        <f t="shared" ca="1" si="62"/>
        <v>0</v>
      </c>
      <c r="BG29" s="297">
        <f t="shared" ca="1" si="63"/>
        <v>0</v>
      </c>
      <c r="BH29" s="298">
        <f t="shared" ca="1" si="64"/>
        <v>0</v>
      </c>
    </row>
    <row r="30" spans="1:60" x14ac:dyDescent="0.2">
      <c r="A30" s="317">
        <v>2013</v>
      </c>
      <c r="B30" s="820">
        <f t="shared" si="30"/>
        <v>96771.81</v>
      </c>
      <c r="C30" s="821">
        <f t="shared" si="30"/>
        <v>1000000</v>
      </c>
      <c r="D30" s="821">
        <f t="shared" si="30"/>
        <v>1000000</v>
      </c>
      <c r="E30" s="821">
        <f t="shared" si="30"/>
        <v>1000000</v>
      </c>
      <c r="F30" s="821">
        <f t="shared" si="30"/>
        <v>1000000</v>
      </c>
      <c r="G30" s="822">
        <f t="shared" si="30"/>
        <v>1000000</v>
      </c>
      <c r="H30" s="781">
        <f t="shared" si="31"/>
        <v>1</v>
      </c>
      <c r="I30" s="782">
        <f t="shared" si="31"/>
        <v>1</v>
      </c>
      <c r="J30" s="782">
        <f t="shared" si="31"/>
        <v>1</v>
      </c>
      <c r="K30" s="782">
        <f t="shared" si="31"/>
        <v>1</v>
      </c>
      <c r="L30" s="782">
        <f t="shared" si="31"/>
        <v>1</v>
      </c>
      <c r="M30" s="783">
        <f t="shared" si="31"/>
        <v>1</v>
      </c>
      <c r="N30" s="733">
        <f t="shared" si="32"/>
        <v>10770.039360993798</v>
      </c>
      <c r="O30" s="276">
        <f t="shared" si="33"/>
        <v>67008.521778722105</v>
      </c>
      <c r="P30" s="276">
        <f t="shared" si="34"/>
        <v>67008.521778722105</v>
      </c>
      <c r="Q30" s="276">
        <f t="shared" si="35"/>
        <v>67008.521778722105</v>
      </c>
      <c r="R30" s="276">
        <f t="shared" si="36"/>
        <v>67008.521778722105</v>
      </c>
      <c r="S30" s="278">
        <f t="shared" si="37"/>
        <v>161270.62325999999</v>
      </c>
      <c r="T30" s="734">
        <f t="shared" si="38"/>
        <v>-56238.482417728308</v>
      </c>
      <c r="U30" s="290">
        <f t="shared" si="39"/>
        <v>-56238.482417728308</v>
      </c>
      <c r="V30" s="290">
        <f t="shared" si="40"/>
        <v>-56238.482417728308</v>
      </c>
      <c r="W30" s="290">
        <f t="shared" si="41"/>
        <v>-56238.482417728308</v>
      </c>
      <c r="X30" s="291">
        <f t="shared" si="42"/>
        <v>-150500.58389900619</v>
      </c>
      <c r="Y30" s="279">
        <f ca="1">IF(AND(Y$22=TRUE,INDEX(CDRANGE_CLS3,MATCH($A30,$A$24:$A$67,0),MATCH(Y$20,$B$20:$G$20,0))&lt;$D$6/OPDAYS_Cls3),86,payback(C30,T30,disc_rate/12,85))</f>
        <v>86</v>
      </c>
      <c r="Z30" s="280">
        <f ca="1">IF(AND(Z$22=TRUE,INDEX(CDRANGE_CLS3,MATCH($A30,$A$24:$A$67,0),MATCH(Z$20,$B$20:$G$20,0))&lt;$D$6/OPDAYS_Cls3),86,payback(D30,U30,disc_rate/12,85))</f>
        <v>86</v>
      </c>
      <c r="AA30" s="280">
        <f ca="1">IF(AND(AA$22=TRUE,INDEX(CDRANGE_CLS3,MATCH($A30,$A$24:$A$67,0),MATCH(AA$20,$B$20:$G$20,0))&lt;$D$6/OPDAYS_Cls3),86,payback(E30,V30,disc_rate/12,85))</f>
        <v>86</v>
      </c>
      <c r="AB30" s="280">
        <f ca="1">IF(AND(AB$22=TRUE,INDEX(CDRANGE_CLS3,MATCH($A30,$A$24:$A$67,0),MATCH(AB$20,$B$20:$G$20,0))&lt;$D$6/OPDAYS_Cls3),86,payback(F30,W30,disc_rate/12,85))</f>
        <v>86</v>
      </c>
      <c r="AC30" s="281">
        <f>IF(AND(AC$22=TRUE,INDEX(CDRANGE_CLS3,MATCH($A30,$A$24:$A$67,0),MATCH(AC$20,$B$20:$G$20,0))&lt;$D$6/OPDAYS_Cls3),86,payback(G30,X30,disc_rate/12,85))</f>
        <v>86</v>
      </c>
      <c r="AD30" s="296">
        <f t="shared" si="43"/>
        <v>0</v>
      </c>
      <c r="AE30" s="297">
        <f t="shared" si="44"/>
        <v>0</v>
      </c>
      <c r="AF30" s="297">
        <f t="shared" si="45"/>
        <v>0</v>
      </c>
      <c r="AG30" s="297">
        <f t="shared" si="46"/>
        <v>0</v>
      </c>
      <c r="AH30" s="298">
        <f t="shared" si="47"/>
        <v>0</v>
      </c>
      <c r="AI30" s="595">
        <f t="shared" si="48"/>
        <v>0</v>
      </c>
      <c r="AJ30" s="300">
        <f t="shared" si="49"/>
        <v>0</v>
      </c>
      <c r="AK30" s="300">
        <f t="shared" si="50"/>
        <v>0</v>
      </c>
      <c r="AL30" s="300">
        <f t="shared" si="51"/>
        <v>0</v>
      </c>
      <c r="AM30" s="598">
        <f t="shared" si="52"/>
        <v>0</v>
      </c>
      <c r="AN30" s="299">
        <f t="shared" si="65"/>
        <v>0</v>
      </c>
      <c r="AO30" s="300">
        <f t="shared" si="53"/>
        <v>0</v>
      </c>
      <c r="AP30" s="300">
        <f t="shared" si="53"/>
        <v>0</v>
      </c>
      <c r="AQ30" s="300">
        <f t="shared" si="53"/>
        <v>0</v>
      </c>
      <c r="AR30" s="598">
        <f t="shared" si="53"/>
        <v>0</v>
      </c>
      <c r="AS30" s="296">
        <f t="shared" ca="1" si="54"/>
        <v>0</v>
      </c>
      <c r="AT30" s="297">
        <f t="shared" ca="1" si="55"/>
        <v>0</v>
      </c>
      <c r="AU30" s="297">
        <f t="shared" ca="1" si="56"/>
        <v>0</v>
      </c>
      <c r="AV30" s="297">
        <f t="shared" ca="1" si="57"/>
        <v>0</v>
      </c>
      <c r="AW30" s="298">
        <f t="shared" si="58"/>
        <v>0</v>
      </c>
      <c r="AX30" s="296">
        <f t="shared" ca="1" si="59"/>
        <v>0</v>
      </c>
      <c r="AY30" s="297">
        <f t="shared" ca="1" si="59"/>
        <v>0</v>
      </c>
      <c r="AZ30" s="297">
        <f t="shared" ca="1" si="59"/>
        <v>0</v>
      </c>
      <c r="BA30" s="297">
        <f t="shared" ca="1" si="59"/>
        <v>0</v>
      </c>
      <c r="BB30" s="298">
        <f t="shared" si="59"/>
        <v>0</v>
      </c>
      <c r="BC30" s="296">
        <f t="shared" ca="1" si="66"/>
        <v>1</v>
      </c>
      <c r="BD30" s="297">
        <f t="shared" ca="1" si="60"/>
        <v>0</v>
      </c>
      <c r="BE30" s="297">
        <f t="shared" ca="1" si="61"/>
        <v>0</v>
      </c>
      <c r="BF30" s="297">
        <f t="shared" ca="1" si="62"/>
        <v>0</v>
      </c>
      <c r="BG30" s="297">
        <f t="shared" ca="1" si="63"/>
        <v>0</v>
      </c>
      <c r="BH30" s="298">
        <f t="shared" ca="1" si="64"/>
        <v>0</v>
      </c>
    </row>
    <row r="31" spans="1:60" x14ac:dyDescent="0.2">
      <c r="A31" s="317">
        <v>2014</v>
      </c>
      <c r="B31" s="820">
        <f t="shared" si="30"/>
        <v>96771.81</v>
      </c>
      <c r="C31" s="821">
        <f t="shared" si="30"/>
        <v>1000000</v>
      </c>
      <c r="D31" s="821">
        <f t="shared" si="30"/>
        <v>1000000</v>
      </c>
      <c r="E31" s="821">
        <f t="shared" si="30"/>
        <v>1000000</v>
      </c>
      <c r="F31" s="821">
        <f t="shared" si="30"/>
        <v>1000000</v>
      </c>
      <c r="G31" s="822">
        <f t="shared" si="30"/>
        <v>1000000</v>
      </c>
      <c r="H31" s="781">
        <f t="shared" si="31"/>
        <v>1</v>
      </c>
      <c r="I31" s="782">
        <f t="shared" si="31"/>
        <v>1</v>
      </c>
      <c r="J31" s="782">
        <f t="shared" si="31"/>
        <v>1</v>
      </c>
      <c r="K31" s="782">
        <f t="shared" si="31"/>
        <v>1</v>
      </c>
      <c r="L31" s="782">
        <f t="shared" si="31"/>
        <v>1</v>
      </c>
      <c r="M31" s="783">
        <f t="shared" si="31"/>
        <v>1</v>
      </c>
      <c r="N31" s="733">
        <f t="shared" si="32"/>
        <v>10588.593032365839</v>
      </c>
      <c r="O31" s="276">
        <f t="shared" si="33"/>
        <v>66407.056268022468</v>
      </c>
      <c r="P31" s="276">
        <f t="shared" si="34"/>
        <v>66407.056268022468</v>
      </c>
      <c r="Q31" s="276">
        <f t="shared" si="35"/>
        <v>66407.056268022468</v>
      </c>
      <c r="R31" s="276">
        <f t="shared" si="36"/>
        <v>66407.056268022468</v>
      </c>
      <c r="S31" s="278">
        <f t="shared" si="37"/>
        <v>167382.11801625005</v>
      </c>
      <c r="T31" s="734">
        <f t="shared" si="38"/>
        <v>-55818.463235656629</v>
      </c>
      <c r="U31" s="290">
        <f t="shared" si="39"/>
        <v>-55818.463235656629</v>
      </c>
      <c r="V31" s="290">
        <f t="shared" si="40"/>
        <v>-55818.463235656629</v>
      </c>
      <c r="W31" s="290">
        <f t="shared" si="41"/>
        <v>-55818.463235656629</v>
      </c>
      <c r="X31" s="291">
        <f t="shared" si="42"/>
        <v>-156793.52498388421</v>
      </c>
      <c r="Y31" s="279">
        <f ca="1">IF(AND(Y$22=TRUE,INDEX(CDRANGE_CLS3,MATCH($A31,$A$24:$A$67,0),MATCH(Y$20,$B$20:$G$20,0))&lt;$D$6/OPDAYS_Cls3),86,payback(C31,T31,disc_rate/12,85))</f>
        <v>86</v>
      </c>
      <c r="Z31" s="280">
        <f ca="1">IF(AND(Z$22=TRUE,INDEX(CDRANGE_CLS3,MATCH($A31,$A$24:$A$67,0),MATCH(Z$20,$B$20:$G$20,0))&lt;$D$6/OPDAYS_Cls3),86,payback(D31,U31,disc_rate/12,85))</f>
        <v>86</v>
      </c>
      <c r="AA31" s="280">
        <f ca="1">IF(AND(AA$22=TRUE,INDEX(CDRANGE_CLS3,MATCH($A31,$A$24:$A$67,0),MATCH(AA$20,$B$20:$G$20,0))&lt;$D$6/OPDAYS_Cls3),86,payback(E31,V31,disc_rate/12,85))</f>
        <v>86</v>
      </c>
      <c r="AB31" s="280">
        <f ca="1">IF(AND(AB$22=TRUE,INDEX(CDRANGE_CLS3,MATCH($A31,$A$24:$A$67,0),MATCH(AB$20,$B$20:$G$20,0))&lt;$D$6/OPDAYS_Cls3),86,payback(F31,W31,disc_rate/12,85))</f>
        <v>86</v>
      </c>
      <c r="AC31" s="281">
        <f>IF(AND(AC$22=TRUE,INDEX(CDRANGE_CLS3,MATCH($A31,$A$24:$A$67,0),MATCH(AC$20,$B$20:$G$20,0))&lt;$D$6/OPDAYS_Cls3),86,payback(G31,X31,disc_rate/12,85))</f>
        <v>86</v>
      </c>
      <c r="AD31" s="296">
        <f t="shared" si="43"/>
        <v>0</v>
      </c>
      <c r="AE31" s="297">
        <f t="shared" si="44"/>
        <v>0</v>
      </c>
      <c r="AF31" s="297">
        <f t="shared" si="45"/>
        <v>0</v>
      </c>
      <c r="AG31" s="297">
        <f t="shared" si="46"/>
        <v>0</v>
      </c>
      <c r="AH31" s="298">
        <f t="shared" si="47"/>
        <v>0</v>
      </c>
      <c r="AI31" s="595">
        <f t="shared" si="48"/>
        <v>0</v>
      </c>
      <c r="AJ31" s="300">
        <f t="shared" si="49"/>
        <v>0</v>
      </c>
      <c r="AK31" s="300">
        <f t="shared" si="50"/>
        <v>0</v>
      </c>
      <c r="AL31" s="300">
        <f t="shared" si="51"/>
        <v>0</v>
      </c>
      <c r="AM31" s="598">
        <f t="shared" si="52"/>
        <v>0</v>
      </c>
      <c r="AN31" s="299">
        <f t="shared" si="65"/>
        <v>0</v>
      </c>
      <c r="AO31" s="300">
        <f t="shared" si="53"/>
        <v>0</v>
      </c>
      <c r="AP31" s="300">
        <f t="shared" si="53"/>
        <v>0</v>
      </c>
      <c r="AQ31" s="300">
        <f t="shared" si="53"/>
        <v>0</v>
      </c>
      <c r="AR31" s="598">
        <f t="shared" si="53"/>
        <v>0</v>
      </c>
      <c r="AS31" s="296">
        <f t="shared" ca="1" si="54"/>
        <v>0</v>
      </c>
      <c r="AT31" s="297">
        <f t="shared" ca="1" si="55"/>
        <v>0</v>
      </c>
      <c r="AU31" s="297">
        <f t="shared" ca="1" si="56"/>
        <v>0</v>
      </c>
      <c r="AV31" s="297">
        <f t="shared" ca="1" si="57"/>
        <v>0</v>
      </c>
      <c r="AW31" s="298">
        <f t="shared" si="58"/>
        <v>0</v>
      </c>
      <c r="AX31" s="296">
        <f t="shared" ca="1" si="59"/>
        <v>0</v>
      </c>
      <c r="AY31" s="297">
        <f t="shared" ca="1" si="59"/>
        <v>0</v>
      </c>
      <c r="AZ31" s="297">
        <f t="shared" ca="1" si="59"/>
        <v>0</v>
      </c>
      <c r="BA31" s="297">
        <f t="shared" ca="1" si="59"/>
        <v>0</v>
      </c>
      <c r="BB31" s="298">
        <f t="shared" si="59"/>
        <v>0</v>
      </c>
      <c r="BC31" s="296">
        <f t="shared" ca="1" si="66"/>
        <v>1</v>
      </c>
      <c r="BD31" s="297">
        <f t="shared" ca="1" si="60"/>
        <v>0</v>
      </c>
      <c r="BE31" s="297">
        <f t="shared" ca="1" si="61"/>
        <v>0</v>
      </c>
      <c r="BF31" s="297">
        <f t="shared" ca="1" si="62"/>
        <v>0</v>
      </c>
      <c r="BG31" s="297">
        <f t="shared" ca="1" si="63"/>
        <v>0</v>
      </c>
      <c r="BH31" s="298">
        <f t="shared" ca="1" si="64"/>
        <v>0</v>
      </c>
    </row>
    <row r="32" spans="1:60" ht="15" thickBot="1" x14ac:dyDescent="0.25">
      <c r="A32" s="302">
        <v>2015</v>
      </c>
      <c r="B32" s="823">
        <f t="shared" si="30"/>
        <v>96771.81</v>
      </c>
      <c r="C32" s="824">
        <f t="shared" si="30"/>
        <v>1000000</v>
      </c>
      <c r="D32" s="824">
        <f t="shared" si="30"/>
        <v>1000000</v>
      </c>
      <c r="E32" s="824">
        <f t="shared" si="30"/>
        <v>1000000</v>
      </c>
      <c r="F32" s="824">
        <f t="shared" si="30"/>
        <v>1000000</v>
      </c>
      <c r="G32" s="825">
        <f t="shared" si="30"/>
        <v>1000000</v>
      </c>
      <c r="H32" s="781">
        <f t="shared" si="31"/>
        <v>1</v>
      </c>
      <c r="I32" s="782">
        <f t="shared" si="31"/>
        <v>1</v>
      </c>
      <c r="J32" s="782">
        <f t="shared" si="31"/>
        <v>1</v>
      </c>
      <c r="K32" s="782">
        <f t="shared" si="31"/>
        <v>1</v>
      </c>
      <c r="L32" s="782">
        <f t="shared" si="31"/>
        <v>1</v>
      </c>
      <c r="M32" s="783">
        <f t="shared" si="31"/>
        <v>1</v>
      </c>
      <c r="N32" s="884">
        <f t="shared" si="32"/>
        <v>7416.6980175890603</v>
      </c>
      <c r="O32" s="779">
        <f t="shared" si="33"/>
        <v>47058.723820003019</v>
      </c>
      <c r="P32" s="779">
        <f t="shared" si="34"/>
        <v>47058.723820003019</v>
      </c>
      <c r="Q32" s="779">
        <f t="shared" si="35"/>
        <v>47058.723820003019</v>
      </c>
      <c r="R32" s="779">
        <f t="shared" si="36"/>
        <v>47058.723820003019</v>
      </c>
      <c r="S32" s="780">
        <f t="shared" si="37"/>
        <v>153361.38925874999</v>
      </c>
      <c r="T32" s="737">
        <f t="shared" si="38"/>
        <v>-39642.025802413962</v>
      </c>
      <c r="U32" s="304">
        <f t="shared" si="39"/>
        <v>-39642.025802413962</v>
      </c>
      <c r="V32" s="304">
        <f t="shared" si="40"/>
        <v>-39642.025802413962</v>
      </c>
      <c r="W32" s="304">
        <f t="shared" si="41"/>
        <v>-39642.025802413962</v>
      </c>
      <c r="X32" s="305">
        <f t="shared" si="42"/>
        <v>-145944.69124116094</v>
      </c>
      <c r="Y32" s="889">
        <f ca="1">IF(AND(Y$22=TRUE,INDEX(CDRANGE_CLS3,MATCH($A32,$A$24:$A$67,0),MATCH(Y$20,$B$20:$G$20,0))&lt;$D$6/OPDAYS_Cls3),86,payback(C32,T32,disc_rate/12,85))</f>
        <v>86</v>
      </c>
      <c r="Z32" s="890">
        <f ca="1">IF(AND(Z$22=TRUE,INDEX(CDRANGE_CLS3,MATCH($A32,$A$24:$A$67,0),MATCH(Z$20,$B$20:$G$20,0))&lt;$D$6/OPDAYS_Cls3),86,payback(D32,U32,disc_rate/12,85))</f>
        <v>86</v>
      </c>
      <c r="AA32" s="890">
        <f ca="1">IF(AND(AA$22=TRUE,INDEX(CDRANGE_CLS3,MATCH($A32,$A$24:$A$67,0),MATCH(AA$20,$B$20:$G$20,0))&lt;$D$6/OPDAYS_Cls3),86,payback(E32,V32,disc_rate/12,85))</f>
        <v>86</v>
      </c>
      <c r="AB32" s="890">
        <f ca="1">IF(AND(AB$22=TRUE,INDEX(CDRANGE_CLS3,MATCH($A32,$A$24:$A$67,0),MATCH(AB$20,$B$20:$G$20,0))&lt;$D$6/OPDAYS_Cls3),86,payback(F32,W32,disc_rate/12,85))</f>
        <v>86</v>
      </c>
      <c r="AC32" s="891">
        <f>IF(AND(AC$22=TRUE,INDEX(CDRANGE_CLS3,MATCH($A32,$A$24:$A$67,0),MATCH(AC$20,$B$20:$G$20,0))&lt;$D$6/OPDAYS_Cls3),86,payback(G32,X32,disc_rate/12,85))</f>
        <v>86</v>
      </c>
      <c r="AD32" s="310">
        <f t="shared" si="43"/>
        <v>0</v>
      </c>
      <c r="AE32" s="311">
        <f t="shared" si="44"/>
        <v>0</v>
      </c>
      <c r="AF32" s="311">
        <f t="shared" si="45"/>
        <v>0</v>
      </c>
      <c r="AG32" s="311">
        <f t="shared" si="46"/>
        <v>0</v>
      </c>
      <c r="AH32" s="312">
        <f t="shared" si="47"/>
        <v>0</v>
      </c>
      <c r="AI32" s="596">
        <f t="shared" si="48"/>
        <v>0</v>
      </c>
      <c r="AJ32" s="314">
        <f t="shared" si="49"/>
        <v>0</v>
      </c>
      <c r="AK32" s="314">
        <f t="shared" si="50"/>
        <v>0</v>
      </c>
      <c r="AL32" s="314">
        <f t="shared" si="51"/>
        <v>0</v>
      </c>
      <c r="AM32" s="599">
        <f t="shared" si="52"/>
        <v>0</v>
      </c>
      <c r="AN32" s="313">
        <f t="shared" si="65"/>
        <v>0</v>
      </c>
      <c r="AO32" s="314">
        <f t="shared" si="53"/>
        <v>0</v>
      </c>
      <c r="AP32" s="314">
        <f t="shared" si="53"/>
        <v>0</v>
      </c>
      <c r="AQ32" s="314">
        <f t="shared" si="53"/>
        <v>0</v>
      </c>
      <c r="AR32" s="599">
        <f t="shared" si="53"/>
        <v>0</v>
      </c>
      <c r="AS32" s="310">
        <f t="shared" ca="1" si="54"/>
        <v>0</v>
      </c>
      <c r="AT32" s="311">
        <f t="shared" ca="1" si="55"/>
        <v>0</v>
      </c>
      <c r="AU32" s="311">
        <f t="shared" ca="1" si="56"/>
        <v>0</v>
      </c>
      <c r="AV32" s="311">
        <f t="shared" ca="1" si="57"/>
        <v>0</v>
      </c>
      <c r="AW32" s="312">
        <f t="shared" si="58"/>
        <v>0</v>
      </c>
      <c r="AX32" s="310">
        <f t="shared" ca="1" si="59"/>
        <v>0</v>
      </c>
      <c r="AY32" s="311">
        <f t="shared" ca="1" si="59"/>
        <v>0</v>
      </c>
      <c r="AZ32" s="311">
        <f t="shared" ca="1" si="59"/>
        <v>0</v>
      </c>
      <c r="BA32" s="311">
        <f t="shared" ca="1" si="59"/>
        <v>0</v>
      </c>
      <c r="BB32" s="312">
        <f t="shared" si="59"/>
        <v>0</v>
      </c>
      <c r="BC32" s="310">
        <f t="shared" ca="1" si="66"/>
        <v>1</v>
      </c>
      <c r="BD32" s="311">
        <f t="shared" ca="1" si="60"/>
        <v>0</v>
      </c>
      <c r="BE32" s="311">
        <f t="shared" ca="1" si="61"/>
        <v>0</v>
      </c>
      <c r="BF32" s="311">
        <f t="shared" ca="1" si="62"/>
        <v>0</v>
      </c>
      <c r="BG32" s="311">
        <f t="shared" ca="1" si="63"/>
        <v>0</v>
      </c>
      <c r="BH32" s="312">
        <f t="shared" ca="1" si="64"/>
        <v>0</v>
      </c>
    </row>
    <row r="33" spans="1:62" x14ac:dyDescent="0.2">
      <c r="A33" s="316">
        <v>2016</v>
      </c>
      <c r="B33" s="826">
        <f t="shared" si="30"/>
        <v>96771.81</v>
      </c>
      <c r="C33" s="827">
        <f t="shared" si="30"/>
        <v>1000000</v>
      </c>
      <c r="D33" s="827">
        <f t="shared" si="30"/>
        <v>1000000</v>
      </c>
      <c r="E33" s="827">
        <f t="shared" si="30"/>
        <v>1000000</v>
      </c>
      <c r="F33" s="827">
        <f t="shared" si="30"/>
        <v>1000000</v>
      </c>
      <c r="G33" s="828">
        <f t="shared" si="30"/>
        <v>1000000</v>
      </c>
      <c r="H33" s="781">
        <f t="shared" si="31"/>
        <v>1</v>
      </c>
      <c r="I33" s="782">
        <f t="shared" si="31"/>
        <v>1</v>
      </c>
      <c r="J33" s="782">
        <f t="shared" si="31"/>
        <v>1</v>
      </c>
      <c r="K33" s="782">
        <f t="shared" si="31"/>
        <v>1</v>
      </c>
      <c r="L33" s="782">
        <f t="shared" si="31"/>
        <v>1</v>
      </c>
      <c r="M33" s="783">
        <f t="shared" si="31"/>
        <v>1</v>
      </c>
      <c r="N33" s="733">
        <f t="shared" si="32"/>
        <v>6333.0074291680739</v>
      </c>
      <c r="O33" s="276">
        <f t="shared" si="33"/>
        <v>40557.778115040222</v>
      </c>
      <c r="P33" s="276">
        <f t="shared" si="34"/>
        <v>40557.778115040222</v>
      </c>
      <c r="Q33" s="276">
        <f t="shared" si="35"/>
        <v>40557.778115040222</v>
      </c>
      <c r="R33" s="276">
        <f t="shared" si="36"/>
        <v>40557.778115040222</v>
      </c>
      <c r="S33" s="278">
        <f t="shared" si="37"/>
        <v>150240.24916499996</v>
      </c>
      <c r="T33" s="733">
        <f t="shared" si="38"/>
        <v>-34224.77068587215</v>
      </c>
      <c r="U33" s="276">
        <f t="shared" si="39"/>
        <v>-34224.77068587215</v>
      </c>
      <c r="V33" s="276">
        <f t="shared" si="40"/>
        <v>-34224.77068587215</v>
      </c>
      <c r="W33" s="276">
        <f t="shared" si="41"/>
        <v>-34224.77068587215</v>
      </c>
      <c r="X33" s="277">
        <f t="shared" si="42"/>
        <v>-143907.24173583189</v>
      </c>
      <c r="Y33" s="279">
        <f ca="1">IF(AND(Y$22=TRUE,INDEX(CDRANGE_CLS3,MATCH($A33,$A$24:$A$67,0),MATCH(Y$20,$B$20:$G$20,0))&lt;$D$6/OPDAYS_Cls3),86,payback(C33,T33,disc_rate/12,85))</f>
        <v>86</v>
      </c>
      <c r="Z33" s="280">
        <f ca="1">IF(AND(Z$22=TRUE,INDEX(CDRANGE_CLS3,MATCH($A33,$A$24:$A$67,0),MATCH(Z$20,$B$20:$G$20,0))&lt;$D$6/OPDAYS_Cls3),86,payback(D33,U33,disc_rate/12,85))</f>
        <v>86</v>
      </c>
      <c r="AA33" s="280">
        <f ca="1">IF(AND(AA$22=TRUE,INDEX(CDRANGE_CLS3,MATCH($A33,$A$24:$A$67,0),MATCH(AA$20,$B$20:$G$20,0))&lt;$D$6/OPDAYS_Cls3),86,payback(E33,V33,disc_rate/12,85))</f>
        <v>86</v>
      </c>
      <c r="AB33" s="280">
        <f ca="1">IF(AND(AB$22=TRUE,INDEX(CDRANGE_CLS3,MATCH($A33,$A$24:$A$67,0),MATCH(AB$20,$B$20:$G$20,0))&lt;$D$6/OPDAYS_Cls3),86,payback(F33,W33,disc_rate/12,85))</f>
        <v>86</v>
      </c>
      <c r="AC33" s="281">
        <f>IF(AND(AC$22=TRUE,INDEX(CDRANGE_CLS3,MATCH($A33,$A$24:$A$67,0),MATCH(AC$20,$B$20:$G$20,0))&lt;$D$6/OPDAYS_Cls3),86,payback(G33,X33,disc_rate/12,85))</f>
        <v>86</v>
      </c>
      <c r="AD33" s="282">
        <f t="shared" si="43"/>
        <v>0</v>
      </c>
      <c r="AE33" s="283">
        <f t="shared" si="44"/>
        <v>0</v>
      </c>
      <c r="AF33" s="283">
        <f t="shared" si="45"/>
        <v>0</v>
      </c>
      <c r="AG33" s="283">
        <f t="shared" si="46"/>
        <v>0</v>
      </c>
      <c r="AH33" s="284">
        <f t="shared" si="47"/>
        <v>0</v>
      </c>
      <c r="AI33" s="594">
        <f t="shared" si="48"/>
        <v>0</v>
      </c>
      <c r="AJ33" s="286">
        <f t="shared" si="49"/>
        <v>0</v>
      </c>
      <c r="AK33" s="286">
        <f t="shared" si="50"/>
        <v>0</v>
      </c>
      <c r="AL33" s="286">
        <f t="shared" si="51"/>
        <v>0</v>
      </c>
      <c r="AM33" s="611">
        <f t="shared" si="52"/>
        <v>0</v>
      </c>
      <c r="AN33" s="285">
        <f t="shared" si="65"/>
        <v>0</v>
      </c>
      <c r="AO33" s="286">
        <f t="shared" si="53"/>
        <v>0</v>
      </c>
      <c r="AP33" s="286">
        <f t="shared" si="53"/>
        <v>0</v>
      </c>
      <c r="AQ33" s="286">
        <f t="shared" si="53"/>
        <v>0</v>
      </c>
      <c r="AR33" s="611">
        <f t="shared" si="53"/>
        <v>0</v>
      </c>
      <c r="AS33" s="282">
        <f t="shared" ca="1" si="54"/>
        <v>0</v>
      </c>
      <c r="AT33" s="283">
        <f t="shared" ca="1" si="55"/>
        <v>0</v>
      </c>
      <c r="AU33" s="283">
        <f t="shared" ca="1" si="56"/>
        <v>0</v>
      </c>
      <c r="AV33" s="283">
        <f t="shared" ca="1" si="57"/>
        <v>0</v>
      </c>
      <c r="AW33" s="284">
        <f t="shared" si="58"/>
        <v>0</v>
      </c>
      <c r="AX33" s="282">
        <f t="shared" ca="1" si="59"/>
        <v>0</v>
      </c>
      <c r="AY33" s="283">
        <f t="shared" ca="1" si="59"/>
        <v>0</v>
      </c>
      <c r="AZ33" s="283">
        <f t="shared" ca="1" si="59"/>
        <v>0</v>
      </c>
      <c r="BA33" s="283">
        <f t="shared" ca="1" si="59"/>
        <v>0</v>
      </c>
      <c r="BB33" s="284">
        <f t="shared" si="59"/>
        <v>0</v>
      </c>
      <c r="BC33" s="282">
        <f t="shared" ca="1" si="66"/>
        <v>1</v>
      </c>
      <c r="BD33" s="283">
        <f t="shared" ca="1" si="60"/>
        <v>0</v>
      </c>
      <c r="BE33" s="283">
        <f t="shared" ca="1" si="61"/>
        <v>0</v>
      </c>
      <c r="BF33" s="283">
        <f t="shared" ca="1" si="62"/>
        <v>0</v>
      </c>
      <c r="BG33" s="283">
        <f t="shared" ca="1" si="63"/>
        <v>0</v>
      </c>
      <c r="BH33" s="284">
        <f t="shared" ca="1" si="64"/>
        <v>0</v>
      </c>
    </row>
    <row r="34" spans="1:62" x14ac:dyDescent="0.2">
      <c r="A34" s="317">
        <v>2017</v>
      </c>
      <c r="B34" s="820">
        <f t="shared" ref="B34:G43" si="67">ROUND(INDEX(COST_Cls3,$A34-($A$24-1),MATCH(B$20,TECHOPTS_Cls3,0)),2)</f>
        <v>96771.81</v>
      </c>
      <c r="C34" s="821">
        <f t="shared" si="67"/>
        <v>1000000</v>
      </c>
      <c r="D34" s="821">
        <f t="shared" si="67"/>
        <v>1000000</v>
      </c>
      <c r="E34" s="821">
        <f t="shared" si="67"/>
        <v>1000000</v>
      </c>
      <c r="F34" s="821">
        <f t="shared" si="67"/>
        <v>1000000</v>
      </c>
      <c r="G34" s="822">
        <f t="shared" si="67"/>
        <v>1000000</v>
      </c>
      <c r="H34" s="781">
        <f t="shared" ref="H34:M43" si="68">IF(H$21="Single-fuel",1,1-MIN(INDEX(CDRANGE_CLS3,$A34-($A$24-1),MATCH(H$20,TECHOPTS_Cls3,0))*OPDAYS_Cls3/$D$6,1))</f>
        <v>1</v>
      </c>
      <c r="I34" s="782">
        <f t="shared" si="68"/>
        <v>1</v>
      </c>
      <c r="J34" s="782">
        <f t="shared" si="68"/>
        <v>1</v>
      </c>
      <c r="K34" s="782">
        <f t="shared" si="68"/>
        <v>1</v>
      </c>
      <c r="L34" s="782">
        <f t="shared" si="68"/>
        <v>1</v>
      </c>
      <c r="M34" s="783">
        <f t="shared" si="68"/>
        <v>1</v>
      </c>
      <c r="N34" s="733">
        <f t="shared" si="32"/>
        <v>7332.0626666461731</v>
      </c>
      <c r="O34" s="276">
        <f t="shared" si="33"/>
        <v>47643.895128244047</v>
      </c>
      <c r="P34" s="276">
        <f t="shared" si="34"/>
        <v>47643.895128244047</v>
      </c>
      <c r="Q34" s="276">
        <f t="shared" si="35"/>
        <v>47643.895128244047</v>
      </c>
      <c r="R34" s="276">
        <f t="shared" si="36"/>
        <v>47643.895128244047</v>
      </c>
      <c r="S34" s="278">
        <f t="shared" si="37"/>
        <v>151363.92721499997</v>
      </c>
      <c r="T34" s="734">
        <f t="shared" si="38"/>
        <v>-40311.832461597871</v>
      </c>
      <c r="U34" s="290">
        <f t="shared" si="39"/>
        <v>-40311.832461597871</v>
      </c>
      <c r="V34" s="290">
        <f t="shared" si="40"/>
        <v>-40311.832461597871</v>
      </c>
      <c r="W34" s="290">
        <f t="shared" si="41"/>
        <v>-40311.832461597871</v>
      </c>
      <c r="X34" s="291">
        <f t="shared" si="42"/>
        <v>-144031.8645483538</v>
      </c>
      <c r="Y34" s="279">
        <f ca="1">IF(AND(Y$22=TRUE,INDEX(CDRANGE_CLS3,MATCH($A34,$A$24:$A$67,0),MATCH(Y$20,$B$20:$G$20,0))&lt;$D$6/OPDAYS_Cls3),86,payback(C34,T34,disc_rate/12,85))</f>
        <v>86</v>
      </c>
      <c r="Z34" s="280">
        <f ca="1">IF(AND(Z$22=TRUE,INDEX(CDRANGE_CLS3,MATCH($A34,$A$24:$A$67,0),MATCH(Z$20,$B$20:$G$20,0))&lt;$D$6/OPDAYS_Cls3),86,payback(D34,U34,disc_rate/12,85))</f>
        <v>86</v>
      </c>
      <c r="AA34" s="280">
        <f ca="1">IF(AND(AA$22=TRUE,INDEX(CDRANGE_CLS3,MATCH($A34,$A$24:$A$67,0),MATCH(AA$20,$B$20:$G$20,0))&lt;$D$6/OPDAYS_Cls3),86,payback(E34,V34,disc_rate/12,85))</f>
        <v>86</v>
      </c>
      <c r="AB34" s="280">
        <f ca="1">IF(AND(AB$22=TRUE,INDEX(CDRANGE_CLS3,MATCH($A34,$A$24:$A$67,0),MATCH(AB$20,$B$20:$G$20,0))&lt;$D$6/OPDAYS_Cls3),86,payback(F34,W34,disc_rate/12,85))</f>
        <v>86</v>
      </c>
      <c r="AC34" s="281">
        <f>IF(AND(AC$22=TRUE,INDEX(CDRANGE_CLS3,MATCH($A34,$A$24:$A$67,0),MATCH(AC$20,$B$20:$G$20,0))&lt;$D$6/OPDAYS_Cls3),86,payback(G34,X34,disc_rate/12,85))</f>
        <v>86</v>
      </c>
      <c r="AD34" s="296">
        <f t="shared" si="43"/>
        <v>0</v>
      </c>
      <c r="AE34" s="297">
        <f t="shared" si="44"/>
        <v>0</v>
      </c>
      <c r="AF34" s="297">
        <f t="shared" si="45"/>
        <v>0</v>
      </c>
      <c r="AG34" s="297">
        <f t="shared" si="46"/>
        <v>0</v>
      </c>
      <c r="AH34" s="298">
        <f t="shared" si="47"/>
        <v>0</v>
      </c>
      <c r="AI34" s="595">
        <f t="shared" si="48"/>
        <v>0</v>
      </c>
      <c r="AJ34" s="300">
        <f t="shared" si="49"/>
        <v>0</v>
      </c>
      <c r="AK34" s="300">
        <f t="shared" si="50"/>
        <v>0</v>
      </c>
      <c r="AL34" s="300">
        <f t="shared" si="51"/>
        <v>0</v>
      </c>
      <c r="AM34" s="598">
        <f t="shared" si="52"/>
        <v>0</v>
      </c>
      <c r="AN34" s="299">
        <f t="shared" si="65"/>
        <v>0</v>
      </c>
      <c r="AO34" s="300">
        <f t="shared" si="53"/>
        <v>0</v>
      </c>
      <c r="AP34" s="300">
        <f t="shared" si="53"/>
        <v>0</v>
      </c>
      <c r="AQ34" s="300">
        <f t="shared" si="53"/>
        <v>0</v>
      </c>
      <c r="AR34" s="598">
        <f t="shared" si="53"/>
        <v>0</v>
      </c>
      <c r="AS34" s="296">
        <f t="shared" ca="1" si="54"/>
        <v>0</v>
      </c>
      <c r="AT34" s="297">
        <f t="shared" ca="1" si="55"/>
        <v>0</v>
      </c>
      <c r="AU34" s="297">
        <f t="shared" ca="1" si="56"/>
        <v>0</v>
      </c>
      <c r="AV34" s="297">
        <f t="shared" ca="1" si="57"/>
        <v>0</v>
      </c>
      <c r="AW34" s="298">
        <f t="shared" si="58"/>
        <v>0</v>
      </c>
      <c r="AX34" s="296">
        <f t="shared" ca="1" si="59"/>
        <v>0</v>
      </c>
      <c r="AY34" s="297">
        <f t="shared" ca="1" si="59"/>
        <v>0</v>
      </c>
      <c r="AZ34" s="297">
        <f t="shared" ca="1" si="59"/>
        <v>0</v>
      </c>
      <c r="BA34" s="297">
        <f t="shared" ca="1" si="59"/>
        <v>0</v>
      </c>
      <c r="BB34" s="298">
        <f t="shared" si="59"/>
        <v>0</v>
      </c>
      <c r="BC34" s="296">
        <f t="shared" ca="1" si="66"/>
        <v>1</v>
      </c>
      <c r="BD34" s="297">
        <f t="shared" ca="1" si="60"/>
        <v>0</v>
      </c>
      <c r="BE34" s="297">
        <f t="shared" ca="1" si="61"/>
        <v>0</v>
      </c>
      <c r="BF34" s="297">
        <f t="shared" ca="1" si="62"/>
        <v>0</v>
      </c>
      <c r="BG34" s="297">
        <f t="shared" ca="1" si="63"/>
        <v>0</v>
      </c>
      <c r="BH34" s="298">
        <f t="shared" ca="1" si="64"/>
        <v>0</v>
      </c>
    </row>
    <row r="35" spans="1:62" x14ac:dyDescent="0.2">
      <c r="A35" s="317">
        <v>2018</v>
      </c>
      <c r="B35" s="820">
        <f t="shared" si="67"/>
        <v>96771.81</v>
      </c>
      <c r="C35" s="821">
        <f t="shared" si="67"/>
        <v>1000000</v>
      </c>
      <c r="D35" s="821">
        <f t="shared" si="67"/>
        <v>1000000</v>
      </c>
      <c r="E35" s="821">
        <f t="shared" si="67"/>
        <v>1000000</v>
      </c>
      <c r="F35" s="821">
        <f t="shared" si="67"/>
        <v>1000000</v>
      </c>
      <c r="G35" s="822">
        <f t="shared" si="67"/>
        <v>1000000</v>
      </c>
      <c r="H35" s="781">
        <f t="shared" si="68"/>
        <v>1</v>
      </c>
      <c r="I35" s="782">
        <f t="shared" si="68"/>
        <v>1</v>
      </c>
      <c r="J35" s="782">
        <f t="shared" si="68"/>
        <v>1</v>
      </c>
      <c r="K35" s="782">
        <f t="shared" si="68"/>
        <v>1</v>
      </c>
      <c r="L35" s="782">
        <f t="shared" si="68"/>
        <v>1</v>
      </c>
      <c r="M35" s="783">
        <f t="shared" si="68"/>
        <v>1</v>
      </c>
      <c r="N35" s="733">
        <f t="shared" si="32"/>
        <v>8622.1388557382434</v>
      </c>
      <c r="O35" s="276">
        <f t="shared" si="33"/>
        <v>58529.412657459405</v>
      </c>
      <c r="P35" s="276">
        <f t="shared" si="34"/>
        <v>58529.412657459405</v>
      </c>
      <c r="Q35" s="276">
        <f t="shared" si="35"/>
        <v>58529.412657459405</v>
      </c>
      <c r="R35" s="276">
        <f t="shared" si="36"/>
        <v>58529.412657459405</v>
      </c>
      <c r="S35" s="278">
        <f t="shared" si="37"/>
        <v>173136.46374000001</v>
      </c>
      <c r="T35" s="734">
        <f t="shared" si="38"/>
        <v>-49907.27380172116</v>
      </c>
      <c r="U35" s="290">
        <f t="shared" si="39"/>
        <v>-49907.27380172116</v>
      </c>
      <c r="V35" s="290">
        <f t="shared" si="40"/>
        <v>-49907.27380172116</v>
      </c>
      <c r="W35" s="290">
        <f t="shared" si="41"/>
        <v>-49907.27380172116</v>
      </c>
      <c r="X35" s="291">
        <f t="shared" si="42"/>
        <v>-164514.32488426176</v>
      </c>
      <c r="Y35" s="279">
        <f ca="1">IF(AND(Y$22=TRUE,INDEX(CDRANGE_CLS3,MATCH($A35,$A$24:$A$67,0),MATCH(Y$20,$B$20:$G$20,0))&lt;$D$6/OPDAYS_Cls3),86,payback(C35,T35,disc_rate/12,85))</f>
        <v>86</v>
      </c>
      <c r="Z35" s="280">
        <f ca="1">IF(AND(Z$22=TRUE,INDEX(CDRANGE_CLS3,MATCH($A35,$A$24:$A$67,0),MATCH(Z$20,$B$20:$G$20,0))&lt;$D$6/OPDAYS_Cls3),86,payback(D35,U35,disc_rate/12,85))</f>
        <v>86</v>
      </c>
      <c r="AA35" s="280">
        <f ca="1">IF(AND(AA$22=TRUE,INDEX(CDRANGE_CLS3,MATCH($A35,$A$24:$A$67,0),MATCH(AA$20,$B$20:$G$20,0))&lt;$D$6/OPDAYS_Cls3),86,payback(E35,V35,disc_rate/12,85))</f>
        <v>86</v>
      </c>
      <c r="AB35" s="280">
        <f ca="1">IF(AND(AB$22=TRUE,INDEX(CDRANGE_CLS3,MATCH($A35,$A$24:$A$67,0),MATCH(AB$20,$B$20:$G$20,0))&lt;$D$6/OPDAYS_Cls3),86,payback(F35,W35,disc_rate/12,85))</f>
        <v>86</v>
      </c>
      <c r="AC35" s="281">
        <f>IF(AND(AC$22=TRUE,INDEX(CDRANGE_CLS3,MATCH($A35,$A$24:$A$67,0),MATCH(AC$20,$B$20:$G$20,0))&lt;$D$6/OPDAYS_Cls3),86,payback(G35,X35,disc_rate/12,85))</f>
        <v>86</v>
      </c>
      <c r="AD35" s="296">
        <f t="shared" si="43"/>
        <v>0</v>
      </c>
      <c r="AE35" s="297">
        <f t="shared" si="44"/>
        <v>0</v>
      </c>
      <c r="AF35" s="297">
        <f t="shared" si="45"/>
        <v>0</v>
      </c>
      <c r="AG35" s="297">
        <f t="shared" si="46"/>
        <v>0</v>
      </c>
      <c r="AH35" s="298">
        <f t="shared" si="47"/>
        <v>0</v>
      </c>
      <c r="AI35" s="595">
        <f t="shared" si="48"/>
        <v>0</v>
      </c>
      <c r="AJ35" s="300">
        <f t="shared" si="49"/>
        <v>0</v>
      </c>
      <c r="AK35" s="300">
        <f t="shared" si="50"/>
        <v>0</v>
      </c>
      <c r="AL35" s="300">
        <f t="shared" si="51"/>
        <v>0</v>
      </c>
      <c r="AM35" s="598">
        <f t="shared" si="52"/>
        <v>0</v>
      </c>
      <c r="AN35" s="299">
        <f t="shared" si="65"/>
        <v>0</v>
      </c>
      <c r="AO35" s="300">
        <f t="shared" si="53"/>
        <v>0</v>
      </c>
      <c r="AP35" s="300">
        <f t="shared" si="53"/>
        <v>0</v>
      </c>
      <c r="AQ35" s="300">
        <f t="shared" si="53"/>
        <v>0</v>
      </c>
      <c r="AR35" s="598">
        <f t="shared" si="53"/>
        <v>0</v>
      </c>
      <c r="AS35" s="296">
        <f t="shared" ca="1" si="54"/>
        <v>0</v>
      </c>
      <c r="AT35" s="297">
        <f t="shared" ca="1" si="55"/>
        <v>0</v>
      </c>
      <c r="AU35" s="297">
        <f t="shared" ca="1" si="56"/>
        <v>0</v>
      </c>
      <c r="AV35" s="297">
        <f t="shared" ca="1" si="57"/>
        <v>0</v>
      </c>
      <c r="AW35" s="298">
        <f t="shared" si="58"/>
        <v>0</v>
      </c>
      <c r="AX35" s="296">
        <f t="shared" ca="1" si="59"/>
        <v>0</v>
      </c>
      <c r="AY35" s="297">
        <f t="shared" ca="1" si="59"/>
        <v>0</v>
      </c>
      <c r="AZ35" s="297">
        <f t="shared" ca="1" si="59"/>
        <v>0</v>
      </c>
      <c r="BA35" s="297">
        <f t="shared" ca="1" si="59"/>
        <v>0</v>
      </c>
      <c r="BB35" s="298">
        <f t="shared" si="59"/>
        <v>0</v>
      </c>
      <c r="BC35" s="296">
        <f t="shared" ca="1" si="66"/>
        <v>1</v>
      </c>
      <c r="BD35" s="297">
        <f t="shared" ca="1" si="60"/>
        <v>0</v>
      </c>
      <c r="BE35" s="297">
        <f t="shared" ca="1" si="61"/>
        <v>0</v>
      </c>
      <c r="BF35" s="297">
        <f t="shared" ca="1" si="62"/>
        <v>0</v>
      </c>
      <c r="BG35" s="297">
        <f t="shared" ca="1" si="63"/>
        <v>0</v>
      </c>
      <c r="BH35" s="298">
        <f t="shared" ca="1" si="64"/>
        <v>0</v>
      </c>
    </row>
    <row r="36" spans="1:62" x14ac:dyDescent="0.2">
      <c r="A36" s="317">
        <v>2019</v>
      </c>
      <c r="B36" s="820">
        <f t="shared" si="67"/>
        <v>96771.81</v>
      </c>
      <c r="C36" s="821">
        <f t="shared" si="67"/>
        <v>1000000</v>
      </c>
      <c r="D36" s="821">
        <f t="shared" si="67"/>
        <v>1000000</v>
      </c>
      <c r="E36" s="821">
        <f t="shared" si="67"/>
        <v>1000000</v>
      </c>
      <c r="F36" s="821">
        <f t="shared" si="67"/>
        <v>1000000</v>
      </c>
      <c r="G36" s="822">
        <f t="shared" si="67"/>
        <v>1000000</v>
      </c>
      <c r="H36" s="781">
        <f t="shared" si="68"/>
        <v>1</v>
      </c>
      <c r="I36" s="782">
        <f t="shared" si="68"/>
        <v>1</v>
      </c>
      <c r="J36" s="782">
        <f t="shared" si="68"/>
        <v>1</v>
      </c>
      <c r="K36" s="782">
        <f t="shared" si="68"/>
        <v>1</v>
      </c>
      <c r="L36" s="782">
        <f t="shared" si="68"/>
        <v>1</v>
      </c>
      <c r="M36" s="783">
        <f t="shared" si="68"/>
        <v>1</v>
      </c>
      <c r="N36" s="733">
        <f t="shared" si="32"/>
        <v>8431.5739596198</v>
      </c>
      <c r="O36" s="276">
        <f t="shared" si="33"/>
        <v>57501.868042499998</v>
      </c>
      <c r="P36" s="276">
        <f t="shared" si="34"/>
        <v>57501.868042499998</v>
      </c>
      <c r="Q36" s="276">
        <f t="shared" si="35"/>
        <v>57501.868042499998</v>
      </c>
      <c r="R36" s="276">
        <f t="shared" si="36"/>
        <v>57501.868042499998</v>
      </c>
      <c r="S36" s="278">
        <f t="shared" si="37"/>
        <v>172955.07534750001</v>
      </c>
      <c r="T36" s="734">
        <f t="shared" si="38"/>
        <v>-49070.294082880195</v>
      </c>
      <c r="U36" s="290">
        <f t="shared" si="39"/>
        <v>-49070.294082880195</v>
      </c>
      <c r="V36" s="290">
        <f t="shared" si="40"/>
        <v>-49070.294082880195</v>
      </c>
      <c r="W36" s="290">
        <f t="shared" si="41"/>
        <v>-49070.294082880195</v>
      </c>
      <c r="X36" s="291">
        <f t="shared" si="42"/>
        <v>-164523.50138788021</v>
      </c>
      <c r="Y36" s="279">
        <f ca="1">IF(AND(Y$22=TRUE,INDEX(CDRANGE_CLS3,MATCH($A36,$A$24:$A$67,0),MATCH(Y$20,$B$20:$G$20,0))&lt;$D$6/OPDAYS_Cls3),86,payback(C36,T36,disc_rate/12,85))</f>
        <v>86</v>
      </c>
      <c r="Z36" s="280">
        <f ca="1">IF(AND(Z$22=TRUE,INDEX(CDRANGE_CLS3,MATCH($A36,$A$24:$A$67,0),MATCH(Z$20,$B$20:$G$20,0))&lt;$D$6/OPDAYS_Cls3),86,payback(D36,U36,disc_rate/12,85))</f>
        <v>86</v>
      </c>
      <c r="AA36" s="280">
        <f ca="1">IF(AND(AA$22=TRUE,INDEX(CDRANGE_CLS3,MATCH($A36,$A$24:$A$67,0),MATCH(AA$20,$B$20:$G$20,0))&lt;$D$6/OPDAYS_Cls3),86,payback(E36,V36,disc_rate/12,85))</f>
        <v>86</v>
      </c>
      <c r="AB36" s="280">
        <f ca="1">IF(AND(AB$22=TRUE,INDEX(CDRANGE_CLS3,MATCH($A36,$A$24:$A$67,0),MATCH(AB$20,$B$20:$G$20,0))&lt;$D$6/OPDAYS_Cls3),86,payback(F36,W36,disc_rate/12,85))</f>
        <v>86</v>
      </c>
      <c r="AC36" s="281">
        <f>IF(AND(AC$22=TRUE,INDEX(CDRANGE_CLS3,MATCH($A36,$A$24:$A$67,0),MATCH(AC$20,$B$20:$G$20,0))&lt;$D$6/OPDAYS_Cls3),86,payback(G36,X36,disc_rate/12,85))</f>
        <v>86</v>
      </c>
      <c r="AD36" s="296">
        <f t="shared" si="43"/>
        <v>0</v>
      </c>
      <c r="AE36" s="297">
        <f t="shared" si="44"/>
        <v>0</v>
      </c>
      <c r="AF36" s="297">
        <f t="shared" si="45"/>
        <v>0</v>
      </c>
      <c r="AG36" s="297">
        <f t="shared" si="46"/>
        <v>0</v>
      </c>
      <c r="AH36" s="298">
        <f t="shared" si="47"/>
        <v>0</v>
      </c>
      <c r="AI36" s="595">
        <f t="shared" si="48"/>
        <v>0</v>
      </c>
      <c r="AJ36" s="300">
        <f t="shared" si="49"/>
        <v>0</v>
      </c>
      <c r="AK36" s="300">
        <f t="shared" si="50"/>
        <v>0</v>
      </c>
      <c r="AL36" s="300">
        <f t="shared" si="51"/>
        <v>0</v>
      </c>
      <c r="AM36" s="598">
        <f t="shared" si="52"/>
        <v>0</v>
      </c>
      <c r="AN36" s="299">
        <f t="shared" si="65"/>
        <v>0</v>
      </c>
      <c r="AO36" s="300">
        <f t="shared" si="53"/>
        <v>0</v>
      </c>
      <c r="AP36" s="300">
        <f t="shared" si="53"/>
        <v>0</v>
      </c>
      <c r="AQ36" s="300">
        <f t="shared" si="53"/>
        <v>0</v>
      </c>
      <c r="AR36" s="598">
        <f t="shared" si="53"/>
        <v>0</v>
      </c>
      <c r="AS36" s="296">
        <f t="shared" ca="1" si="54"/>
        <v>0</v>
      </c>
      <c r="AT36" s="297">
        <f t="shared" ca="1" si="55"/>
        <v>0</v>
      </c>
      <c r="AU36" s="297">
        <f t="shared" ca="1" si="56"/>
        <v>0</v>
      </c>
      <c r="AV36" s="297">
        <f t="shared" ca="1" si="57"/>
        <v>0</v>
      </c>
      <c r="AW36" s="298">
        <f t="shared" si="58"/>
        <v>0</v>
      </c>
      <c r="AX36" s="296">
        <f t="shared" ca="1" si="59"/>
        <v>0</v>
      </c>
      <c r="AY36" s="297">
        <f t="shared" ca="1" si="59"/>
        <v>0</v>
      </c>
      <c r="AZ36" s="297">
        <f t="shared" ca="1" si="59"/>
        <v>0</v>
      </c>
      <c r="BA36" s="297">
        <f t="shared" ca="1" si="59"/>
        <v>0</v>
      </c>
      <c r="BB36" s="298">
        <f t="shared" si="59"/>
        <v>0</v>
      </c>
      <c r="BC36" s="296">
        <f t="shared" ca="1" si="66"/>
        <v>1</v>
      </c>
      <c r="BD36" s="297">
        <f t="shared" ca="1" si="60"/>
        <v>0</v>
      </c>
      <c r="BE36" s="297">
        <f t="shared" ca="1" si="61"/>
        <v>0</v>
      </c>
      <c r="BF36" s="297">
        <f t="shared" ca="1" si="62"/>
        <v>0</v>
      </c>
      <c r="BG36" s="297">
        <f t="shared" ca="1" si="63"/>
        <v>0</v>
      </c>
      <c r="BH36" s="298">
        <f t="shared" ca="1" si="64"/>
        <v>0</v>
      </c>
    </row>
    <row r="37" spans="1:62" ht="15" thickBot="1" x14ac:dyDescent="0.25">
      <c r="A37" s="618">
        <v>2020</v>
      </c>
      <c r="B37" s="814">
        <f t="shared" si="67"/>
        <v>96771.81</v>
      </c>
      <c r="C37" s="815">
        <f t="shared" si="67"/>
        <v>1000000</v>
      </c>
      <c r="D37" s="815">
        <f t="shared" si="67"/>
        <v>1000000</v>
      </c>
      <c r="E37" s="815">
        <f t="shared" si="67"/>
        <v>1000000</v>
      </c>
      <c r="F37" s="815">
        <f t="shared" si="67"/>
        <v>1000000</v>
      </c>
      <c r="G37" s="816">
        <f t="shared" si="67"/>
        <v>1000000</v>
      </c>
      <c r="H37" s="781">
        <f t="shared" si="68"/>
        <v>1</v>
      </c>
      <c r="I37" s="782">
        <f t="shared" si="68"/>
        <v>1</v>
      </c>
      <c r="J37" s="782">
        <f t="shared" si="68"/>
        <v>1</v>
      </c>
      <c r="K37" s="782">
        <f t="shared" si="68"/>
        <v>1</v>
      </c>
      <c r="L37" s="782">
        <f t="shared" si="68"/>
        <v>1</v>
      </c>
      <c r="M37" s="783">
        <f t="shared" si="68"/>
        <v>1</v>
      </c>
      <c r="N37" s="883">
        <f t="shared" si="32"/>
        <v>8085.2367562684267</v>
      </c>
      <c r="O37" s="776">
        <f t="shared" si="33"/>
        <v>55507.544953124998</v>
      </c>
      <c r="P37" s="776">
        <f t="shared" si="34"/>
        <v>55507.544953124998</v>
      </c>
      <c r="Q37" s="776">
        <f t="shared" si="35"/>
        <v>55507.544953124998</v>
      </c>
      <c r="R37" s="776">
        <f t="shared" si="36"/>
        <v>55507.544953124998</v>
      </c>
      <c r="S37" s="777">
        <f t="shared" si="37"/>
        <v>176388.87298125002</v>
      </c>
      <c r="T37" s="735">
        <f t="shared" si="38"/>
        <v>-47422.308196856568</v>
      </c>
      <c r="U37" s="619">
        <f t="shared" si="39"/>
        <v>-47422.308196856568</v>
      </c>
      <c r="V37" s="619">
        <f t="shared" si="40"/>
        <v>-47422.308196856568</v>
      </c>
      <c r="W37" s="619">
        <f t="shared" si="41"/>
        <v>-47422.308196856568</v>
      </c>
      <c r="X37" s="620">
        <f t="shared" si="42"/>
        <v>-168303.6362249816</v>
      </c>
      <c r="Y37" s="723">
        <f ca="1">IF(AND(Y$22=TRUE,INDEX(CDRANGE_CLS3,MATCH($A37,$A$24:$A$67,0),MATCH(Y$20,$B$20:$G$20,0))&lt;$D$6/OPDAYS_Cls3),86,payback(C37,T37,disc_rate/12,85))</f>
        <v>86</v>
      </c>
      <c r="Z37" s="724">
        <f ca="1">IF(AND(Z$22=TRUE,INDEX(CDRANGE_CLS3,MATCH($A37,$A$24:$A$67,0),MATCH(Z$20,$B$20:$G$20,0))&lt;$D$6/OPDAYS_Cls3),86,payback(D37,U37,disc_rate/12,85))</f>
        <v>86</v>
      </c>
      <c r="AA37" s="724">
        <f ca="1">IF(AND(AA$22=TRUE,INDEX(CDRANGE_CLS3,MATCH($A37,$A$24:$A$67,0),MATCH(AA$20,$B$20:$G$20,0))&lt;$D$6/OPDAYS_Cls3),86,payback(E37,V37,disc_rate/12,85))</f>
        <v>86</v>
      </c>
      <c r="AB37" s="724">
        <f ca="1">IF(AND(AB$22=TRUE,INDEX(CDRANGE_CLS3,MATCH($A37,$A$24:$A$67,0),MATCH(AB$20,$B$20:$G$20,0))&lt;$D$6/OPDAYS_Cls3),86,payback(F37,W37,disc_rate/12,85))</f>
        <v>86</v>
      </c>
      <c r="AC37" s="892">
        <f>IF(AND(AC$22=TRUE,INDEX(CDRANGE_CLS3,MATCH($A37,$A$24:$A$67,0),MATCH(AC$20,$B$20:$G$20,0))&lt;$D$6/OPDAYS_Cls3),86,payback(G37,X37,disc_rate/12,85))</f>
        <v>86</v>
      </c>
      <c r="AD37" s="624">
        <f t="shared" si="43"/>
        <v>0</v>
      </c>
      <c r="AE37" s="625">
        <f t="shared" si="44"/>
        <v>0</v>
      </c>
      <c r="AF37" s="625">
        <f t="shared" si="45"/>
        <v>0</v>
      </c>
      <c r="AG37" s="625">
        <f t="shared" si="46"/>
        <v>0</v>
      </c>
      <c r="AH37" s="626">
        <f t="shared" si="47"/>
        <v>0</v>
      </c>
      <c r="AI37" s="627">
        <f t="shared" si="48"/>
        <v>0</v>
      </c>
      <c r="AJ37" s="628">
        <f t="shared" si="49"/>
        <v>0</v>
      </c>
      <c r="AK37" s="628">
        <f t="shared" si="50"/>
        <v>0</v>
      </c>
      <c r="AL37" s="628">
        <f t="shared" si="51"/>
        <v>0</v>
      </c>
      <c r="AM37" s="629">
        <f t="shared" si="52"/>
        <v>0</v>
      </c>
      <c r="AN37" s="630">
        <f t="shared" si="65"/>
        <v>0</v>
      </c>
      <c r="AO37" s="628">
        <f t="shared" si="53"/>
        <v>0</v>
      </c>
      <c r="AP37" s="628">
        <f t="shared" si="53"/>
        <v>0</v>
      </c>
      <c r="AQ37" s="628">
        <f t="shared" si="53"/>
        <v>0</v>
      </c>
      <c r="AR37" s="629">
        <f t="shared" si="53"/>
        <v>0</v>
      </c>
      <c r="AS37" s="624">
        <f t="shared" ca="1" si="54"/>
        <v>0</v>
      </c>
      <c r="AT37" s="625">
        <f t="shared" ca="1" si="55"/>
        <v>0</v>
      </c>
      <c r="AU37" s="625">
        <f t="shared" ca="1" si="56"/>
        <v>0</v>
      </c>
      <c r="AV37" s="625">
        <f t="shared" ca="1" si="57"/>
        <v>0</v>
      </c>
      <c r="AW37" s="626">
        <f t="shared" si="58"/>
        <v>0</v>
      </c>
      <c r="AX37" s="624">
        <f t="shared" ca="1" si="59"/>
        <v>0</v>
      </c>
      <c r="AY37" s="625">
        <f t="shared" ca="1" si="59"/>
        <v>0</v>
      </c>
      <c r="AZ37" s="625">
        <f t="shared" ca="1" si="59"/>
        <v>0</v>
      </c>
      <c r="BA37" s="625">
        <f t="shared" ca="1" si="59"/>
        <v>0</v>
      </c>
      <c r="BB37" s="626">
        <f t="shared" si="59"/>
        <v>0</v>
      </c>
      <c r="BC37" s="624">
        <f t="shared" ca="1" si="66"/>
        <v>1</v>
      </c>
      <c r="BD37" s="625">
        <f t="shared" ca="1" si="60"/>
        <v>0</v>
      </c>
      <c r="BE37" s="625">
        <f t="shared" ca="1" si="61"/>
        <v>0</v>
      </c>
      <c r="BF37" s="625">
        <f t="shared" ca="1" si="62"/>
        <v>0</v>
      </c>
      <c r="BG37" s="625">
        <f t="shared" ca="1" si="63"/>
        <v>0</v>
      </c>
      <c r="BH37" s="626">
        <f t="shared" ca="1" si="64"/>
        <v>0</v>
      </c>
    </row>
    <row r="38" spans="1:62" x14ac:dyDescent="0.2">
      <c r="A38" s="318">
        <v>2021</v>
      </c>
      <c r="B38" s="817">
        <f t="shared" si="67"/>
        <v>97040.03</v>
      </c>
      <c r="C38" s="818">
        <f t="shared" si="67"/>
        <v>840.47</v>
      </c>
      <c r="D38" s="818">
        <f t="shared" si="67"/>
        <v>1666.48</v>
      </c>
      <c r="E38" s="818">
        <f t="shared" si="67"/>
        <v>13109.73</v>
      </c>
      <c r="F38" s="818">
        <f t="shared" si="67"/>
        <v>144164.79999999999</v>
      </c>
      <c r="G38" s="819">
        <f t="shared" si="67"/>
        <v>254951.1</v>
      </c>
      <c r="H38" s="781">
        <f t="shared" si="68"/>
        <v>1</v>
      </c>
      <c r="I38" s="782">
        <f t="shared" si="68"/>
        <v>1</v>
      </c>
      <c r="J38" s="782">
        <f t="shared" si="68"/>
        <v>1</v>
      </c>
      <c r="K38" s="782">
        <f t="shared" si="68"/>
        <v>1</v>
      </c>
      <c r="L38" s="782">
        <f t="shared" si="68"/>
        <v>0.82977468107699859</v>
      </c>
      <c r="M38" s="783">
        <f t="shared" si="68"/>
        <v>1</v>
      </c>
      <c r="N38" s="736">
        <f t="shared" si="32"/>
        <v>7851.696355610462</v>
      </c>
      <c r="O38" s="632">
        <f t="shared" si="33"/>
        <v>7694.946121094159</v>
      </c>
      <c r="P38" s="632">
        <f t="shared" si="34"/>
        <v>7300.9775014533061</v>
      </c>
      <c r="Q38" s="632">
        <f t="shared" si="35"/>
        <v>6761.8646939084801</v>
      </c>
      <c r="R38" s="632">
        <f t="shared" si="36"/>
        <v>7786.1494312963787</v>
      </c>
      <c r="S38" s="745">
        <f t="shared" si="37"/>
        <v>9136.8800670183391</v>
      </c>
      <c r="T38" s="736">
        <f t="shared" si="38"/>
        <v>156.75023451630295</v>
      </c>
      <c r="U38" s="632">
        <f t="shared" si="39"/>
        <v>550.71885415715587</v>
      </c>
      <c r="V38" s="632">
        <f t="shared" si="40"/>
        <v>1089.8316617019818</v>
      </c>
      <c r="W38" s="632">
        <f t="shared" si="41"/>
        <v>65.546924314083299</v>
      </c>
      <c r="X38" s="633">
        <f t="shared" si="42"/>
        <v>-1285.1837114078771</v>
      </c>
      <c r="Y38" s="634">
        <f ca="1">IF(AND(Y$22=TRUE,INDEX(CDRANGE_CLS3,MATCH($A38,$A$24:$A$67,0),MATCH(Y$20,$B$20:$G$20,0))&lt;$D$6/OPDAYS_Cls3),86,payback(C38,T38,disc_rate/12,85))</f>
        <v>6</v>
      </c>
      <c r="Z38" s="635">
        <f ca="1">IF(AND(Z$22=TRUE,INDEX(CDRANGE_CLS3,MATCH($A38,$A$24:$A$67,0),MATCH(Z$20,$B$20:$G$20,0))&lt;$D$6/OPDAYS_Cls3),86,payback(D38,U38,disc_rate/12,85))</f>
        <v>4</v>
      </c>
      <c r="AA38" s="635">
        <f ca="1">IF(AND(AA$22=TRUE,INDEX(CDRANGE_CLS3,MATCH($A38,$A$24:$A$67,0),MATCH(AA$20,$B$20:$G$20,0))&lt;$D$6/OPDAYS_Cls3),86,payback(E38,V38,disc_rate/12,85))</f>
        <v>13</v>
      </c>
      <c r="AB38" s="635">
        <f ca="1">IF(AND(AB$22=TRUE,INDEX(CDRANGE_CLS3,MATCH($A38,$A$24:$A$67,0),MATCH(AB$20,$B$20:$G$20,0))&lt;$D$6/OPDAYS_Cls3),86,payback(F38,W38,disc_rate/12,85))</f>
        <v>86</v>
      </c>
      <c r="AC38" s="893">
        <f>IF(AND(AC$22=TRUE,INDEX(CDRANGE_CLS3,MATCH($A38,$A$24:$A$67,0),MATCH(AC$20,$B$20:$G$20,0))&lt;$D$6/OPDAYS_Cls3),86,payback(G38,X38,disc_rate/12,85))</f>
        <v>86</v>
      </c>
      <c r="AD38" s="637">
        <f t="shared" si="43"/>
        <v>0</v>
      </c>
      <c r="AE38" s="638">
        <f t="shared" si="44"/>
        <v>0</v>
      </c>
      <c r="AF38" s="638">
        <f t="shared" si="45"/>
        <v>0</v>
      </c>
      <c r="AG38" s="638">
        <f t="shared" si="46"/>
        <v>0</v>
      </c>
      <c r="AH38" s="639">
        <f t="shared" si="47"/>
        <v>0</v>
      </c>
      <c r="AI38" s="640">
        <f t="shared" si="48"/>
        <v>0</v>
      </c>
      <c r="AJ38" s="641">
        <f t="shared" si="49"/>
        <v>0</v>
      </c>
      <c r="AK38" s="641">
        <f t="shared" si="50"/>
        <v>0</v>
      </c>
      <c r="AL38" s="641">
        <f t="shared" si="51"/>
        <v>0</v>
      </c>
      <c r="AM38" s="642">
        <f t="shared" si="52"/>
        <v>0</v>
      </c>
      <c r="AN38" s="643">
        <f t="shared" si="65"/>
        <v>0.99979164935910014</v>
      </c>
      <c r="AO38" s="641">
        <f t="shared" si="53"/>
        <v>0.99918112428902428</v>
      </c>
      <c r="AP38" s="641">
        <f t="shared" si="53"/>
        <v>0.9505665499546565</v>
      </c>
      <c r="AQ38" s="641">
        <f t="shared" si="53"/>
        <v>2.1749333004703608E-3</v>
      </c>
      <c r="AR38" s="642">
        <f t="shared" si="53"/>
        <v>4.7086958776532128E-9</v>
      </c>
      <c r="AS38" s="637">
        <f t="shared" ca="1" si="54"/>
        <v>0</v>
      </c>
      <c r="AT38" s="638">
        <f t="shared" ca="1" si="55"/>
        <v>0</v>
      </c>
      <c r="AU38" s="638">
        <f t="shared" ca="1" si="56"/>
        <v>0</v>
      </c>
      <c r="AV38" s="638">
        <f t="shared" ca="1" si="57"/>
        <v>0</v>
      </c>
      <c r="AW38" s="639">
        <f t="shared" si="58"/>
        <v>0</v>
      </c>
      <c r="AX38" s="637">
        <f t="shared" ca="1" si="59"/>
        <v>0</v>
      </c>
      <c r="AY38" s="638">
        <f t="shared" ca="1" si="59"/>
        <v>0</v>
      </c>
      <c r="AZ38" s="638">
        <f t="shared" ca="1" si="59"/>
        <v>0</v>
      </c>
      <c r="BA38" s="638">
        <f t="shared" ca="1" si="59"/>
        <v>0</v>
      </c>
      <c r="BB38" s="639">
        <f t="shared" si="59"/>
        <v>0</v>
      </c>
      <c r="BC38" s="637">
        <f t="shared" ca="1" si="66"/>
        <v>1</v>
      </c>
      <c r="BD38" s="638">
        <f t="shared" ca="1" si="60"/>
        <v>0</v>
      </c>
      <c r="BE38" s="638">
        <f t="shared" ca="1" si="61"/>
        <v>0</v>
      </c>
      <c r="BF38" s="638">
        <f t="shared" ca="1" si="62"/>
        <v>0</v>
      </c>
      <c r="BG38" s="638">
        <f t="shared" ca="1" si="63"/>
        <v>0</v>
      </c>
      <c r="BH38" s="639">
        <f t="shared" ca="1" si="64"/>
        <v>0</v>
      </c>
    </row>
    <row r="39" spans="1:62" x14ac:dyDescent="0.2">
      <c r="A39" s="317">
        <v>2022</v>
      </c>
      <c r="B39" s="820">
        <f t="shared" si="67"/>
        <v>97308.25</v>
      </c>
      <c r="C39" s="821">
        <f t="shared" si="67"/>
        <v>1680.93</v>
      </c>
      <c r="D39" s="821">
        <f t="shared" si="67"/>
        <v>2360.5500000000002</v>
      </c>
      <c r="E39" s="821">
        <f t="shared" si="67"/>
        <v>12471.33</v>
      </c>
      <c r="F39" s="821">
        <f t="shared" si="67"/>
        <v>122356.24</v>
      </c>
      <c r="G39" s="822">
        <f t="shared" si="67"/>
        <v>215138.06</v>
      </c>
      <c r="H39" s="781">
        <f t="shared" si="68"/>
        <v>1</v>
      </c>
      <c r="I39" s="782">
        <f t="shared" si="68"/>
        <v>1</v>
      </c>
      <c r="J39" s="782">
        <f t="shared" si="68"/>
        <v>1</v>
      </c>
      <c r="K39" s="782">
        <f t="shared" si="68"/>
        <v>1</v>
      </c>
      <c r="L39" s="782">
        <f t="shared" si="68"/>
        <v>0.83028799973693701</v>
      </c>
      <c r="M39" s="783">
        <f t="shared" si="68"/>
        <v>1</v>
      </c>
      <c r="N39" s="733">
        <f t="shared" si="32"/>
        <v>7811.7622609299387</v>
      </c>
      <c r="O39" s="276">
        <f t="shared" si="33"/>
        <v>7509.4371551260911</v>
      </c>
      <c r="P39" s="276">
        <f t="shared" si="34"/>
        <v>7119.4128002976895</v>
      </c>
      <c r="Q39" s="276">
        <f t="shared" si="35"/>
        <v>6600.1972515398784</v>
      </c>
      <c r="R39" s="276">
        <f t="shared" si="36"/>
        <v>7506.4180863628853</v>
      </c>
      <c r="S39" s="278">
        <f t="shared" si="37"/>
        <v>8888.3502496957644</v>
      </c>
      <c r="T39" s="734">
        <f t="shared" si="38"/>
        <v>302.32510580384769</v>
      </c>
      <c r="U39" s="290">
        <f t="shared" si="39"/>
        <v>692.34946063224925</v>
      </c>
      <c r="V39" s="290">
        <f t="shared" si="40"/>
        <v>1211.5650093900604</v>
      </c>
      <c r="W39" s="290">
        <f t="shared" si="41"/>
        <v>305.34417456705341</v>
      </c>
      <c r="X39" s="291">
        <f t="shared" si="42"/>
        <v>-1076.5879887658257</v>
      </c>
      <c r="Y39" s="279">
        <f ca="1">IF(AND(Y$22=TRUE,INDEX(CDRANGE_CLS3,MATCH($A39,$A$24:$A$67,0),MATCH(Y$20,$B$20:$G$20,0))&lt;$D$6/OPDAYS_Cls3),86,payback(C39,T39,disc_rate/12,85))</f>
        <v>6</v>
      </c>
      <c r="Z39" s="280">
        <f ca="1">IF(AND(Z$22=TRUE,INDEX(CDRANGE_CLS3,MATCH($A39,$A$24:$A$67,0),MATCH(Z$20,$B$20:$G$20,0))&lt;$D$6/OPDAYS_Cls3),86,payback(D39,U39,disc_rate/12,85))</f>
        <v>4</v>
      </c>
      <c r="AA39" s="280">
        <f ca="1">IF(AND(AA$22=TRUE,INDEX(CDRANGE_CLS3,MATCH($A39,$A$24:$A$67,0),MATCH(AA$20,$B$20:$G$20,0))&lt;$D$6/OPDAYS_Cls3),86,payback(E39,V39,disc_rate/12,85))</f>
        <v>11</v>
      </c>
      <c r="AB39" s="280">
        <f ca="1">IF(AND(AB$22=TRUE,INDEX(CDRANGE_CLS3,MATCH($A39,$A$24:$A$67,0),MATCH(AB$20,$B$20:$G$20,0))&lt;$D$6/OPDAYS_Cls3),86,payback(F39,W39,disc_rate/12,85))</f>
        <v>86</v>
      </c>
      <c r="AC39" s="281">
        <f>IF(AND(AC$22=TRUE,INDEX(CDRANGE_CLS3,MATCH($A39,$A$24:$A$67,0),MATCH(AC$20,$B$20:$G$20,0))&lt;$D$6/OPDAYS_Cls3),86,payback(G39,X39,disc_rate/12,85))</f>
        <v>86</v>
      </c>
      <c r="AD39" s="296">
        <f t="shared" si="43"/>
        <v>2.366967101585294E-2</v>
      </c>
      <c r="AE39" s="297">
        <f t="shared" si="44"/>
        <v>2.3294162642873449E-2</v>
      </c>
      <c r="AF39" s="297">
        <f t="shared" si="45"/>
        <v>0</v>
      </c>
      <c r="AG39" s="297">
        <f t="shared" si="46"/>
        <v>0</v>
      </c>
      <c r="AH39" s="298">
        <f t="shared" si="47"/>
        <v>0</v>
      </c>
      <c r="AI39" s="595">
        <f t="shared" si="48"/>
        <v>2.3712936588783391E-2</v>
      </c>
      <c r="AJ39" s="300">
        <f t="shared" si="49"/>
        <v>2.3712936588783391E-2</v>
      </c>
      <c r="AK39" s="300">
        <f t="shared" si="50"/>
        <v>2.3712936588783391E-2</v>
      </c>
      <c r="AL39" s="300">
        <f t="shared" si="51"/>
        <v>2.3712936588783391E-2</v>
      </c>
      <c r="AM39" s="598">
        <f t="shared" si="52"/>
        <v>2.2210437480177938E-3</v>
      </c>
      <c r="AN39" s="299">
        <f t="shared" si="65"/>
        <v>0.99917145242177974</v>
      </c>
      <c r="AO39" s="300">
        <f t="shared" si="53"/>
        <v>0.99836668605026657</v>
      </c>
      <c r="AP39" s="300">
        <f t="shared" si="53"/>
        <v>0.95539807837673862</v>
      </c>
      <c r="AQ39" s="300">
        <f t="shared" si="53"/>
        <v>1.2377443408556288E-2</v>
      </c>
      <c r="AR39" s="598">
        <f t="shared" si="53"/>
        <v>1.2682126194762944E-6</v>
      </c>
      <c r="AS39" s="296">
        <f t="shared" ca="1" si="54"/>
        <v>4.7425873177566781E-2</v>
      </c>
      <c r="AT39" s="297">
        <f t="shared" ca="1" si="55"/>
        <v>4.7425873177566781E-2</v>
      </c>
      <c r="AU39" s="297">
        <f t="shared" ca="1" si="56"/>
        <v>4.4690938134007409E-2</v>
      </c>
      <c r="AV39" s="297">
        <f t="shared" ca="1" si="57"/>
        <v>0</v>
      </c>
      <c r="AW39" s="298">
        <f t="shared" si="58"/>
        <v>0</v>
      </c>
      <c r="AX39" s="296">
        <f t="shared" ca="1" si="59"/>
        <v>4.7386578585200526E-2</v>
      </c>
      <c r="AY39" s="297">
        <f t="shared" ca="1" si="59"/>
        <v>4.7348411837327575E-2</v>
      </c>
      <c r="AZ39" s="297">
        <f t="shared" ca="1" si="59"/>
        <v>4.2697636414084389E-2</v>
      </c>
      <c r="BA39" s="297">
        <f t="shared" ca="1" si="59"/>
        <v>0</v>
      </c>
      <c r="BB39" s="298">
        <f t="shared" si="59"/>
        <v>0</v>
      </c>
      <c r="BC39" s="296">
        <f t="shared" ca="1" si="66"/>
        <v>0.95261342141479943</v>
      </c>
      <c r="BD39" s="297">
        <f t="shared" ca="1" si="60"/>
        <v>1.6338826388590716E-2</v>
      </c>
      <c r="BE39" s="297">
        <f t="shared" ca="1" si="61"/>
        <v>1.6325666547008316E-2</v>
      </c>
      <c r="BF39" s="297">
        <f t="shared" ca="1" si="62"/>
        <v>1.4722085649601493E-2</v>
      </c>
      <c r="BG39" s="297">
        <f t="shared" ca="1" si="63"/>
        <v>0</v>
      </c>
      <c r="BH39" s="298">
        <f t="shared" ca="1" si="64"/>
        <v>0</v>
      </c>
    </row>
    <row r="40" spans="1:62" x14ac:dyDescent="0.2">
      <c r="A40" s="317">
        <v>2023</v>
      </c>
      <c r="B40" s="820">
        <f t="shared" si="67"/>
        <v>97576.48</v>
      </c>
      <c r="C40" s="821">
        <f t="shared" si="67"/>
        <v>2521.4</v>
      </c>
      <c r="D40" s="821">
        <f t="shared" si="67"/>
        <v>3054.62</v>
      </c>
      <c r="E40" s="821">
        <f t="shared" si="67"/>
        <v>11832.93</v>
      </c>
      <c r="F40" s="821">
        <f t="shared" si="67"/>
        <v>100547.69</v>
      </c>
      <c r="G40" s="822">
        <f t="shared" si="67"/>
        <v>175325.02</v>
      </c>
      <c r="H40" s="781">
        <f t="shared" si="68"/>
        <v>1</v>
      </c>
      <c r="I40" s="782">
        <f t="shared" si="68"/>
        <v>1</v>
      </c>
      <c r="J40" s="782">
        <f t="shared" si="68"/>
        <v>1</v>
      </c>
      <c r="K40" s="782">
        <f t="shared" si="68"/>
        <v>1</v>
      </c>
      <c r="L40" s="782">
        <f t="shared" si="68"/>
        <v>0.83080131839687532</v>
      </c>
      <c r="M40" s="783">
        <f t="shared" si="68"/>
        <v>1</v>
      </c>
      <c r="N40" s="733">
        <f t="shared" si="32"/>
        <v>7707.5915298747022</v>
      </c>
      <c r="O40" s="276">
        <f t="shared" si="33"/>
        <v>7273.4857047336718</v>
      </c>
      <c r="P40" s="276">
        <f t="shared" si="34"/>
        <v>6890.6654280404373</v>
      </c>
      <c r="Q40" s="276">
        <f t="shared" si="35"/>
        <v>6394.0420179186958</v>
      </c>
      <c r="R40" s="276">
        <f t="shared" si="36"/>
        <v>7207.9667186998167</v>
      </c>
      <c r="S40" s="278">
        <f t="shared" si="37"/>
        <v>8701.7432325253449</v>
      </c>
      <c r="T40" s="734">
        <f t="shared" si="38"/>
        <v>434.10582514103044</v>
      </c>
      <c r="U40" s="290">
        <f t="shared" si="39"/>
        <v>816.92610183426495</v>
      </c>
      <c r="V40" s="290">
        <f t="shared" si="40"/>
        <v>1313.5495119560064</v>
      </c>
      <c r="W40" s="290">
        <f t="shared" si="41"/>
        <v>499.62481117488551</v>
      </c>
      <c r="X40" s="291">
        <f t="shared" si="42"/>
        <v>-994.15170265064262</v>
      </c>
      <c r="Y40" s="279">
        <f ca="1">IF(AND(Y$22=TRUE,INDEX(CDRANGE_CLS3,MATCH($A40,$A$24:$A$67,0),MATCH(Y$20,$B$20:$G$20,0))&lt;$D$6/OPDAYS_Cls3),86,payback(C40,T40,disc_rate/12,85))</f>
        <v>6</v>
      </c>
      <c r="Z40" s="280">
        <f ca="1">IF(AND(Z$22=TRUE,INDEX(CDRANGE_CLS3,MATCH($A40,$A$24:$A$67,0),MATCH(Z$20,$B$20:$G$20,0))&lt;$D$6/OPDAYS_Cls3),86,payback(D40,U40,disc_rate/12,85))</f>
        <v>4</v>
      </c>
      <c r="AA40" s="280">
        <f ca="1">IF(AND(AA$22=TRUE,INDEX(CDRANGE_CLS3,MATCH($A40,$A$24:$A$67,0),MATCH(AA$20,$B$20:$G$20,0))&lt;$D$6/OPDAYS_Cls3),86,payback(E40,V40,disc_rate/12,85))</f>
        <v>10</v>
      </c>
      <c r="AB40" s="280">
        <f ca="1">IF(AND(AB$22=TRUE,INDEX(CDRANGE_CLS3,MATCH($A40,$A$24:$A$67,0),MATCH(AB$20,$B$20:$G$20,0))&lt;$D$6/OPDAYS_Cls3),86,payback(F40,W40,disc_rate/12,85))</f>
        <v>86</v>
      </c>
      <c r="AC40" s="281">
        <f>IF(AND(AC$22=TRUE,INDEX(CDRANGE_CLS3,MATCH($A40,$A$24:$A$67,0),MATCH(AC$20,$B$20:$G$20,0))&lt;$D$6/OPDAYS_Cls3),86,payback(G40,X40,disc_rate/12,85))</f>
        <v>86</v>
      </c>
      <c r="AD40" s="296">
        <f t="shared" si="43"/>
        <v>5.7421981581262285E-2</v>
      </c>
      <c r="AE40" s="297">
        <f t="shared" si="44"/>
        <v>5.2153755937242023E-2</v>
      </c>
      <c r="AF40" s="297">
        <f t="shared" si="45"/>
        <v>0</v>
      </c>
      <c r="AG40" s="297">
        <f t="shared" si="46"/>
        <v>0</v>
      </c>
      <c r="AH40" s="298">
        <f t="shared" si="47"/>
        <v>0</v>
      </c>
      <c r="AI40" s="595">
        <f t="shared" si="48"/>
        <v>5.9601461011058773E-2</v>
      </c>
      <c r="AJ40" s="300">
        <f t="shared" si="49"/>
        <v>5.9601461011058773E-2</v>
      </c>
      <c r="AK40" s="300">
        <f t="shared" si="50"/>
        <v>5.9601461011058773E-2</v>
      </c>
      <c r="AL40" s="300">
        <f t="shared" si="51"/>
        <v>5.9601461011058773E-2</v>
      </c>
      <c r="AM40" s="598">
        <f t="shared" si="52"/>
        <v>7.2447519254021419E-3</v>
      </c>
      <c r="AN40" s="299">
        <f t="shared" si="65"/>
        <v>0.99814694629877276</v>
      </c>
      <c r="AO40" s="300">
        <f t="shared" si="65"/>
        <v>0.99728149209316252</v>
      </c>
      <c r="AP40" s="300">
        <f t="shared" si="65"/>
        <v>0.95997313907164938</v>
      </c>
      <c r="AQ40" s="300">
        <f t="shared" si="65"/>
        <v>5.2364815675680743E-2</v>
      </c>
      <c r="AR40" s="598">
        <f t="shared" si="65"/>
        <v>1.2742436320301032E-4</v>
      </c>
      <c r="AS40" s="296">
        <f t="shared" ca="1" si="54"/>
        <v>0.11920292202211755</v>
      </c>
      <c r="AT40" s="297">
        <f t="shared" ca="1" si="55"/>
        <v>0.11920292202211755</v>
      </c>
      <c r="AU40" s="297">
        <f t="shared" ca="1" si="56"/>
        <v>0.11455764279015102</v>
      </c>
      <c r="AV40" s="297">
        <f t="shared" ca="1" si="57"/>
        <v>0</v>
      </c>
      <c r="AW40" s="298">
        <f t="shared" si="58"/>
        <v>0</v>
      </c>
      <c r="AX40" s="296">
        <f t="shared" ca="1" si="59"/>
        <v>0.11898203260626736</v>
      </c>
      <c r="AY40" s="297">
        <f t="shared" ca="1" si="59"/>
        <v>0.11887886793608229</v>
      </c>
      <c r="AZ40" s="297">
        <f t="shared" ca="1" si="59"/>
        <v>0.10997225995390997</v>
      </c>
      <c r="BA40" s="297">
        <f t="shared" ca="1" si="59"/>
        <v>0</v>
      </c>
      <c r="BB40" s="298">
        <f t="shared" si="59"/>
        <v>0</v>
      </c>
      <c r="BC40" s="296">
        <f t="shared" ca="1" si="66"/>
        <v>0.88101796739373262</v>
      </c>
      <c r="BD40" s="297">
        <f t="shared" ca="1" si="60"/>
        <v>4.0699754051399889E-2</v>
      </c>
      <c r="BE40" s="297">
        <f t="shared" ca="1" si="61"/>
        <v>4.0664464885369074E-2</v>
      </c>
      <c r="BF40" s="297">
        <f t="shared" ca="1" si="62"/>
        <v>3.7617813669498401E-2</v>
      </c>
      <c r="BG40" s="297">
        <f t="shared" ca="1" si="63"/>
        <v>0</v>
      </c>
      <c r="BH40" s="298">
        <f t="shared" ca="1" si="64"/>
        <v>0</v>
      </c>
    </row>
    <row r="41" spans="1:62" x14ac:dyDescent="0.2">
      <c r="A41" s="317">
        <v>2024</v>
      </c>
      <c r="B41" s="820">
        <f t="shared" si="67"/>
        <v>97844.7</v>
      </c>
      <c r="C41" s="821">
        <f t="shared" si="67"/>
        <v>3361.86</v>
      </c>
      <c r="D41" s="821">
        <f t="shared" si="67"/>
        <v>3748.7</v>
      </c>
      <c r="E41" s="821">
        <f t="shared" si="67"/>
        <v>11194.53</v>
      </c>
      <c r="F41" s="821">
        <f t="shared" si="67"/>
        <v>78739.13</v>
      </c>
      <c r="G41" s="822">
        <f t="shared" si="67"/>
        <v>135511.98000000001</v>
      </c>
      <c r="H41" s="781">
        <f t="shared" si="68"/>
        <v>1</v>
      </c>
      <c r="I41" s="782">
        <f t="shared" si="68"/>
        <v>1</v>
      </c>
      <c r="J41" s="782">
        <f t="shared" si="68"/>
        <v>1</v>
      </c>
      <c r="K41" s="782">
        <f t="shared" si="68"/>
        <v>1</v>
      </c>
      <c r="L41" s="782">
        <f t="shared" si="68"/>
        <v>0.83131463705681374</v>
      </c>
      <c r="M41" s="783">
        <f t="shared" si="68"/>
        <v>1</v>
      </c>
      <c r="N41" s="733">
        <f t="shared" si="32"/>
        <v>7691.3994991337959</v>
      </c>
      <c r="O41" s="276">
        <f t="shared" si="33"/>
        <v>7130.5228163545553</v>
      </c>
      <c r="P41" s="276">
        <f t="shared" si="34"/>
        <v>6750.5687517135329</v>
      </c>
      <c r="Q41" s="276">
        <f t="shared" si="35"/>
        <v>6269.4988634851343</v>
      </c>
      <c r="R41" s="276">
        <f t="shared" si="36"/>
        <v>6992.1878908638064</v>
      </c>
      <c r="S41" s="278">
        <f t="shared" si="37"/>
        <v>8504.3151505880433</v>
      </c>
      <c r="T41" s="734">
        <f t="shared" si="38"/>
        <v>560.87668277924058</v>
      </c>
      <c r="U41" s="290">
        <f t="shared" si="39"/>
        <v>940.83074742026292</v>
      </c>
      <c r="V41" s="290">
        <f t="shared" si="40"/>
        <v>1421.9006356486616</v>
      </c>
      <c r="W41" s="290">
        <f t="shared" si="41"/>
        <v>699.21160826998948</v>
      </c>
      <c r="X41" s="291">
        <f t="shared" si="42"/>
        <v>-812.91565145424738</v>
      </c>
      <c r="Y41" s="279">
        <f ca="1">IF(AND(Y$22=TRUE,INDEX(CDRANGE_CLS3,MATCH($A41,$A$24:$A$67,0),MATCH(Y$20,$B$20:$G$20,0))&lt;$D$6/OPDAYS_Cls3),86,payback(C41,T41,disc_rate/12,85))</f>
        <v>7</v>
      </c>
      <c r="Z41" s="280">
        <f ca="1">IF(AND(Z$22=TRUE,INDEX(CDRANGE_CLS3,MATCH($A41,$A$24:$A$67,0),MATCH(Z$20,$B$20:$G$20,0))&lt;$D$6/OPDAYS_Cls3),86,payback(D41,U41,disc_rate/12,85))</f>
        <v>5</v>
      </c>
      <c r="AA41" s="280">
        <f ca="1">IF(AND(AA$22=TRUE,INDEX(CDRANGE_CLS3,MATCH($A41,$A$24:$A$67,0),MATCH(AA$20,$B$20:$G$20,0))&lt;$D$6/OPDAYS_Cls3),86,payback(E41,V41,disc_rate/12,85))</f>
        <v>9</v>
      </c>
      <c r="AB41" s="280">
        <f ca="1">IF(AND(AB$22=TRUE,INDEX(CDRANGE_CLS3,MATCH($A41,$A$24:$A$67,0),MATCH(AB$20,$B$20:$G$20,0))&lt;$D$6/OPDAYS_Cls3),86,payback(F41,W41,disc_rate/12,85))</f>
        <v>86</v>
      </c>
      <c r="AC41" s="281">
        <f>IF(AND(AC$22=TRUE,INDEX(CDRANGE_CLS3,MATCH($A41,$A$24:$A$67,0),MATCH(AC$20,$B$20:$G$20,0))&lt;$D$6/OPDAYS_Cls3),86,payback(G41,X41,disc_rate/12,85))</f>
        <v>86</v>
      </c>
      <c r="AD41" s="296">
        <f t="shared" si="43"/>
        <v>0.10644090721024145</v>
      </c>
      <c r="AE41" s="297">
        <f t="shared" si="44"/>
        <v>8.139460029835871E-2</v>
      </c>
      <c r="AF41" s="297">
        <f t="shared" si="45"/>
        <v>0</v>
      </c>
      <c r="AG41" s="297">
        <f t="shared" si="46"/>
        <v>0</v>
      </c>
      <c r="AH41" s="298">
        <f t="shared" si="47"/>
        <v>0</v>
      </c>
      <c r="AI41" s="595">
        <f t="shared" si="48"/>
        <v>0.13447071068499755</v>
      </c>
      <c r="AJ41" s="300">
        <f t="shared" si="49"/>
        <v>0.13447071068499755</v>
      </c>
      <c r="AK41" s="300">
        <f t="shared" si="50"/>
        <v>0.13447071068499755</v>
      </c>
      <c r="AL41" s="300">
        <f t="shared" si="51"/>
        <v>0.13447071068499755</v>
      </c>
      <c r="AM41" s="598">
        <f t="shared" si="52"/>
        <v>2.0769477016536548E-2</v>
      </c>
      <c r="AN41" s="299">
        <f t="shared" si="65"/>
        <v>0.99672606361083194</v>
      </c>
      <c r="AO41" s="300">
        <f t="shared" si="65"/>
        <v>0.99593089250965161</v>
      </c>
      <c r="AP41" s="300">
        <f t="shared" si="65"/>
        <v>0.96429221825890521</v>
      </c>
      <c r="AQ41" s="300">
        <f t="shared" si="65"/>
        <v>0.16548281219972216</v>
      </c>
      <c r="AR41" s="598">
        <f t="shared" si="65"/>
        <v>4.8529310990125252E-3</v>
      </c>
      <c r="AS41" s="296">
        <f t="shared" ca="1" si="54"/>
        <v>0.26806125285562332</v>
      </c>
      <c r="AT41" s="297">
        <f t="shared" ca="1" si="55"/>
        <v>0.2689414213699951</v>
      </c>
      <c r="AU41" s="297">
        <f t="shared" ca="1" si="56"/>
        <v>0.2626468935812345</v>
      </c>
      <c r="AV41" s="297">
        <f t="shared" ca="1" si="57"/>
        <v>0</v>
      </c>
      <c r="AW41" s="298">
        <f t="shared" si="58"/>
        <v>0</v>
      </c>
      <c r="AX41" s="296">
        <f t="shared" ca="1" si="59"/>
        <v>0.26718363736537332</v>
      </c>
      <c r="AY41" s="297">
        <f t="shared" ca="1" si="59"/>
        <v>0.26784706981783352</v>
      </c>
      <c r="AZ41" s="297">
        <f t="shared" ca="1" si="59"/>
        <v>0.25326835563025923</v>
      </c>
      <c r="BA41" s="297">
        <f t="shared" ca="1" si="59"/>
        <v>0</v>
      </c>
      <c r="BB41" s="298">
        <f t="shared" si="59"/>
        <v>0</v>
      </c>
      <c r="BC41" s="296">
        <f t="shared" ca="1" si="66"/>
        <v>0.73215293018216654</v>
      </c>
      <c r="BD41" s="297">
        <f t="shared" ca="1" si="60"/>
        <v>9.0783254411302028E-2</v>
      </c>
      <c r="BE41" s="297">
        <f t="shared" ca="1" si="61"/>
        <v>9.1008674492076086E-2</v>
      </c>
      <c r="BF41" s="297">
        <f t="shared" ca="1" si="62"/>
        <v>8.6055140914455361E-2</v>
      </c>
      <c r="BG41" s="297">
        <f t="shared" ca="1" si="63"/>
        <v>0</v>
      </c>
      <c r="BH41" s="298">
        <f t="shared" ca="1" si="64"/>
        <v>0</v>
      </c>
    </row>
    <row r="42" spans="1:62" ht="15" thickBot="1" x14ac:dyDescent="0.25">
      <c r="A42" s="302">
        <v>2025</v>
      </c>
      <c r="B42" s="823">
        <f t="shared" si="67"/>
        <v>98112.92</v>
      </c>
      <c r="C42" s="824">
        <f t="shared" si="67"/>
        <v>4202.33</v>
      </c>
      <c r="D42" s="824">
        <f t="shared" si="67"/>
        <v>4442.7700000000004</v>
      </c>
      <c r="E42" s="824">
        <f t="shared" si="67"/>
        <v>10556.13</v>
      </c>
      <c r="F42" s="824">
        <f t="shared" si="67"/>
        <v>56930.58</v>
      </c>
      <c r="G42" s="825">
        <f t="shared" si="67"/>
        <v>95698.95</v>
      </c>
      <c r="H42" s="781">
        <f t="shared" si="68"/>
        <v>1</v>
      </c>
      <c r="I42" s="782">
        <f t="shared" si="68"/>
        <v>1</v>
      </c>
      <c r="J42" s="782">
        <f t="shared" si="68"/>
        <v>1</v>
      </c>
      <c r="K42" s="782">
        <f t="shared" si="68"/>
        <v>1</v>
      </c>
      <c r="L42" s="782">
        <f t="shared" si="68"/>
        <v>0.83182795571675217</v>
      </c>
      <c r="M42" s="783">
        <f t="shared" si="68"/>
        <v>1</v>
      </c>
      <c r="N42" s="884">
        <f t="shared" si="32"/>
        <v>7590.3021784814464</v>
      </c>
      <c r="O42" s="779">
        <f t="shared" si="33"/>
        <v>6917.8810992947729</v>
      </c>
      <c r="P42" s="779">
        <f t="shared" si="34"/>
        <v>6544.9983640019263</v>
      </c>
      <c r="Q42" s="779">
        <f t="shared" si="35"/>
        <v>6083.5726585258162</v>
      </c>
      <c r="R42" s="779">
        <f t="shared" si="36"/>
        <v>6742.4476949960763</v>
      </c>
      <c r="S42" s="780">
        <f t="shared" si="37"/>
        <v>8383.1327263112762</v>
      </c>
      <c r="T42" s="737">
        <f t="shared" si="38"/>
        <v>672.42107918667352</v>
      </c>
      <c r="U42" s="304">
        <f t="shared" si="39"/>
        <v>1045.30381447952</v>
      </c>
      <c r="V42" s="304">
        <f t="shared" si="40"/>
        <v>1506.7295199556302</v>
      </c>
      <c r="W42" s="304">
        <f t="shared" si="41"/>
        <v>847.85448348537011</v>
      </c>
      <c r="X42" s="305">
        <f t="shared" si="42"/>
        <v>-792.83054782982981</v>
      </c>
      <c r="Y42" s="889">
        <f ca="1">IF(AND(Y$22=TRUE,INDEX(CDRANGE_CLS3,MATCH($A42,$A$24:$A$67,0),MATCH(Y$20,$B$20:$G$20,0))&lt;$D$6/OPDAYS_Cls3),86,payback(C42,T42,disc_rate/12,85))</f>
        <v>7</v>
      </c>
      <c r="Z42" s="890">
        <f ca="1">IF(AND(Z$22=TRUE,INDEX(CDRANGE_CLS3,MATCH($A42,$A$24:$A$67,0),MATCH(Z$20,$B$20:$G$20,0))&lt;$D$6/OPDAYS_Cls3),86,payback(D42,U42,disc_rate/12,85))</f>
        <v>5</v>
      </c>
      <c r="AA42" s="890">
        <f ca="1">IF(AND(AA$22=TRUE,INDEX(CDRANGE_CLS3,MATCH($A42,$A$24:$A$67,0),MATCH(AA$20,$B$20:$G$20,0))&lt;$D$6/OPDAYS_Cls3),86,payback(E42,V42,disc_rate/12,85))</f>
        <v>8</v>
      </c>
      <c r="AB42" s="890">
        <f ca="1">IF(AND(AB$22=TRUE,INDEX(CDRANGE_CLS3,MATCH($A42,$A$24:$A$67,0),MATCH(AB$20,$B$20:$G$20,0))&lt;$D$6/OPDAYS_Cls3),86,payback(F42,W42,disc_rate/12,85))</f>
        <v>86</v>
      </c>
      <c r="AC42" s="891">
        <f>IF(AND(AC$22=TRUE,INDEX(CDRANGE_CLS3,MATCH($A42,$A$24:$A$67,0),MATCH(AC$20,$B$20:$G$20,0))&lt;$D$6/OPDAYS_Cls3),86,payback(G42,X42,disc_rate/12,85))</f>
        <v>86</v>
      </c>
      <c r="AD42" s="310">
        <f t="shared" si="43"/>
        <v>7.232001902347085E-2</v>
      </c>
      <c r="AE42" s="311">
        <f t="shared" si="44"/>
        <v>3.8433940250417631E-2</v>
      </c>
      <c r="AF42" s="311">
        <f t="shared" si="45"/>
        <v>0</v>
      </c>
      <c r="AG42" s="311">
        <f t="shared" si="46"/>
        <v>0</v>
      </c>
      <c r="AH42" s="312">
        <f t="shared" si="47"/>
        <v>0</v>
      </c>
      <c r="AI42" s="596">
        <f t="shared" si="48"/>
        <v>0.25</v>
      </c>
      <c r="AJ42" s="314">
        <f t="shared" si="49"/>
        <v>0.25</v>
      </c>
      <c r="AK42" s="314">
        <f t="shared" si="50"/>
        <v>0.25</v>
      </c>
      <c r="AL42" s="314">
        <f t="shared" si="51"/>
        <v>0.25</v>
      </c>
      <c r="AM42" s="599">
        <f t="shared" si="52"/>
        <v>5.3362699446636339E-2</v>
      </c>
      <c r="AN42" s="313">
        <f t="shared" si="65"/>
        <v>0.99491700945492711</v>
      </c>
      <c r="AO42" s="314">
        <f t="shared" si="65"/>
        <v>0.99432041604728905</v>
      </c>
      <c r="AP42" s="314">
        <f t="shared" si="65"/>
        <v>0.96835604193894842</v>
      </c>
      <c r="AQ42" s="314">
        <f t="shared" si="65"/>
        <v>0.39248046527095071</v>
      </c>
      <c r="AR42" s="599">
        <f t="shared" si="65"/>
        <v>7.1163840247083332E-2</v>
      </c>
      <c r="AS42" s="310">
        <f t="shared" ca="1" si="54"/>
        <v>0.49836364270351485</v>
      </c>
      <c r="AT42" s="311">
        <f t="shared" ca="1" si="55"/>
        <v>0.5</v>
      </c>
      <c r="AU42" s="311">
        <f t="shared" ca="1" si="56"/>
        <v>0.49432498000690822</v>
      </c>
      <c r="AV42" s="311">
        <f t="shared" ca="1" si="57"/>
        <v>0</v>
      </c>
      <c r="AW42" s="312">
        <f t="shared" si="58"/>
        <v>0</v>
      </c>
      <c r="AX42" s="310">
        <f t="shared" ca="1" si="59"/>
        <v>0.49583046501964478</v>
      </c>
      <c r="AY42" s="311">
        <f t="shared" ca="1" si="59"/>
        <v>0.49716020802364452</v>
      </c>
      <c r="AZ42" s="311">
        <f t="shared" ca="1" si="59"/>
        <v>0.47868258107103945</v>
      </c>
      <c r="BA42" s="311">
        <f t="shared" ca="1" si="59"/>
        <v>0</v>
      </c>
      <c r="BB42" s="312">
        <f t="shared" si="59"/>
        <v>0</v>
      </c>
      <c r="BC42" s="310">
        <f t="shared" ca="1" si="66"/>
        <v>0.50283979197635542</v>
      </c>
      <c r="BD42" s="311">
        <f t="shared" ca="1" si="60"/>
        <v>0.16750129585114876</v>
      </c>
      <c r="BE42" s="311">
        <f t="shared" ca="1" si="61"/>
        <v>0.16795050922554305</v>
      </c>
      <c r="BF42" s="311">
        <f t="shared" ca="1" si="62"/>
        <v>0.16170840294695274</v>
      </c>
      <c r="BG42" s="311">
        <f t="shared" ca="1" si="63"/>
        <v>0</v>
      </c>
      <c r="BH42" s="312">
        <f t="shared" ca="1" si="64"/>
        <v>0</v>
      </c>
      <c r="BJ42" s="540"/>
    </row>
    <row r="43" spans="1:62" x14ac:dyDescent="0.2">
      <c r="A43" s="316">
        <v>2026</v>
      </c>
      <c r="B43" s="826">
        <f t="shared" si="67"/>
        <v>98535.26</v>
      </c>
      <c r="C43" s="827">
        <f t="shared" si="67"/>
        <v>4373.82</v>
      </c>
      <c r="D43" s="827">
        <f t="shared" si="67"/>
        <v>4579.01</v>
      </c>
      <c r="E43" s="827">
        <f t="shared" si="67"/>
        <v>10405.35</v>
      </c>
      <c r="F43" s="827">
        <f t="shared" si="67"/>
        <v>52011.72</v>
      </c>
      <c r="G43" s="828">
        <f t="shared" si="67"/>
        <v>86083.47</v>
      </c>
      <c r="H43" s="781">
        <f t="shared" si="68"/>
        <v>1</v>
      </c>
      <c r="I43" s="782">
        <f t="shared" si="68"/>
        <v>1</v>
      </c>
      <c r="J43" s="782">
        <f t="shared" si="68"/>
        <v>1</v>
      </c>
      <c r="K43" s="782">
        <f t="shared" si="68"/>
        <v>1</v>
      </c>
      <c r="L43" s="782">
        <f t="shared" si="68"/>
        <v>0.83110156731525731</v>
      </c>
      <c r="M43" s="783">
        <f t="shared" si="68"/>
        <v>1</v>
      </c>
      <c r="N43" s="733">
        <f t="shared" si="32"/>
        <v>7543.9252303513858</v>
      </c>
      <c r="O43" s="276">
        <f t="shared" si="33"/>
        <v>6763.8889924947216</v>
      </c>
      <c r="P43" s="276">
        <f t="shared" si="34"/>
        <v>6395.3748677474186</v>
      </c>
      <c r="Q43" s="276">
        <f t="shared" si="35"/>
        <v>5949.1125325174144</v>
      </c>
      <c r="R43" s="276">
        <f t="shared" si="36"/>
        <v>6537.2216274534603</v>
      </c>
      <c r="S43" s="278">
        <f t="shared" si="37"/>
        <v>8193.421663410325</v>
      </c>
      <c r="T43" s="733">
        <f t="shared" si="38"/>
        <v>780.03623785666423</v>
      </c>
      <c r="U43" s="276">
        <f t="shared" si="39"/>
        <v>1148.5503626039672</v>
      </c>
      <c r="V43" s="276">
        <f t="shared" si="40"/>
        <v>1594.8126978339715</v>
      </c>
      <c r="W43" s="276">
        <f t="shared" si="41"/>
        <v>1006.7036028979255</v>
      </c>
      <c r="X43" s="277">
        <f t="shared" si="42"/>
        <v>-649.49643305893915</v>
      </c>
      <c r="Y43" s="279">
        <f ca="1">IF(AND(Y$22=TRUE,INDEX(CDRANGE_CLS3,MATCH($A43,$A$24:$A$67,0),MATCH(Y$20,$B$20:$G$20,0))&lt;$D$6/OPDAYS_Cls3),86,payback(C43,T43,disc_rate/12,85))</f>
        <v>6</v>
      </c>
      <c r="Z43" s="280">
        <f ca="1">IF(AND(Z$22=TRUE,INDEX(CDRANGE_CLS3,MATCH($A43,$A$24:$A$67,0),MATCH(Z$20,$B$20:$G$20,0))&lt;$D$6/OPDAYS_Cls3),86,payback(D43,U43,disc_rate/12,85))</f>
        <v>5</v>
      </c>
      <c r="AA43" s="280">
        <f ca="1">IF(AND(AA$22=TRUE,INDEX(CDRANGE_CLS3,MATCH($A43,$A$24:$A$67,0),MATCH(AA$20,$B$20:$G$20,0))&lt;$D$6/OPDAYS_Cls3),86,payback(E43,V43,disc_rate/12,85))</f>
        <v>7</v>
      </c>
      <c r="AB43" s="280">
        <f ca="1">IF(AND(AB$22=TRUE,INDEX(CDRANGE_CLS3,MATCH($A43,$A$24:$A$67,0),MATCH(AB$20,$B$20:$G$20,0))&lt;$D$6/OPDAYS_Cls3),86,payback(F43,W43,disc_rate/12,85))</f>
        <v>63</v>
      </c>
      <c r="AC43" s="281">
        <f>IF(AND(AC$22=TRUE,INDEX(CDRANGE_CLS3,MATCH($A43,$A$24:$A$67,0),MATCH(AC$20,$B$20:$G$20,0))&lt;$D$6/OPDAYS_Cls3),86,payback(G43,X43,disc_rate/12,85))</f>
        <v>86</v>
      </c>
      <c r="AD43" s="282">
        <f t="shared" si="43"/>
        <v>7.9258584867423848E-2</v>
      </c>
      <c r="AE43" s="283">
        <f t="shared" si="44"/>
        <v>3.7361810203463269E-2</v>
      </c>
      <c r="AF43" s="283">
        <f t="shared" si="45"/>
        <v>0</v>
      </c>
      <c r="AG43" s="283">
        <f t="shared" si="46"/>
        <v>0</v>
      </c>
      <c r="AH43" s="284">
        <f t="shared" si="47"/>
        <v>0</v>
      </c>
      <c r="AI43" s="594">
        <f t="shared" si="48"/>
        <v>0.36552928931500245</v>
      </c>
      <c r="AJ43" s="286">
        <f t="shared" si="49"/>
        <v>0.36552928931500245</v>
      </c>
      <c r="AK43" s="286">
        <f t="shared" si="50"/>
        <v>0.36552928931500245</v>
      </c>
      <c r="AL43" s="286">
        <f t="shared" si="51"/>
        <v>0.36552928931500245</v>
      </c>
      <c r="AM43" s="611">
        <f t="shared" si="52"/>
        <v>9.4702178206308593E-2</v>
      </c>
      <c r="AN43" s="285">
        <f t="shared" si="65"/>
        <v>0.99454181760712912</v>
      </c>
      <c r="AO43" s="286">
        <f t="shared" si="65"/>
        <v>0.99401925344454278</v>
      </c>
      <c r="AP43" s="286">
        <f t="shared" si="65"/>
        <v>0.9694986875495305</v>
      </c>
      <c r="AQ43" s="286">
        <f t="shared" si="65"/>
        <v>0.46118473907214175</v>
      </c>
      <c r="AR43" s="611">
        <f t="shared" si="65"/>
        <v>0.12002117896152487</v>
      </c>
      <c r="AS43" s="282">
        <f t="shared" ca="1" si="54"/>
        <v>0.7310585786300049</v>
      </c>
      <c r="AT43" s="283">
        <f t="shared" ca="1" si="55"/>
        <v>0.7310585786300049</v>
      </c>
      <c r="AU43" s="283">
        <f t="shared" ca="1" si="56"/>
        <v>0.72866603255140638</v>
      </c>
      <c r="AV43" s="283">
        <f t="shared" ca="1" si="57"/>
        <v>6.359497095175178E-3</v>
      </c>
      <c r="AW43" s="284">
        <f t="shared" si="58"/>
        <v>0</v>
      </c>
      <c r="AX43" s="282">
        <f t="shared" ca="1" si="59"/>
        <v>0.72706832756796935</v>
      </c>
      <c r="AY43" s="283">
        <f t="shared" ca="1" si="59"/>
        <v>0.726686302554026</v>
      </c>
      <c r="AZ43" s="283">
        <f t="shared" ca="1" si="59"/>
        <v>0.706440762220512</v>
      </c>
      <c r="BA43" s="283">
        <f t="shared" ca="1" si="59"/>
        <v>2.932903008468408E-3</v>
      </c>
      <c r="BB43" s="284">
        <f t="shared" si="59"/>
        <v>0</v>
      </c>
      <c r="BC43" s="282">
        <f t="shared" ca="1" si="66"/>
        <v>0.27293167243203054</v>
      </c>
      <c r="BD43" s="283">
        <f t="shared" ca="1" si="60"/>
        <v>0.2443814146801275</v>
      </c>
      <c r="BE43" s="283">
        <f t="shared" ca="1" si="61"/>
        <v>0.2442530088483634</v>
      </c>
      <c r="BF43" s="283">
        <f t="shared" ca="1" si="62"/>
        <v>0.23744809987341536</v>
      </c>
      <c r="BG43" s="283">
        <f t="shared" ca="1" si="63"/>
        <v>9.8580416606320535E-4</v>
      </c>
      <c r="BH43" s="284">
        <f t="shared" ca="1" si="64"/>
        <v>0</v>
      </c>
    </row>
    <row r="44" spans="1:62" x14ac:dyDescent="0.2">
      <c r="A44" s="317">
        <v>2027</v>
      </c>
      <c r="B44" s="820">
        <f t="shared" ref="B44:G53" si="69">ROUND(INDEX(COST_Cls3,$A44-($A$24-1),MATCH(B$20,TECHOPTS_Cls3,0)),2)</f>
        <v>98957.59</v>
      </c>
      <c r="C44" s="821">
        <f t="shared" si="69"/>
        <v>4545.3</v>
      </c>
      <c r="D44" s="821">
        <f t="shared" si="69"/>
        <v>4715.25</v>
      </c>
      <c r="E44" s="821">
        <f t="shared" si="69"/>
        <v>10254.58</v>
      </c>
      <c r="F44" s="821">
        <f t="shared" si="69"/>
        <v>47092.87</v>
      </c>
      <c r="G44" s="822">
        <f t="shared" si="69"/>
        <v>76467.990000000005</v>
      </c>
      <c r="H44" s="781">
        <f t="shared" ref="H44:M53" si="70">IF(H$21="Single-fuel",1,1-MIN(INDEX(CDRANGE_CLS3,$A44-($A$24-1),MATCH(H$20,TECHOPTS_Cls3,0))*OPDAYS_Cls3/$D$6,1))</f>
        <v>1</v>
      </c>
      <c r="I44" s="782">
        <f t="shared" si="70"/>
        <v>1</v>
      </c>
      <c r="J44" s="782">
        <f t="shared" si="70"/>
        <v>1</v>
      </c>
      <c r="K44" s="782">
        <f t="shared" si="70"/>
        <v>1</v>
      </c>
      <c r="L44" s="782">
        <f t="shared" si="70"/>
        <v>0.83037517891376256</v>
      </c>
      <c r="M44" s="783">
        <f t="shared" si="70"/>
        <v>1</v>
      </c>
      <c r="N44" s="733">
        <f t="shared" si="32"/>
        <v>7371.7944385798837</v>
      </c>
      <c r="O44" s="276">
        <f t="shared" si="33"/>
        <v>6506.1960470849426</v>
      </c>
      <c r="P44" s="276">
        <f t="shared" si="34"/>
        <v>6148.1454191181392</v>
      </c>
      <c r="Q44" s="276">
        <f t="shared" si="35"/>
        <v>5723.3359835867277</v>
      </c>
      <c r="R44" s="276">
        <f t="shared" si="36"/>
        <v>6246.8050170740935</v>
      </c>
      <c r="S44" s="278">
        <f t="shared" si="37"/>
        <v>7925.0915582419366</v>
      </c>
      <c r="T44" s="734">
        <f t="shared" si="38"/>
        <v>865.5983914949411</v>
      </c>
      <c r="U44" s="290">
        <f t="shared" si="39"/>
        <v>1223.6490194617445</v>
      </c>
      <c r="V44" s="290">
        <f t="shared" si="40"/>
        <v>1648.458454993156</v>
      </c>
      <c r="W44" s="290">
        <f t="shared" si="41"/>
        <v>1124.9894215057902</v>
      </c>
      <c r="X44" s="291">
        <f t="shared" si="42"/>
        <v>-553.29711966205286</v>
      </c>
      <c r="Y44" s="279">
        <f ca="1">IF(AND(Y$22=TRUE,INDEX(CDRANGE_CLS3,MATCH($A44,$A$24:$A$67,0),MATCH(Y$20,$B$20:$G$20,0))&lt;$D$6/OPDAYS_Cls3),86,payback(C44,T44,disc_rate/12,85))</f>
        <v>6</v>
      </c>
      <c r="Z44" s="280">
        <f ca="1">IF(AND(Z$22=TRUE,INDEX(CDRANGE_CLS3,MATCH($A44,$A$24:$A$67,0),MATCH(Z$20,$B$20:$G$20,0))&lt;$D$6/OPDAYS_Cls3),86,payback(D44,U44,disc_rate/12,85))</f>
        <v>4</v>
      </c>
      <c r="AA44" s="280">
        <f ca="1">IF(AND(AA$22=TRUE,INDEX(CDRANGE_CLS3,MATCH($A44,$A$24:$A$67,0),MATCH(AA$20,$B$20:$G$20,0))&lt;$D$6/OPDAYS_Cls3),86,payback(E44,V44,disc_rate/12,85))</f>
        <v>7</v>
      </c>
      <c r="AB44" s="280">
        <f ca="1">IF(AND(AB$22=TRUE,INDEX(CDRANGE_CLS3,MATCH($A44,$A$24:$A$67,0),MATCH(AB$20,$B$20:$G$20,0))&lt;$D$6/OPDAYS_Cls3),86,payback(F44,W44,disc_rate/12,85))</f>
        <v>49</v>
      </c>
      <c r="AC44" s="281">
        <f>IF(AND(AC$22=TRUE,INDEX(CDRANGE_CLS3,MATCH($A44,$A$24:$A$67,0),MATCH(AC$20,$B$20:$G$20,0))&lt;$D$6/OPDAYS_Cls3),86,payback(G44,X44,disc_rate/12,85))</f>
        <v>86</v>
      </c>
      <c r="AD44" s="296">
        <f t="shared" si="43"/>
        <v>4.5014413642261338E-2</v>
      </c>
      <c r="AE44" s="297">
        <f t="shared" si="44"/>
        <v>2.7793406890609954E-2</v>
      </c>
      <c r="AF44" s="297">
        <f t="shared" si="45"/>
        <v>0</v>
      </c>
      <c r="AG44" s="297">
        <f t="shared" si="46"/>
        <v>0</v>
      </c>
      <c r="AH44" s="298">
        <f t="shared" si="47"/>
        <v>0</v>
      </c>
      <c r="AI44" s="595">
        <f t="shared" si="48"/>
        <v>0.44039853898894116</v>
      </c>
      <c r="AJ44" s="300">
        <f t="shared" si="49"/>
        <v>0.44039853898894116</v>
      </c>
      <c r="AK44" s="300">
        <f t="shared" si="50"/>
        <v>0.44039853898894116</v>
      </c>
      <c r="AL44" s="300">
        <f t="shared" si="51"/>
        <v>0.44039853898894116</v>
      </c>
      <c r="AM44" s="598">
        <f t="shared" si="52"/>
        <v>0.14801100680427121</v>
      </c>
      <c r="AN44" s="299">
        <f t="shared" si="65"/>
        <v>0.99415677721147755</v>
      </c>
      <c r="AO44" s="300">
        <f t="shared" si="65"/>
        <v>0.99371305091370921</v>
      </c>
      <c r="AP44" s="300">
        <f t="shared" si="65"/>
        <v>0.97061173790662691</v>
      </c>
      <c r="AQ44" s="300">
        <f t="shared" si="65"/>
        <v>0.53307913967556086</v>
      </c>
      <c r="AR44" s="598">
        <f t="shared" si="65"/>
        <v>0.19039302293717919</v>
      </c>
      <c r="AS44" s="296">
        <f t="shared" ca="1" si="54"/>
        <v>0.88079707797788231</v>
      </c>
      <c r="AT44" s="297">
        <f t="shared" ca="1" si="55"/>
        <v>0.88079707797788231</v>
      </c>
      <c r="AU44" s="297">
        <f t="shared" ca="1" si="56"/>
        <v>0.87791448052733856</v>
      </c>
      <c r="AV44" s="297">
        <f t="shared" ca="1" si="57"/>
        <v>5.0609439998589648E-2</v>
      </c>
      <c r="AW44" s="298">
        <f t="shared" si="58"/>
        <v>0</v>
      </c>
      <c r="AX44" s="296">
        <f t="shared" ca="1" si="59"/>
        <v>0.87565038441977794</v>
      </c>
      <c r="AY44" s="297">
        <f t="shared" ca="1" si="59"/>
        <v>0.87525955159328162</v>
      </c>
      <c r="AZ44" s="297">
        <f t="shared" ca="1" si="59"/>
        <v>0.85211409967803364</v>
      </c>
      <c r="BA44" s="297">
        <f t="shared" ca="1" si="59"/>
        <v>2.6978836733910088E-2</v>
      </c>
      <c r="BB44" s="298">
        <f t="shared" si="59"/>
        <v>0</v>
      </c>
      <c r="BC44" s="296">
        <f t="shared" ca="1" si="66"/>
        <v>0.12434961558022217</v>
      </c>
      <c r="BD44" s="297">
        <f t="shared" ca="1" si="60"/>
        <v>0.29154477501673132</v>
      </c>
      <c r="BE44" s="297">
        <f t="shared" ca="1" si="61"/>
        <v>0.29141464857529148</v>
      </c>
      <c r="BF44" s="297">
        <f t="shared" ca="1" si="62"/>
        <v>0.28370845019822699</v>
      </c>
      <c r="BG44" s="297">
        <f t="shared" ca="1" si="63"/>
        <v>8.9825106295280104E-3</v>
      </c>
      <c r="BH44" s="298">
        <f t="shared" ca="1" si="64"/>
        <v>0</v>
      </c>
    </row>
    <row r="45" spans="1:62" x14ac:dyDescent="0.2">
      <c r="A45" s="317">
        <v>2028</v>
      </c>
      <c r="B45" s="820">
        <f t="shared" si="69"/>
        <v>99379.93</v>
      </c>
      <c r="C45" s="821">
        <f t="shared" si="69"/>
        <v>4716.79</v>
      </c>
      <c r="D45" s="821">
        <f t="shared" si="69"/>
        <v>4851.49</v>
      </c>
      <c r="E45" s="821">
        <f t="shared" si="69"/>
        <v>10103.799999999999</v>
      </c>
      <c r="F45" s="821">
        <f t="shared" si="69"/>
        <v>42174.02</v>
      </c>
      <c r="G45" s="822">
        <f t="shared" si="69"/>
        <v>66852.509999999995</v>
      </c>
      <c r="H45" s="781">
        <f t="shared" si="70"/>
        <v>1</v>
      </c>
      <c r="I45" s="782">
        <f t="shared" si="70"/>
        <v>1</v>
      </c>
      <c r="J45" s="782">
        <f t="shared" si="70"/>
        <v>1</v>
      </c>
      <c r="K45" s="782">
        <f t="shared" si="70"/>
        <v>1</v>
      </c>
      <c r="L45" s="782">
        <f t="shared" si="70"/>
        <v>0.8296487905122677</v>
      </c>
      <c r="M45" s="783">
        <f t="shared" si="70"/>
        <v>1</v>
      </c>
      <c r="N45" s="733">
        <f t="shared" si="32"/>
        <v>7416.859001233267</v>
      </c>
      <c r="O45" s="276">
        <f t="shared" si="33"/>
        <v>6447.3713948785098</v>
      </c>
      <c r="P45" s="276">
        <f t="shared" si="34"/>
        <v>6089.2017162339962</v>
      </c>
      <c r="Q45" s="276">
        <f t="shared" si="35"/>
        <v>5672.4115600158293</v>
      </c>
      <c r="R45" s="276">
        <f t="shared" si="36"/>
        <v>6125.7930827164109</v>
      </c>
      <c r="S45" s="278">
        <f t="shared" si="37"/>
        <v>7730.2083798263902</v>
      </c>
      <c r="T45" s="734">
        <f t="shared" si="38"/>
        <v>969.48760635475719</v>
      </c>
      <c r="U45" s="290">
        <f t="shared" si="39"/>
        <v>1327.6572849992708</v>
      </c>
      <c r="V45" s="290">
        <f t="shared" si="40"/>
        <v>1744.4474412174377</v>
      </c>
      <c r="W45" s="290">
        <f t="shared" si="41"/>
        <v>1291.0659185168561</v>
      </c>
      <c r="X45" s="291">
        <f t="shared" si="42"/>
        <v>-313.34937859312322</v>
      </c>
      <c r="Y45" s="279">
        <f ca="1">IF(AND(Y$22=TRUE,INDEX(CDRANGE_CLS3,MATCH($A45,$A$24:$A$67,0),MATCH(Y$20,$B$20:$G$20,0))&lt;$D$6/OPDAYS_Cls3),86,payback(C45,T45,disc_rate/12,85))</f>
        <v>5</v>
      </c>
      <c r="Z45" s="280">
        <f ca="1">IF(AND(Z$22=TRUE,INDEX(CDRANGE_CLS3,MATCH($A45,$A$24:$A$67,0),MATCH(Z$20,$B$20:$G$20,0))&lt;$D$6/OPDAYS_Cls3),86,payback(D45,U45,disc_rate/12,85))</f>
        <v>4</v>
      </c>
      <c r="AA45" s="280">
        <f ca="1">IF(AND(AA$22=TRUE,INDEX(CDRANGE_CLS3,MATCH($A45,$A$24:$A$67,0),MATCH(AA$20,$B$20:$G$20,0))&lt;$D$6/OPDAYS_Cls3),86,payback(E45,V45,disc_rate/12,85))</f>
        <v>6</v>
      </c>
      <c r="AB45" s="280">
        <f ca="1">IF(AND(AB$22=TRUE,INDEX(CDRANGE_CLS3,MATCH($A45,$A$24:$A$67,0),MATCH(AB$20,$B$20:$G$20,0))&lt;$D$6/OPDAYS_Cls3),86,payback(F45,W45,disc_rate/12,85))</f>
        <v>37</v>
      </c>
      <c r="AC45" s="281">
        <f>IF(AND(AC$22=TRUE,INDEX(CDRANGE_CLS3,MATCH($A45,$A$24:$A$67,0),MATCH(AC$20,$B$20:$G$20,0))&lt;$D$6/OPDAYS_Cls3),86,payback(G45,X45,disc_rate/12,85))</f>
        <v>86</v>
      </c>
      <c r="AD45" s="296">
        <f t="shared" si="43"/>
        <v>3.0058319858445533E-2</v>
      </c>
      <c r="AE45" s="297">
        <f t="shared" si="44"/>
        <v>1.7048957010990153E-2</v>
      </c>
      <c r="AF45" s="297">
        <f t="shared" si="45"/>
        <v>0</v>
      </c>
      <c r="AG45" s="297">
        <f t="shared" si="46"/>
        <v>0</v>
      </c>
      <c r="AH45" s="298">
        <f t="shared" si="47"/>
        <v>0</v>
      </c>
      <c r="AI45" s="595">
        <f t="shared" si="48"/>
        <v>0.47628706341121668</v>
      </c>
      <c r="AJ45" s="300">
        <f t="shared" si="49"/>
        <v>0.47628706341121668</v>
      </c>
      <c r="AK45" s="300">
        <f t="shared" si="50"/>
        <v>0.47628706341121668</v>
      </c>
      <c r="AL45" s="300">
        <f t="shared" si="51"/>
        <v>0.47628706341121668</v>
      </c>
      <c r="AM45" s="598">
        <f t="shared" si="52"/>
        <v>0.18678877439881256</v>
      </c>
      <c r="AN45" s="299">
        <f t="shared" si="65"/>
        <v>0.99376214691403275</v>
      </c>
      <c r="AO45" s="300">
        <f t="shared" si="65"/>
        <v>0.99340197873883906</v>
      </c>
      <c r="AP45" s="300">
        <f t="shared" si="65"/>
        <v>0.97169587679108105</v>
      </c>
      <c r="AQ45" s="300">
        <f t="shared" si="65"/>
        <v>0.60637693088031164</v>
      </c>
      <c r="AR45" s="598">
        <f t="shared" si="65"/>
        <v>0.28450603259612528</v>
      </c>
      <c r="AS45" s="296">
        <f t="shared" ca="1" si="54"/>
        <v>0.95257412682243336</v>
      </c>
      <c r="AT45" s="297">
        <f t="shared" ca="1" si="55"/>
        <v>0.95257412682243336</v>
      </c>
      <c r="AU45" s="297">
        <f t="shared" ca="1" si="56"/>
        <v>0.95257412682243336</v>
      </c>
      <c r="AV45" s="297">
        <f t="shared" ca="1" si="57"/>
        <v>0.19519836332896426</v>
      </c>
      <c r="AW45" s="298">
        <f t="shared" si="58"/>
        <v>0</v>
      </c>
      <c r="AX45" s="296">
        <f t="shared" ca="1" si="59"/>
        <v>0.94663210936582154</v>
      </c>
      <c r="AY45" s="297">
        <f t="shared" ca="1" si="59"/>
        <v>0.94628902248082714</v>
      </c>
      <c r="AZ45" s="297">
        <f t="shared" ca="1" si="59"/>
        <v>0.92561235137122277</v>
      </c>
      <c r="BA45" s="297">
        <f t="shared" ca="1" si="59"/>
        <v>0.11836378446827732</v>
      </c>
      <c r="BB45" s="298">
        <f t="shared" si="59"/>
        <v>0</v>
      </c>
      <c r="BC45" s="296">
        <f t="shared" ca="1" si="66"/>
        <v>5.3367890634178572E-2</v>
      </c>
      <c r="BD45" s="297">
        <f t="shared" ca="1" si="60"/>
        <v>0.3051221301957191</v>
      </c>
      <c r="BE45" s="297">
        <f t="shared" ca="1" si="61"/>
        <v>0.30501154510130274</v>
      </c>
      <c r="BF45" s="297">
        <f t="shared" ca="1" si="62"/>
        <v>0.29834696033611313</v>
      </c>
      <c r="BG45" s="297">
        <f t="shared" ca="1" si="63"/>
        <v>3.8151473732686493E-2</v>
      </c>
      <c r="BH45" s="298">
        <f t="shared" ca="1" si="64"/>
        <v>0</v>
      </c>
    </row>
    <row r="46" spans="1:62" x14ac:dyDescent="0.2">
      <c r="A46" s="317">
        <v>2029</v>
      </c>
      <c r="B46" s="820">
        <f t="shared" si="69"/>
        <v>99802.26</v>
      </c>
      <c r="C46" s="821">
        <f t="shared" si="69"/>
        <v>4888.28</v>
      </c>
      <c r="D46" s="821">
        <f t="shared" si="69"/>
        <v>4987.7299999999996</v>
      </c>
      <c r="E46" s="821">
        <f t="shared" si="69"/>
        <v>9953.0300000000007</v>
      </c>
      <c r="F46" s="821">
        <f t="shared" si="69"/>
        <v>37255.160000000003</v>
      </c>
      <c r="G46" s="822">
        <f t="shared" si="69"/>
        <v>57237.04</v>
      </c>
      <c r="H46" s="781">
        <f t="shared" si="70"/>
        <v>1</v>
      </c>
      <c r="I46" s="782">
        <f t="shared" si="70"/>
        <v>1</v>
      </c>
      <c r="J46" s="782">
        <f t="shared" si="70"/>
        <v>1</v>
      </c>
      <c r="K46" s="782">
        <f t="shared" si="70"/>
        <v>1</v>
      </c>
      <c r="L46" s="782">
        <f t="shared" si="70"/>
        <v>0.82892240211077295</v>
      </c>
      <c r="M46" s="783">
        <f t="shared" si="70"/>
        <v>1</v>
      </c>
      <c r="N46" s="733">
        <f t="shared" si="32"/>
        <v>7339.9442262037555</v>
      </c>
      <c r="O46" s="276">
        <f t="shared" si="33"/>
        <v>6287.8688702318186</v>
      </c>
      <c r="P46" s="276">
        <f t="shared" si="34"/>
        <v>5935.4555757668431</v>
      </c>
      <c r="Q46" s="276">
        <f t="shared" si="35"/>
        <v>5532.8423569260176</v>
      </c>
      <c r="R46" s="276">
        <f t="shared" si="36"/>
        <v>5919.1011379888569</v>
      </c>
      <c r="S46" s="278">
        <f t="shared" si="37"/>
        <v>7448.303614535077</v>
      </c>
      <c r="T46" s="734">
        <f t="shared" si="38"/>
        <v>1052.0753559719369</v>
      </c>
      <c r="U46" s="290">
        <f t="shared" si="39"/>
        <v>1404.4886504369124</v>
      </c>
      <c r="V46" s="290">
        <f t="shared" si="40"/>
        <v>1807.1018692777379</v>
      </c>
      <c r="W46" s="290">
        <f t="shared" si="41"/>
        <v>1420.8430882148987</v>
      </c>
      <c r="X46" s="291">
        <f t="shared" si="42"/>
        <v>-108.3593883313215</v>
      </c>
      <c r="Y46" s="279">
        <f ca="1">IF(AND(Y$22=TRUE,INDEX(CDRANGE_CLS3,MATCH($A46,$A$24:$A$67,0),MATCH(Y$20,$B$20:$G$20,0))&lt;$D$6/OPDAYS_Cls3),86,payback(C46,T46,disc_rate/12,85))</f>
        <v>5</v>
      </c>
      <c r="Z46" s="280">
        <f ca="1">IF(AND(Z$22=TRUE,INDEX(CDRANGE_CLS3,MATCH($A46,$A$24:$A$67,0),MATCH(Z$20,$B$20:$G$20,0))&lt;$D$6/OPDAYS_Cls3),86,payback(D46,U46,disc_rate/12,85))</f>
        <v>4</v>
      </c>
      <c r="AA46" s="280">
        <f ca="1">IF(AND(AA$22=TRUE,INDEX(CDRANGE_CLS3,MATCH($A46,$A$24:$A$67,0),MATCH(AA$20,$B$20:$G$20,0))&lt;$D$6/OPDAYS_Cls3),86,payback(E46,V46,disc_rate/12,85))</f>
        <v>6</v>
      </c>
      <c r="AB46" s="280">
        <f ca="1">IF(AND(AB$22=TRUE,INDEX(CDRANGE_CLS3,MATCH($A46,$A$24:$A$67,0),MATCH(AB$20,$B$20:$G$20,0))&lt;$D$6/OPDAYS_Cls3),86,payback(F46,W46,disc_rate/12,85))</f>
        <v>29</v>
      </c>
      <c r="AC46" s="281">
        <f>IF(AND(AC$22=TRUE,INDEX(CDRANGE_CLS3,MATCH($A46,$A$24:$A$67,0),MATCH(AC$20,$B$20:$G$20,0))&lt;$D$6/OPDAYS_Cls3),86,payback(G46,X46,disc_rate/12,85))</f>
        <v>86</v>
      </c>
      <c r="AD46" s="296">
        <f t="shared" si="43"/>
        <v>9.0476967152006878E-3</v>
      </c>
      <c r="AE46" s="297">
        <f t="shared" si="44"/>
        <v>9.0476967152006878E-3</v>
      </c>
      <c r="AF46" s="297">
        <f t="shared" si="45"/>
        <v>0</v>
      </c>
      <c r="AG46" s="297">
        <f t="shared" si="46"/>
        <v>0</v>
      </c>
      <c r="AH46" s="298">
        <f t="shared" si="47"/>
        <v>0</v>
      </c>
      <c r="AI46" s="595">
        <f t="shared" si="48"/>
        <v>0.49100689501895423</v>
      </c>
      <c r="AJ46" s="300">
        <f t="shared" si="49"/>
        <v>0.49100689501895423</v>
      </c>
      <c r="AK46" s="300">
        <f t="shared" si="50"/>
        <v>0.49100689501895423</v>
      </c>
      <c r="AL46" s="300">
        <f t="shared" si="51"/>
        <v>0.49100689501895423</v>
      </c>
      <c r="AM46" s="598">
        <f t="shared" si="52"/>
        <v>0.22145449369332124</v>
      </c>
      <c r="AN46" s="299">
        <f t="shared" si="65"/>
        <v>0.99335824806969308</v>
      </c>
      <c r="AO46" s="300">
        <f t="shared" si="65"/>
        <v>0.99308619759922279</v>
      </c>
      <c r="AP46" s="300">
        <f t="shared" si="65"/>
        <v>0.97275152850087787</v>
      </c>
      <c r="AQ46" s="300">
        <f t="shared" si="65"/>
        <v>0.67904349922789375</v>
      </c>
      <c r="AR46" s="598">
        <f t="shared" si="65"/>
        <v>0.40106509546643621</v>
      </c>
      <c r="AS46" s="296">
        <f t="shared" ca="1" si="54"/>
        <v>0.98201379003790845</v>
      </c>
      <c r="AT46" s="297">
        <f t="shared" ca="1" si="55"/>
        <v>0.98201379003790845</v>
      </c>
      <c r="AU46" s="297">
        <f t="shared" ca="1" si="56"/>
        <v>0.98201379003790845</v>
      </c>
      <c r="AV46" s="297">
        <f t="shared" ca="1" si="57"/>
        <v>0.38891150906835642</v>
      </c>
      <c r="AW46" s="298">
        <f t="shared" si="58"/>
        <v>0</v>
      </c>
      <c r="AX46" s="296">
        <f t="shared" ca="1" si="59"/>
        <v>0.97549149805233615</v>
      </c>
      <c r="AY46" s="297">
        <f t="shared" ca="1" si="59"/>
        <v>0.97522434073874797</v>
      </c>
      <c r="AZ46" s="297">
        <f t="shared" ca="1" si="59"/>
        <v>0.95525541526831559</v>
      </c>
      <c r="BA46" s="297">
        <f t="shared" ca="1" si="59"/>
        <v>0.26408783200777747</v>
      </c>
      <c r="BB46" s="298">
        <f t="shared" si="59"/>
        <v>0</v>
      </c>
      <c r="BC46" s="296">
        <f t="shared" ca="1" si="66"/>
        <v>2.4508501947663741E-2</v>
      </c>
      <c r="BD46" s="297">
        <f t="shared" ca="1" si="60"/>
        <v>0.30017852567945036</v>
      </c>
      <c r="BE46" s="297">
        <f t="shared" ca="1" si="61"/>
        <v>0.30009631595370956</v>
      </c>
      <c r="BF46" s="297">
        <f t="shared" ca="1" si="62"/>
        <v>0.29395147243730235</v>
      </c>
      <c r="BG46" s="297">
        <f t="shared" ca="1" si="63"/>
        <v>8.1265183981874017E-2</v>
      </c>
      <c r="BH46" s="298">
        <f t="shared" ca="1" si="64"/>
        <v>0</v>
      </c>
    </row>
    <row r="47" spans="1:62" ht="15" thickBot="1" x14ac:dyDescent="0.25">
      <c r="A47" s="618">
        <v>2030</v>
      </c>
      <c r="B47" s="814">
        <f t="shared" si="69"/>
        <v>100224.6</v>
      </c>
      <c r="C47" s="815">
        <f t="shared" si="69"/>
        <v>5059.7700000000004</v>
      </c>
      <c r="D47" s="815">
        <f t="shared" si="69"/>
        <v>5123.97</v>
      </c>
      <c r="E47" s="815">
        <f t="shared" si="69"/>
        <v>9802.25</v>
      </c>
      <c r="F47" s="815">
        <f t="shared" si="69"/>
        <v>32336.31</v>
      </c>
      <c r="G47" s="816">
        <f t="shared" si="69"/>
        <v>47621.56</v>
      </c>
      <c r="H47" s="781">
        <f t="shared" si="70"/>
        <v>1</v>
      </c>
      <c r="I47" s="782">
        <f t="shared" si="70"/>
        <v>1</v>
      </c>
      <c r="J47" s="782">
        <f t="shared" si="70"/>
        <v>1</v>
      </c>
      <c r="K47" s="782">
        <f t="shared" si="70"/>
        <v>1</v>
      </c>
      <c r="L47" s="782">
        <f t="shared" si="70"/>
        <v>0.8281960137092782</v>
      </c>
      <c r="M47" s="783">
        <f t="shared" si="70"/>
        <v>1</v>
      </c>
      <c r="N47" s="883">
        <f t="shared" si="32"/>
        <v>7369.6797230260263</v>
      </c>
      <c r="O47" s="776">
        <f t="shared" si="33"/>
        <v>6224.9125067925188</v>
      </c>
      <c r="P47" s="776">
        <f t="shared" si="34"/>
        <v>5873.108892410668</v>
      </c>
      <c r="Q47" s="776">
        <f t="shared" si="35"/>
        <v>5478.1624470323941</v>
      </c>
      <c r="R47" s="776">
        <f t="shared" si="36"/>
        <v>5793.7751592250142</v>
      </c>
      <c r="S47" s="777">
        <f t="shared" si="37"/>
        <v>7198.4841023038434</v>
      </c>
      <c r="T47" s="735">
        <f t="shared" si="38"/>
        <v>1144.7672162335075</v>
      </c>
      <c r="U47" s="619">
        <f t="shared" si="39"/>
        <v>1496.5708306153583</v>
      </c>
      <c r="V47" s="619">
        <f t="shared" si="40"/>
        <v>1891.5172759936322</v>
      </c>
      <c r="W47" s="619">
        <f t="shared" si="41"/>
        <v>1575.904563801012</v>
      </c>
      <c r="X47" s="620">
        <f t="shared" si="42"/>
        <v>171.19562072218287</v>
      </c>
      <c r="Y47" s="723">
        <f ca="1">IF(AND(Y$22=TRUE,INDEX(CDRANGE_CLS3,MATCH($A47,$A$24:$A$67,0),MATCH(Y$20,$B$20:$G$20,0))&lt;$D$6/OPDAYS_Cls3),86,payback(C47,T47,disc_rate/12,85))</f>
        <v>5</v>
      </c>
      <c r="Z47" s="724">
        <f ca="1">IF(AND(Z$22=TRUE,INDEX(CDRANGE_CLS3,MATCH($A47,$A$24:$A$67,0),MATCH(Z$20,$B$20:$G$20,0))&lt;$D$6/OPDAYS_Cls3),86,payback(D47,U47,disc_rate/12,85))</f>
        <v>4</v>
      </c>
      <c r="AA47" s="724">
        <f ca="1">IF(AND(AA$22=TRUE,INDEX(CDRANGE_CLS3,MATCH($A47,$A$24:$A$67,0),MATCH(AA$20,$B$20:$G$20,0))&lt;$D$6/OPDAYS_Cls3),86,payback(E47,V47,disc_rate/12,85))</f>
        <v>6</v>
      </c>
      <c r="AB47" s="724">
        <f ca="1">IF(AND(AB$22=TRUE,INDEX(CDRANGE_CLS3,MATCH($A47,$A$24:$A$67,0),MATCH(AB$20,$B$20:$G$20,0))&lt;$D$6/OPDAYS_Cls3),86,payback(F47,W47,disc_rate/12,85))</f>
        <v>23</v>
      </c>
      <c r="AC47" s="892">
        <f>IF(AND(AC$22=TRUE,INDEX(CDRANGE_CLS3,MATCH($A47,$A$24:$A$67,0),MATCH(AC$20,$B$20:$G$20,0))&lt;$D$6/OPDAYS_Cls3),86,payback(G47,X47,disc_rate/12,85))</f>
        <v>86</v>
      </c>
      <c r="AD47" s="624">
        <f t="shared" si="43"/>
        <v>0</v>
      </c>
      <c r="AE47" s="625">
        <f t="shared" si="44"/>
        <v>0</v>
      </c>
      <c r="AF47" s="625">
        <f t="shared" si="45"/>
        <v>0</v>
      </c>
      <c r="AG47" s="625">
        <f t="shared" si="46"/>
        <v>0</v>
      </c>
      <c r="AH47" s="626">
        <f t="shared" si="47"/>
        <v>0</v>
      </c>
      <c r="AI47" s="627">
        <f t="shared" si="48"/>
        <v>0.49665357453785763</v>
      </c>
      <c r="AJ47" s="628">
        <f t="shared" si="49"/>
        <v>0.49665357453785763</v>
      </c>
      <c r="AK47" s="628">
        <f t="shared" si="50"/>
        <v>0.49665357453785763</v>
      </c>
      <c r="AL47" s="628">
        <f t="shared" si="51"/>
        <v>0.49665357453785763</v>
      </c>
      <c r="AM47" s="629">
        <f t="shared" si="52"/>
        <v>0.26915504155730741</v>
      </c>
      <c r="AN47" s="630">
        <f t="shared" si="65"/>
        <v>0.99294537435345864</v>
      </c>
      <c r="AO47" s="628">
        <f t="shared" si="65"/>
        <v>0.99276586905801067</v>
      </c>
      <c r="AP47" s="628">
        <f t="shared" si="65"/>
        <v>0.97377935074316258</v>
      </c>
      <c r="AQ47" s="628">
        <f t="shared" si="65"/>
        <v>0.7488965917666377</v>
      </c>
      <c r="AR47" s="629">
        <f t="shared" si="65"/>
        <v>0.53412369548373873</v>
      </c>
      <c r="AS47" s="624">
        <f t="shared" ca="1" si="54"/>
        <v>0.99330714907571527</v>
      </c>
      <c r="AT47" s="625">
        <f t="shared" ca="1" si="55"/>
        <v>0.99330714907571527</v>
      </c>
      <c r="AU47" s="625">
        <f t="shared" ca="1" si="56"/>
        <v>0.99330714907571527</v>
      </c>
      <c r="AV47" s="625">
        <f t="shared" ca="1" si="57"/>
        <v>0.58026148813694423</v>
      </c>
      <c r="AW47" s="626">
        <f t="shared" si="58"/>
        <v>0</v>
      </c>
      <c r="AX47" s="624">
        <f t="shared" ca="1" si="59"/>
        <v>0.98629973898695289</v>
      </c>
      <c r="AY47" s="625">
        <f t="shared" ca="1" si="59"/>
        <v>0.98612143509368744</v>
      </c>
      <c r="AZ47" s="625">
        <f t="shared" ca="1" si="59"/>
        <v>0.96726199071549179</v>
      </c>
      <c r="BA47" s="625">
        <f t="shared" ca="1" si="59"/>
        <v>0.43455585079919479</v>
      </c>
      <c r="BB47" s="626">
        <f t="shared" si="59"/>
        <v>0</v>
      </c>
      <c r="BC47" s="624">
        <f t="shared" ca="1" si="66"/>
        <v>1.3700261013046999E-2</v>
      </c>
      <c r="BD47" s="625">
        <f t="shared" ca="1" si="60"/>
        <v>0.28829824165674872</v>
      </c>
      <c r="BE47" s="625">
        <f t="shared" ca="1" si="61"/>
        <v>0.28824612291750851</v>
      </c>
      <c r="BF47" s="625">
        <f t="shared" ca="1" si="62"/>
        <v>0.2827334532513463</v>
      </c>
      <c r="BG47" s="625">
        <f t="shared" ca="1" si="63"/>
        <v>0.1270219211613495</v>
      </c>
      <c r="BH47" s="626">
        <f t="shared" ca="1" si="64"/>
        <v>0</v>
      </c>
    </row>
    <row r="48" spans="1:62" x14ac:dyDescent="0.2">
      <c r="A48" s="318">
        <v>2031</v>
      </c>
      <c r="B48" s="817">
        <f t="shared" si="69"/>
        <v>100224.6</v>
      </c>
      <c r="C48" s="818">
        <f t="shared" si="69"/>
        <v>5059.7700000000004</v>
      </c>
      <c r="D48" s="818">
        <f t="shared" si="69"/>
        <v>5123.97</v>
      </c>
      <c r="E48" s="818">
        <f t="shared" si="69"/>
        <v>10076.4</v>
      </c>
      <c r="F48" s="818">
        <f t="shared" si="69"/>
        <v>30465.14</v>
      </c>
      <c r="G48" s="819">
        <f t="shared" si="69"/>
        <v>43697.81</v>
      </c>
      <c r="H48" s="781">
        <f t="shared" si="70"/>
        <v>1</v>
      </c>
      <c r="I48" s="782">
        <f t="shared" si="70"/>
        <v>1</v>
      </c>
      <c r="J48" s="782">
        <f t="shared" si="70"/>
        <v>1</v>
      </c>
      <c r="K48" s="782">
        <f t="shared" si="70"/>
        <v>1</v>
      </c>
      <c r="L48" s="782">
        <f t="shared" si="70"/>
        <v>0.82748053194647131</v>
      </c>
      <c r="M48" s="783">
        <f t="shared" si="70"/>
        <v>1</v>
      </c>
      <c r="N48" s="736">
        <f t="shared" si="32"/>
        <v>7437.4028455752914</v>
      </c>
      <c r="O48" s="632">
        <f t="shared" si="33"/>
        <v>6282.1158763282128</v>
      </c>
      <c r="P48" s="632">
        <f t="shared" si="34"/>
        <v>5927.0793888520784</v>
      </c>
      <c r="Q48" s="632">
        <f t="shared" si="35"/>
        <v>5473.515535458966</v>
      </c>
      <c r="R48" s="632">
        <f t="shared" si="36"/>
        <v>5747.0424083024827</v>
      </c>
      <c r="S48" s="745">
        <f t="shared" si="37"/>
        <v>7116.548640465583</v>
      </c>
      <c r="T48" s="736">
        <f t="shared" si="38"/>
        <v>1155.2869692470786</v>
      </c>
      <c r="U48" s="632">
        <f t="shared" si="39"/>
        <v>1510.323456723213</v>
      </c>
      <c r="V48" s="632">
        <f t="shared" si="40"/>
        <v>1963.8873101163254</v>
      </c>
      <c r="W48" s="632">
        <f t="shared" si="41"/>
        <v>1690.3604372728087</v>
      </c>
      <c r="X48" s="633">
        <f t="shared" si="42"/>
        <v>320.85420510970835</v>
      </c>
      <c r="Y48" s="634">
        <f ca="1">IF(AND(Y$22=TRUE,INDEX(CDRANGE_CLS3,MATCH($A48,$A$24:$A$67,0),MATCH(Y$20,$B$20:$G$20,0))&lt;$D$6/OPDAYS_Cls3),86,payback(C48,T48,disc_rate/12,85))</f>
        <v>5</v>
      </c>
      <c r="Z48" s="635">
        <f ca="1">IF(AND(Z$22=TRUE,INDEX(CDRANGE_CLS3,MATCH($A48,$A$24:$A$67,0),MATCH(Z$20,$B$20:$G$20,0))&lt;$D$6/OPDAYS_Cls3),86,payback(D48,U48,disc_rate/12,85))</f>
        <v>4</v>
      </c>
      <c r="AA48" s="635">
        <f ca="1">IF(AND(AA$22=TRUE,INDEX(CDRANGE_CLS3,MATCH($A48,$A$24:$A$67,0),MATCH(AA$20,$B$20:$G$20,0))&lt;$D$6/OPDAYS_Cls3),86,payback(E48,V48,disc_rate/12,85))</f>
        <v>6</v>
      </c>
      <c r="AB48" s="635">
        <f ca="1">IF(AND(AB$22=TRUE,INDEX(CDRANGE_CLS3,MATCH($A48,$A$24:$A$67,0),MATCH(AB$20,$B$20:$G$20,0))&lt;$D$6/OPDAYS_Cls3),86,payback(F48,W48,disc_rate/12,85))</f>
        <v>20</v>
      </c>
      <c r="AC48" s="893">
        <f>IF(AND(AC$22=TRUE,INDEX(CDRANGE_CLS3,MATCH($A48,$A$24:$A$67,0),MATCH(AC$20,$B$20:$G$20,0))&lt;$D$6/OPDAYS_Cls3),86,payback(G48,X48,disc_rate/12,85))</f>
        <v>86</v>
      </c>
      <c r="AD48" s="637">
        <f t="shared" si="43"/>
        <v>0</v>
      </c>
      <c r="AE48" s="638">
        <f t="shared" si="44"/>
        <v>0</v>
      </c>
      <c r="AF48" s="638">
        <f t="shared" si="45"/>
        <v>0</v>
      </c>
      <c r="AG48" s="638">
        <f t="shared" si="46"/>
        <v>0</v>
      </c>
      <c r="AH48" s="639">
        <f t="shared" si="47"/>
        <v>0</v>
      </c>
      <c r="AI48" s="640">
        <f t="shared" si="48"/>
        <v>0.49876368842168267</v>
      </c>
      <c r="AJ48" s="641">
        <f t="shared" si="49"/>
        <v>0.49876368842168267</v>
      </c>
      <c r="AK48" s="641">
        <f t="shared" si="50"/>
        <v>0.49876368842168267</v>
      </c>
      <c r="AL48" s="641">
        <f t="shared" si="51"/>
        <v>0.49876368842168267</v>
      </c>
      <c r="AM48" s="642">
        <f t="shared" si="52"/>
        <v>0.30046701631220585</v>
      </c>
      <c r="AN48" s="643">
        <f t="shared" si="65"/>
        <v>0.99294537435345864</v>
      </c>
      <c r="AO48" s="641">
        <f t="shared" si="65"/>
        <v>0.99276586905801067</v>
      </c>
      <c r="AP48" s="641">
        <f t="shared" si="65"/>
        <v>0.9723129342841017</v>
      </c>
      <c r="AQ48" s="641">
        <f t="shared" si="65"/>
        <v>0.77363257413237396</v>
      </c>
      <c r="AR48" s="642">
        <f t="shared" si="65"/>
        <v>0.58975879327355429</v>
      </c>
      <c r="AS48" s="637">
        <f t="shared" ca="1" si="54"/>
        <v>0.99752737684336534</v>
      </c>
      <c r="AT48" s="638">
        <f t="shared" ca="1" si="55"/>
        <v>0.99752737684336534</v>
      </c>
      <c r="AU48" s="638">
        <f t="shared" ca="1" si="56"/>
        <v>0.99752737684336534</v>
      </c>
      <c r="AV48" s="638">
        <f t="shared" ca="1" si="57"/>
        <v>0.68284642282441288</v>
      </c>
      <c r="AW48" s="639">
        <f t="shared" si="58"/>
        <v>0</v>
      </c>
      <c r="AX48" s="637">
        <f t="shared" ca="1" si="59"/>
        <v>0.99049019462755905</v>
      </c>
      <c r="AY48" s="638">
        <f t="shared" ca="1" si="59"/>
        <v>0.99031113318106134</v>
      </c>
      <c r="AZ48" s="638">
        <f t="shared" ca="1" si="59"/>
        <v>0.96990877080729543</v>
      </c>
      <c r="BA48" s="638">
        <f t="shared" ca="1" si="59"/>
        <v>0.52827223582673399</v>
      </c>
      <c r="BB48" s="639">
        <f t="shared" si="59"/>
        <v>0</v>
      </c>
      <c r="BC48" s="637">
        <f t="shared" ca="1" si="66"/>
        <v>9.5098053724408382E-3</v>
      </c>
      <c r="BD48" s="638">
        <f t="shared" ca="1" si="60"/>
        <v>0.28199936974112644</v>
      </c>
      <c r="BE48" s="638">
        <f t="shared" ca="1" si="61"/>
        <v>0.28194838971595182</v>
      </c>
      <c r="BF48" s="638">
        <f t="shared" ca="1" si="62"/>
        <v>0.27613969684666456</v>
      </c>
      <c r="BG48" s="638">
        <f t="shared" ca="1" si="63"/>
        <v>0.15040273832381634</v>
      </c>
      <c r="BH48" s="639">
        <f t="shared" ca="1" si="64"/>
        <v>0</v>
      </c>
    </row>
    <row r="49" spans="1:60" x14ac:dyDescent="0.2">
      <c r="A49" s="317">
        <v>2032</v>
      </c>
      <c r="B49" s="820">
        <f t="shared" si="69"/>
        <v>100224.6</v>
      </c>
      <c r="C49" s="821">
        <f t="shared" si="69"/>
        <v>5059.7700000000004</v>
      </c>
      <c r="D49" s="821">
        <f t="shared" si="69"/>
        <v>5123.97</v>
      </c>
      <c r="E49" s="821">
        <f t="shared" si="69"/>
        <v>10350.549999999999</v>
      </c>
      <c r="F49" s="821">
        <f t="shared" si="69"/>
        <v>28593.97</v>
      </c>
      <c r="G49" s="822">
        <f t="shared" si="69"/>
        <v>39774.06</v>
      </c>
      <c r="H49" s="781">
        <f t="shared" si="70"/>
        <v>1</v>
      </c>
      <c r="I49" s="782">
        <f t="shared" si="70"/>
        <v>1</v>
      </c>
      <c r="J49" s="782">
        <f t="shared" si="70"/>
        <v>1</v>
      </c>
      <c r="K49" s="782">
        <f t="shared" si="70"/>
        <v>1</v>
      </c>
      <c r="L49" s="782">
        <f t="shared" si="70"/>
        <v>0.82676505018366431</v>
      </c>
      <c r="M49" s="783">
        <f t="shared" si="70"/>
        <v>1</v>
      </c>
      <c r="N49" s="733">
        <f t="shared" si="32"/>
        <v>7476.4142985446233</v>
      </c>
      <c r="O49" s="276">
        <f t="shared" si="33"/>
        <v>6315.0674957504525</v>
      </c>
      <c r="P49" s="276">
        <f t="shared" si="34"/>
        <v>5958.1687332945767</v>
      </c>
      <c r="Q49" s="276">
        <f t="shared" si="35"/>
        <v>5448.0380550913478</v>
      </c>
      <c r="R49" s="276">
        <f t="shared" si="36"/>
        <v>5685.407680660026</v>
      </c>
      <c r="S49" s="278">
        <f t="shared" si="37"/>
        <v>7042.912489289276</v>
      </c>
      <c r="T49" s="734">
        <f t="shared" si="38"/>
        <v>1161.3468027941708</v>
      </c>
      <c r="U49" s="290">
        <f t="shared" si="39"/>
        <v>1518.2455652500466</v>
      </c>
      <c r="V49" s="290">
        <f t="shared" si="40"/>
        <v>2028.3762434532755</v>
      </c>
      <c r="W49" s="290">
        <f t="shared" si="41"/>
        <v>1791.0066178845973</v>
      </c>
      <c r="X49" s="291">
        <f t="shared" si="42"/>
        <v>433.50180925534733</v>
      </c>
      <c r="Y49" s="279">
        <f ca="1">IF(AND(Y$22=TRUE,INDEX(CDRANGE_CLS3,MATCH($A49,$A$24:$A$67,0),MATCH(Y$20,$B$20:$G$20,0))&lt;$D$6/OPDAYS_Cls3),86,payback(C49,T49,disc_rate/12,85))</f>
        <v>5</v>
      </c>
      <c r="Z49" s="280">
        <f ca="1">IF(AND(Z$22=TRUE,INDEX(CDRANGE_CLS3,MATCH($A49,$A$24:$A$67,0),MATCH(Z$20,$B$20:$G$20,0))&lt;$D$6/OPDAYS_Cls3),86,payback(D49,U49,disc_rate/12,85))</f>
        <v>4</v>
      </c>
      <c r="AA49" s="280">
        <f ca="1">IF(AND(AA$22=TRUE,INDEX(CDRANGE_CLS3,MATCH($A49,$A$24:$A$67,0),MATCH(AA$20,$B$20:$G$20,0))&lt;$D$6/OPDAYS_Cls3),86,payback(E49,V49,disc_rate/12,85))</f>
        <v>6</v>
      </c>
      <c r="AB49" s="280">
        <f ca="1">IF(AND(AB$22=TRUE,INDEX(CDRANGE_CLS3,MATCH($A49,$A$24:$A$67,0),MATCH(AB$20,$B$20:$G$20,0))&lt;$D$6/OPDAYS_Cls3),86,payback(F49,W49,disc_rate/12,85))</f>
        <v>17</v>
      </c>
      <c r="AC49" s="281">
        <f>IF(AND(AC$22=TRUE,INDEX(CDRANGE_CLS3,MATCH($A49,$A$24:$A$67,0),MATCH(AC$20,$B$20:$G$20,0))&lt;$D$6/OPDAYS_Cls3),86,payback(G49,X49,disc_rate/12,85))</f>
        <v>86</v>
      </c>
      <c r="AD49" s="296">
        <f t="shared" si="43"/>
        <v>0</v>
      </c>
      <c r="AE49" s="297">
        <f t="shared" si="44"/>
        <v>0</v>
      </c>
      <c r="AF49" s="297">
        <f t="shared" si="45"/>
        <v>0</v>
      </c>
      <c r="AG49" s="297">
        <f t="shared" si="46"/>
        <v>0</v>
      </c>
      <c r="AH49" s="298">
        <f t="shared" si="47"/>
        <v>0</v>
      </c>
      <c r="AI49" s="595">
        <f t="shared" si="48"/>
        <v>0.4995444744027997</v>
      </c>
      <c r="AJ49" s="300">
        <f t="shared" si="49"/>
        <v>0.4995444744027997</v>
      </c>
      <c r="AK49" s="300">
        <f t="shared" si="50"/>
        <v>0.4995444744027997</v>
      </c>
      <c r="AL49" s="300">
        <f t="shared" si="51"/>
        <v>0.4995444744027997</v>
      </c>
      <c r="AM49" s="598">
        <f t="shared" si="52"/>
        <v>0.34448045315213899</v>
      </c>
      <c r="AN49" s="299">
        <f t="shared" si="65"/>
        <v>0.99294537435345864</v>
      </c>
      <c r="AO49" s="300">
        <f t="shared" si="65"/>
        <v>0.99276586905801067</v>
      </c>
      <c r="AP49" s="300">
        <f t="shared" si="65"/>
        <v>0.97080837105655371</v>
      </c>
      <c r="AQ49" s="300">
        <f t="shared" si="65"/>
        <v>0.79763950156354513</v>
      </c>
      <c r="AR49" s="598">
        <f t="shared" si="65"/>
        <v>0.64566763023380003</v>
      </c>
      <c r="AS49" s="296">
        <f t="shared" ca="1" si="54"/>
        <v>0.9990889488055994</v>
      </c>
      <c r="AT49" s="297">
        <f t="shared" ca="1" si="55"/>
        <v>0.9990889488055994</v>
      </c>
      <c r="AU49" s="297">
        <f t="shared" ca="1" si="56"/>
        <v>0.9990889488055994</v>
      </c>
      <c r="AV49" s="297">
        <f t="shared" ca="1" si="57"/>
        <v>0.78156737221532613</v>
      </c>
      <c r="AW49" s="298">
        <f t="shared" si="58"/>
        <v>0</v>
      </c>
      <c r="AX49" s="296">
        <f t="shared" ca="1" si="59"/>
        <v>0.99204075028417937</v>
      </c>
      <c r="AY49" s="297">
        <f t="shared" ca="1" si="59"/>
        <v>0.99186140852724525</v>
      </c>
      <c r="AZ49" s="297">
        <f t="shared" ca="1" si="59"/>
        <v>0.96992391493056851</v>
      </c>
      <c r="BA49" s="297">
        <f t="shared" ca="1" si="59"/>
        <v>0.62340900921216247</v>
      </c>
      <c r="BB49" s="298">
        <f t="shared" si="59"/>
        <v>0</v>
      </c>
      <c r="BC49" s="296">
        <f t="shared" ca="1" si="66"/>
        <v>7.9592497158206266E-3</v>
      </c>
      <c r="BD49" s="297">
        <f t="shared" ca="1" si="60"/>
        <v>0.27511327251427664</v>
      </c>
      <c r="BE49" s="297">
        <f t="shared" ca="1" si="61"/>
        <v>0.27506353736213246</v>
      </c>
      <c r="BF49" s="297">
        <f t="shared" ca="1" si="62"/>
        <v>0.26897981988135972</v>
      </c>
      <c r="BG49" s="297">
        <f t="shared" ca="1" si="63"/>
        <v>0.17288412052641058</v>
      </c>
      <c r="BH49" s="298">
        <f t="shared" ca="1" si="64"/>
        <v>0</v>
      </c>
    </row>
    <row r="50" spans="1:60" x14ac:dyDescent="0.2">
      <c r="A50" s="317">
        <v>2033</v>
      </c>
      <c r="B50" s="820">
        <f t="shared" si="69"/>
        <v>100224.6</v>
      </c>
      <c r="C50" s="821">
        <f t="shared" si="69"/>
        <v>5059.7700000000004</v>
      </c>
      <c r="D50" s="821">
        <f t="shared" si="69"/>
        <v>5123.97</v>
      </c>
      <c r="E50" s="821">
        <f t="shared" si="69"/>
        <v>10624.71</v>
      </c>
      <c r="F50" s="821">
        <f t="shared" si="69"/>
        <v>26722.81</v>
      </c>
      <c r="G50" s="822">
        <f t="shared" si="69"/>
        <v>35850.31</v>
      </c>
      <c r="H50" s="781">
        <f t="shared" si="70"/>
        <v>1</v>
      </c>
      <c r="I50" s="782">
        <f t="shared" si="70"/>
        <v>1</v>
      </c>
      <c r="J50" s="782">
        <f t="shared" si="70"/>
        <v>1</v>
      </c>
      <c r="K50" s="782">
        <f t="shared" si="70"/>
        <v>1</v>
      </c>
      <c r="L50" s="782">
        <f t="shared" si="70"/>
        <v>0.82604956842085742</v>
      </c>
      <c r="M50" s="783">
        <f t="shared" si="70"/>
        <v>1</v>
      </c>
      <c r="N50" s="733">
        <f t="shared" si="32"/>
        <v>7581.585955446496</v>
      </c>
      <c r="O50" s="276">
        <f t="shared" si="33"/>
        <v>6403.9023416343289</v>
      </c>
      <c r="P50" s="276">
        <f t="shared" si="34"/>
        <v>6041.983039559479</v>
      </c>
      <c r="Q50" s="276">
        <f t="shared" si="35"/>
        <v>5470.7980563431747</v>
      </c>
      <c r="R50" s="276">
        <f t="shared" si="36"/>
        <v>5671.7884932898178</v>
      </c>
      <c r="S50" s="278">
        <f t="shared" si="37"/>
        <v>7012.1627930431778</v>
      </c>
      <c r="T50" s="734">
        <f t="shared" si="38"/>
        <v>1177.6836138121671</v>
      </c>
      <c r="U50" s="290">
        <f t="shared" si="39"/>
        <v>1539.6029158870169</v>
      </c>
      <c r="V50" s="290">
        <f t="shared" si="40"/>
        <v>2110.7878991033213</v>
      </c>
      <c r="W50" s="290">
        <f t="shared" si="41"/>
        <v>1909.7974621566782</v>
      </c>
      <c r="X50" s="291">
        <f t="shared" si="42"/>
        <v>569.4231624033182</v>
      </c>
      <c r="Y50" s="279">
        <f ca="1">IF(AND(Y$22=TRUE,INDEX(CDRANGE_CLS3,MATCH($A50,$A$24:$A$67,0),MATCH(Y$20,$B$20:$G$20,0))&lt;$D$6/OPDAYS_Cls3),86,payback(C50,T50,disc_rate/12,85))</f>
        <v>5</v>
      </c>
      <c r="Z50" s="280">
        <f ca="1">IF(AND(Z$22=TRUE,INDEX(CDRANGE_CLS3,MATCH($A50,$A$24:$A$67,0),MATCH(Z$20,$B$20:$G$20,0))&lt;$D$6/OPDAYS_Cls3),86,payback(D50,U50,disc_rate/12,85))</f>
        <v>4</v>
      </c>
      <c r="AA50" s="280">
        <f ca="1">IF(AND(AA$22=TRUE,INDEX(CDRANGE_CLS3,MATCH($A50,$A$24:$A$67,0),MATCH(AA$20,$B$20:$G$20,0))&lt;$D$6/OPDAYS_Cls3),86,payback(E50,V50,disc_rate/12,85))</f>
        <v>6</v>
      </c>
      <c r="AB50" s="280">
        <f ca="1">IF(AND(AB$22=TRUE,INDEX(CDRANGE_CLS3,MATCH($A50,$A$24:$A$67,0),MATCH(AB$20,$B$20:$G$20,0))&lt;$D$6/OPDAYS_Cls3),86,payback(F50,W50,disc_rate/12,85))</f>
        <v>15</v>
      </c>
      <c r="AC50" s="281">
        <f>IF(AND(AC$22=TRUE,INDEX(CDRANGE_CLS3,MATCH($A50,$A$24:$A$67,0),MATCH(AC$20,$B$20:$G$20,0))&lt;$D$6/OPDAYS_Cls3),86,payback(G50,X50,disc_rate/12,85))</f>
        <v>86</v>
      </c>
      <c r="AD50" s="296">
        <f t="shared" si="43"/>
        <v>0</v>
      </c>
      <c r="AE50" s="297">
        <f t="shared" si="44"/>
        <v>0</v>
      </c>
      <c r="AF50" s="297">
        <f t="shared" si="45"/>
        <v>0</v>
      </c>
      <c r="AG50" s="297">
        <f t="shared" si="46"/>
        <v>0</v>
      </c>
      <c r="AH50" s="298">
        <f t="shared" si="47"/>
        <v>0</v>
      </c>
      <c r="AI50" s="595">
        <f t="shared" si="48"/>
        <v>0.49983232493476681</v>
      </c>
      <c r="AJ50" s="300">
        <f t="shared" si="49"/>
        <v>0.49983232493476681</v>
      </c>
      <c r="AK50" s="300">
        <f t="shared" si="50"/>
        <v>0.49983232493476681</v>
      </c>
      <c r="AL50" s="300">
        <f t="shared" si="51"/>
        <v>0.49983232493476681</v>
      </c>
      <c r="AM50" s="598">
        <f t="shared" si="52"/>
        <v>0.37160768412147255</v>
      </c>
      <c r="AN50" s="299">
        <f t="shared" si="65"/>
        <v>0.99294537435345864</v>
      </c>
      <c r="AO50" s="300">
        <f t="shared" si="65"/>
        <v>0.99276586905801067</v>
      </c>
      <c r="AP50" s="300">
        <f t="shared" si="65"/>
        <v>0.96926578811608588</v>
      </c>
      <c r="AQ50" s="300">
        <f t="shared" si="65"/>
        <v>0.82080030167421136</v>
      </c>
      <c r="AR50" s="598">
        <f t="shared" si="65"/>
        <v>0.70088313960597415</v>
      </c>
      <c r="AS50" s="296">
        <f t="shared" ca="1" si="54"/>
        <v>0.99966464986953363</v>
      </c>
      <c r="AT50" s="297">
        <f t="shared" ca="1" si="55"/>
        <v>0.99966464986953363</v>
      </c>
      <c r="AU50" s="297">
        <f t="shared" ca="1" si="56"/>
        <v>0.99966464986953363</v>
      </c>
      <c r="AV50" s="297">
        <f t="shared" ca="1" si="57"/>
        <v>0.84245260163062885</v>
      </c>
      <c r="AW50" s="298">
        <f t="shared" si="58"/>
        <v>0</v>
      </c>
      <c r="AX50" s="296">
        <f t="shared" ca="1" si="59"/>
        <v>0.99261238999262325</v>
      </c>
      <c r="AY50" s="297">
        <f t="shared" ca="1" si="59"/>
        <v>0.99243294489429956</v>
      </c>
      <c r="AZ50" s="297">
        <f t="shared" ca="1" si="59"/>
        <v>0.96894074470758451</v>
      </c>
      <c r="BA50" s="297">
        <f t="shared" ca="1" si="59"/>
        <v>0.69148534956464436</v>
      </c>
      <c r="BB50" s="298">
        <f t="shared" si="59"/>
        <v>0</v>
      </c>
      <c r="BC50" s="296">
        <f t="shared" ca="1" si="66"/>
        <v>7.3876100073767548E-3</v>
      </c>
      <c r="BD50" s="297">
        <f t="shared" ca="1" si="60"/>
        <v>0.27027488101700137</v>
      </c>
      <c r="BE50" s="297">
        <f t="shared" ca="1" si="61"/>
        <v>0.27022602055234518</v>
      </c>
      <c r="BF50" s="297">
        <f t="shared" ca="1" si="62"/>
        <v>0.26382941330231968</v>
      </c>
      <c r="BG50" s="297">
        <f t="shared" ca="1" si="63"/>
        <v>0.1882820751209571</v>
      </c>
      <c r="BH50" s="298">
        <f t="shared" ca="1" si="64"/>
        <v>0</v>
      </c>
    </row>
    <row r="51" spans="1:60" x14ac:dyDescent="0.2">
      <c r="A51" s="317">
        <v>2034</v>
      </c>
      <c r="B51" s="820">
        <f t="shared" si="69"/>
        <v>100224.6</v>
      </c>
      <c r="C51" s="821">
        <f t="shared" si="69"/>
        <v>5059.7700000000004</v>
      </c>
      <c r="D51" s="821">
        <f t="shared" si="69"/>
        <v>5123.97</v>
      </c>
      <c r="E51" s="821">
        <f t="shared" si="69"/>
        <v>10898.86</v>
      </c>
      <c r="F51" s="821">
        <f t="shared" si="69"/>
        <v>24851.64</v>
      </c>
      <c r="G51" s="822">
        <f t="shared" si="69"/>
        <v>31926.560000000001</v>
      </c>
      <c r="H51" s="781">
        <f t="shared" si="70"/>
        <v>1</v>
      </c>
      <c r="I51" s="782">
        <f t="shared" si="70"/>
        <v>1</v>
      </c>
      <c r="J51" s="782">
        <f t="shared" si="70"/>
        <v>1</v>
      </c>
      <c r="K51" s="782">
        <f t="shared" si="70"/>
        <v>1</v>
      </c>
      <c r="L51" s="782">
        <f t="shared" si="70"/>
        <v>0.82533408665805053</v>
      </c>
      <c r="M51" s="783">
        <f t="shared" si="70"/>
        <v>1</v>
      </c>
      <c r="N51" s="733">
        <f t="shared" si="32"/>
        <v>7627.5871146565005</v>
      </c>
      <c r="O51" s="276">
        <f t="shared" si="33"/>
        <v>6442.7579231596201</v>
      </c>
      <c r="P51" s="276">
        <f t="shared" si="34"/>
        <v>6078.6426811411011</v>
      </c>
      <c r="Q51" s="276">
        <f t="shared" si="35"/>
        <v>5450.8339405944353</v>
      </c>
      <c r="R51" s="276">
        <f t="shared" si="36"/>
        <v>5620.2067353136044</v>
      </c>
      <c r="S51" s="278">
        <f t="shared" si="37"/>
        <v>6959.4298782496708</v>
      </c>
      <c r="T51" s="734">
        <f t="shared" si="38"/>
        <v>1184.8291914968804</v>
      </c>
      <c r="U51" s="290">
        <f t="shared" si="39"/>
        <v>1548.9444335153994</v>
      </c>
      <c r="V51" s="290">
        <f t="shared" si="40"/>
        <v>2176.7531740620652</v>
      </c>
      <c r="W51" s="290">
        <f t="shared" si="41"/>
        <v>2007.380379342896</v>
      </c>
      <c r="X51" s="291">
        <f t="shared" si="42"/>
        <v>668.15723640682972</v>
      </c>
      <c r="Y51" s="279">
        <f ca="1">IF(AND(Y$22=TRUE,INDEX(CDRANGE_CLS3,MATCH($A51,$A$24:$A$67,0),MATCH(Y$20,$B$20:$G$20,0))&lt;$D$6/OPDAYS_Cls3),86,payback(C51,T51,disc_rate/12,85))</f>
        <v>5</v>
      </c>
      <c r="Z51" s="280">
        <f ca="1">IF(AND(Z$22=TRUE,INDEX(CDRANGE_CLS3,MATCH($A51,$A$24:$A$67,0),MATCH(Z$20,$B$20:$G$20,0))&lt;$D$6/OPDAYS_Cls3),86,payback(D51,U51,disc_rate/12,85))</f>
        <v>4</v>
      </c>
      <c r="AA51" s="280">
        <f ca="1">IF(AND(AA$22=TRUE,INDEX(CDRANGE_CLS3,MATCH($A51,$A$24:$A$67,0),MATCH(AA$20,$B$20:$G$20,0))&lt;$D$6/OPDAYS_Cls3),86,payback(E51,V51,disc_rate/12,85))</f>
        <v>6</v>
      </c>
      <c r="AB51" s="280">
        <f ca="1">IF(AND(AB$22=TRUE,INDEX(CDRANGE_CLS3,MATCH($A51,$A$24:$A$67,0),MATCH(AB$20,$B$20:$G$20,0))&lt;$D$6/OPDAYS_Cls3),86,payback(F51,W51,disc_rate/12,85))</f>
        <v>13</v>
      </c>
      <c r="AC51" s="281">
        <f>IF(AND(AC$22=TRUE,INDEX(CDRANGE_CLS3,MATCH($A51,$A$24:$A$67,0),MATCH(AC$20,$B$20:$G$20,0))&lt;$D$6/OPDAYS_Cls3),86,payback(G51,X51,disc_rate/12,85))</f>
        <v>86</v>
      </c>
      <c r="AD51" s="296">
        <f t="shared" si="43"/>
        <v>0</v>
      </c>
      <c r="AE51" s="297">
        <f t="shared" si="44"/>
        <v>0</v>
      </c>
      <c r="AF51" s="297">
        <f t="shared" si="45"/>
        <v>0</v>
      </c>
      <c r="AG51" s="297">
        <f t="shared" si="46"/>
        <v>0</v>
      </c>
      <c r="AH51" s="298">
        <f t="shared" si="47"/>
        <v>0</v>
      </c>
      <c r="AI51" s="595">
        <f t="shared" si="48"/>
        <v>0.49993830271200684</v>
      </c>
      <c r="AJ51" s="300">
        <f t="shared" si="49"/>
        <v>0.49993830271200684</v>
      </c>
      <c r="AK51" s="300">
        <f t="shared" si="50"/>
        <v>0.49993830271200684</v>
      </c>
      <c r="AL51" s="300">
        <f t="shared" si="51"/>
        <v>0.49993830271200684</v>
      </c>
      <c r="AM51" s="598">
        <f t="shared" si="52"/>
        <v>0.3962939517576638</v>
      </c>
      <c r="AN51" s="299">
        <f t="shared" si="65"/>
        <v>0.99294537435345864</v>
      </c>
      <c r="AO51" s="300">
        <f t="shared" si="65"/>
        <v>0.99276586905801067</v>
      </c>
      <c r="AP51" s="300">
        <f t="shared" si="65"/>
        <v>0.96768548645322627</v>
      </c>
      <c r="AQ51" s="300">
        <f t="shared" si="65"/>
        <v>0.84299974321916971</v>
      </c>
      <c r="AR51" s="598">
        <f t="shared" si="65"/>
        <v>0.75436967323130277</v>
      </c>
      <c r="AS51" s="296">
        <f t="shared" ca="1" si="54"/>
        <v>0.99987660542401369</v>
      </c>
      <c r="AT51" s="297">
        <f t="shared" ca="1" si="55"/>
        <v>0.99987660542401369</v>
      </c>
      <c r="AU51" s="297">
        <f t="shared" ca="1" si="56"/>
        <v>0.99987660542401369</v>
      </c>
      <c r="AV51" s="297">
        <f t="shared" ca="1" si="57"/>
        <v>0.8967615050879062</v>
      </c>
      <c r="AW51" s="298">
        <f t="shared" si="58"/>
        <v>0</v>
      </c>
      <c r="AX51" s="296">
        <f t="shared" ca="1" si="59"/>
        <v>0.99282285028001271</v>
      </c>
      <c r="AY51" s="297">
        <f t="shared" ca="1" si="59"/>
        <v>0.9926433671345446</v>
      </c>
      <c r="AZ51" s="297">
        <f t="shared" ca="1" si="59"/>
        <v>0.96756607931293725</v>
      </c>
      <c r="BA51" s="297">
        <f t="shared" ca="1" si="59"/>
        <v>0.75596971851794104</v>
      </c>
      <c r="BB51" s="298">
        <f t="shared" si="59"/>
        <v>0</v>
      </c>
      <c r="BC51" s="296">
        <f t="shared" ca="1" si="66"/>
        <v>7.1771497199872858E-3</v>
      </c>
      <c r="BD51" s="297">
        <f t="shared" ca="1" si="60"/>
        <v>0.26575806860889561</v>
      </c>
      <c r="BE51" s="297">
        <f t="shared" ca="1" si="61"/>
        <v>0.26571002469645538</v>
      </c>
      <c r="BF51" s="297">
        <f t="shared" ca="1" si="62"/>
        <v>0.2589973552856536</v>
      </c>
      <c r="BG51" s="297">
        <f t="shared" ca="1" si="63"/>
        <v>0.20235740168900809</v>
      </c>
      <c r="BH51" s="298">
        <f t="shared" ca="1" si="64"/>
        <v>0</v>
      </c>
    </row>
    <row r="52" spans="1:60" ht="15" thickBot="1" x14ac:dyDescent="0.25">
      <c r="A52" s="302">
        <v>2035</v>
      </c>
      <c r="B52" s="823">
        <f t="shared" si="69"/>
        <v>100224.6</v>
      </c>
      <c r="C52" s="824">
        <f t="shared" si="69"/>
        <v>5059.7700000000004</v>
      </c>
      <c r="D52" s="824">
        <f t="shared" si="69"/>
        <v>5123.97</v>
      </c>
      <c r="E52" s="824">
        <f t="shared" si="69"/>
        <v>11173.01</v>
      </c>
      <c r="F52" s="824">
        <f t="shared" si="69"/>
        <v>22980.47</v>
      </c>
      <c r="G52" s="825">
        <f t="shared" si="69"/>
        <v>28002.81</v>
      </c>
      <c r="H52" s="781">
        <f t="shared" si="70"/>
        <v>1</v>
      </c>
      <c r="I52" s="782">
        <f t="shared" si="70"/>
        <v>1</v>
      </c>
      <c r="J52" s="782">
        <f t="shared" si="70"/>
        <v>1</v>
      </c>
      <c r="K52" s="782">
        <f t="shared" si="70"/>
        <v>1</v>
      </c>
      <c r="L52" s="782">
        <f t="shared" si="70"/>
        <v>0.82461860489524352</v>
      </c>
      <c r="M52" s="783">
        <f t="shared" si="70"/>
        <v>1</v>
      </c>
      <c r="N52" s="884">
        <f t="shared" si="32"/>
        <v>7680.6773019149832</v>
      </c>
      <c r="O52" s="779">
        <f t="shared" si="33"/>
        <v>6487.6013604694826</v>
      </c>
      <c r="P52" s="779">
        <f t="shared" si="34"/>
        <v>6120.9517722557839</v>
      </c>
      <c r="Q52" s="779">
        <f t="shared" si="35"/>
        <v>5436.2692755564758</v>
      </c>
      <c r="R52" s="779">
        <f t="shared" si="36"/>
        <v>5560.9157404403895</v>
      </c>
      <c r="S52" s="780">
        <f t="shared" si="37"/>
        <v>6828.8107662064476</v>
      </c>
      <c r="T52" s="737">
        <f t="shared" si="38"/>
        <v>1193.0759414455006</v>
      </c>
      <c r="U52" s="304">
        <f t="shared" si="39"/>
        <v>1559.7255296591993</v>
      </c>
      <c r="V52" s="304">
        <f t="shared" si="40"/>
        <v>2244.4080263585074</v>
      </c>
      <c r="W52" s="304">
        <f t="shared" si="41"/>
        <v>2119.7615614745937</v>
      </c>
      <c r="X52" s="305">
        <f t="shared" si="42"/>
        <v>851.86653570853559</v>
      </c>
      <c r="Y52" s="889">
        <f ca="1">IF(AND(Y$22=TRUE,INDEX(CDRANGE_CLS3,MATCH($A52,$A$24:$A$67,0),MATCH(Y$20,$B$20:$G$20,0))&lt;$D$6/OPDAYS_Cls3),86,payback(C52,T52,disc_rate/12,85))</f>
        <v>5</v>
      </c>
      <c r="Z52" s="890">
        <f ca="1">IF(AND(Z$22=TRUE,INDEX(CDRANGE_CLS3,MATCH($A52,$A$24:$A$67,0),MATCH(Z$20,$B$20:$G$20,0))&lt;$D$6/OPDAYS_Cls3),86,payback(D52,U52,disc_rate/12,85))</f>
        <v>4</v>
      </c>
      <c r="AA52" s="890">
        <f ca="1">IF(AND(AA$22=TRUE,INDEX(CDRANGE_CLS3,MATCH($A52,$A$24:$A$67,0),MATCH(AA$20,$B$20:$G$20,0))&lt;$D$6/OPDAYS_Cls3),86,payback(E52,V52,disc_rate/12,85))</f>
        <v>6</v>
      </c>
      <c r="AB52" s="890">
        <f ca="1">IF(AND(AB$22=TRUE,INDEX(CDRANGE_CLS3,MATCH($A52,$A$24:$A$67,0),MATCH(AB$20,$B$20:$G$20,0))&lt;$D$6/OPDAYS_Cls3),86,payback(F52,W52,disc_rate/12,85))</f>
        <v>12</v>
      </c>
      <c r="AC52" s="891">
        <f>IF(AND(AC$22=TRUE,INDEX(CDRANGE_CLS3,MATCH($A52,$A$24:$A$67,0),MATCH(AC$20,$B$20:$G$20,0))&lt;$D$6/OPDAYS_Cls3),86,payback(G52,X52,disc_rate/12,85))</f>
        <v>86</v>
      </c>
      <c r="AD52" s="310">
        <f t="shared" si="43"/>
        <v>0</v>
      </c>
      <c r="AE52" s="311">
        <f t="shared" si="44"/>
        <v>0</v>
      </c>
      <c r="AF52" s="311">
        <f t="shared" si="45"/>
        <v>0</v>
      </c>
      <c r="AG52" s="311">
        <f t="shared" si="46"/>
        <v>0</v>
      </c>
      <c r="AH52" s="312">
        <f t="shared" si="47"/>
        <v>0</v>
      </c>
      <c r="AI52" s="596">
        <f t="shared" si="48"/>
        <v>0.4999773010656488</v>
      </c>
      <c r="AJ52" s="314">
        <f t="shared" si="49"/>
        <v>0.4999773010656488</v>
      </c>
      <c r="AK52" s="314">
        <f t="shared" si="50"/>
        <v>0.4999773010656488</v>
      </c>
      <c r="AL52" s="314">
        <f t="shared" si="51"/>
        <v>0.4999773010656488</v>
      </c>
      <c r="AM52" s="599">
        <f t="shared" si="52"/>
        <v>0.42804071804417687</v>
      </c>
      <c r="AN52" s="313">
        <f t="shared" si="65"/>
        <v>0.99294537435345864</v>
      </c>
      <c r="AO52" s="314">
        <f t="shared" si="65"/>
        <v>0.99276586905801067</v>
      </c>
      <c r="AP52" s="314">
        <f t="shared" si="65"/>
        <v>0.96606760335003594</v>
      </c>
      <c r="AQ52" s="314">
        <f t="shared" si="65"/>
        <v>0.86412464128238686</v>
      </c>
      <c r="AR52" s="599">
        <f t="shared" si="65"/>
        <v>0.80505367762082769</v>
      </c>
      <c r="AS52" s="310">
        <f t="shared" ca="1" si="54"/>
        <v>0.99995460213129761</v>
      </c>
      <c r="AT52" s="311">
        <f t="shared" ca="1" si="55"/>
        <v>0.99995460213129761</v>
      </c>
      <c r="AU52" s="311">
        <f t="shared" ca="1" si="56"/>
        <v>0.99995460213129761</v>
      </c>
      <c r="AV52" s="311">
        <f t="shared" ca="1" si="57"/>
        <v>0.92079795421666033</v>
      </c>
      <c r="AW52" s="312">
        <f t="shared" si="58"/>
        <v>0</v>
      </c>
      <c r="AX52" s="310">
        <f t="shared" ca="1" si="59"/>
        <v>0.99290029674972513</v>
      </c>
      <c r="AY52" s="311">
        <f t="shared" ca="1" si="59"/>
        <v>0.99272079960343496</v>
      </c>
      <c r="AZ52" s="311">
        <f t="shared" ca="1" si="59"/>
        <v>0.96602374593982143</v>
      </c>
      <c r="BA52" s="311">
        <f t="shared" ca="1" si="59"/>
        <v>0.79568420188102729</v>
      </c>
      <c r="BB52" s="312">
        <f t="shared" si="59"/>
        <v>0</v>
      </c>
      <c r="BC52" s="310">
        <f t="shared" ca="1" si="66"/>
        <v>7.0997032502748691E-3</v>
      </c>
      <c r="BD52" s="311">
        <f t="shared" ca="1" si="60"/>
        <v>0.26308098052355444</v>
      </c>
      <c r="BE52" s="311">
        <f t="shared" ca="1" si="61"/>
        <v>0.26303342057679868</v>
      </c>
      <c r="BF52" s="311">
        <f t="shared" ca="1" si="62"/>
        <v>0.2559597122921855</v>
      </c>
      <c r="BG52" s="311">
        <f t="shared" ca="1" si="63"/>
        <v>0.21082618335718656</v>
      </c>
      <c r="BH52" s="312">
        <f t="shared" ca="1" si="64"/>
        <v>0</v>
      </c>
    </row>
    <row r="53" spans="1:60" x14ac:dyDescent="0.2">
      <c r="A53" s="316">
        <v>2036</v>
      </c>
      <c r="B53" s="826">
        <f t="shared" si="69"/>
        <v>100224.6</v>
      </c>
      <c r="C53" s="827">
        <f t="shared" si="69"/>
        <v>5059.7700000000004</v>
      </c>
      <c r="D53" s="827">
        <f t="shared" si="69"/>
        <v>5123.97</v>
      </c>
      <c r="E53" s="827">
        <f t="shared" si="69"/>
        <v>11472.42</v>
      </c>
      <c r="F53" s="827">
        <f t="shared" si="69"/>
        <v>22995.14</v>
      </c>
      <c r="G53" s="828">
        <f t="shared" si="69"/>
        <v>27642.7</v>
      </c>
      <c r="H53" s="781">
        <f t="shared" si="70"/>
        <v>1</v>
      </c>
      <c r="I53" s="782">
        <f t="shared" si="70"/>
        <v>1</v>
      </c>
      <c r="J53" s="782">
        <f t="shared" si="70"/>
        <v>1</v>
      </c>
      <c r="K53" s="782">
        <f t="shared" si="70"/>
        <v>1</v>
      </c>
      <c r="L53" s="782">
        <f t="shared" si="70"/>
        <v>0.82428969850961065</v>
      </c>
      <c r="M53" s="783">
        <f t="shared" si="70"/>
        <v>1</v>
      </c>
      <c r="N53" s="733">
        <f t="shared" si="32"/>
        <v>7758.5052629834254</v>
      </c>
      <c r="O53" s="276">
        <f t="shared" si="33"/>
        <v>6553.3399361526863</v>
      </c>
      <c r="P53" s="276">
        <f t="shared" si="34"/>
        <v>6182.9751039890634</v>
      </c>
      <c r="Q53" s="276">
        <f t="shared" si="35"/>
        <v>5491.3547500406194</v>
      </c>
      <c r="R53" s="276">
        <f t="shared" si="36"/>
        <v>5567.830878074873</v>
      </c>
      <c r="S53" s="278">
        <f t="shared" si="37"/>
        <v>6754.1152191192932</v>
      </c>
      <c r="T53" s="733">
        <f t="shared" si="38"/>
        <v>1205.1653268307391</v>
      </c>
      <c r="U53" s="276">
        <f t="shared" si="39"/>
        <v>1575.530158994362</v>
      </c>
      <c r="V53" s="276">
        <f t="shared" si="40"/>
        <v>2267.150512942806</v>
      </c>
      <c r="W53" s="276">
        <f t="shared" si="41"/>
        <v>2190.6743849085524</v>
      </c>
      <c r="X53" s="277">
        <f t="shared" si="42"/>
        <v>1004.3900438641322</v>
      </c>
      <c r="Y53" s="279">
        <f ca="1">IF(AND(Y$22=TRUE,INDEX(CDRANGE_CLS3,MATCH($A53,$A$24:$A$67,0),MATCH(Y$20,$B$20:$G$20,0))&lt;$D$6/OPDAYS_Cls3),86,payback(C53,T53,disc_rate/12,85))</f>
        <v>5</v>
      </c>
      <c r="Z53" s="280">
        <f ca="1">IF(AND(Z$22=TRUE,INDEX(CDRANGE_CLS3,MATCH($A53,$A$24:$A$67,0),MATCH(Z$20,$B$20:$G$20,0))&lt;$D$6/OPDAYS_Cls3),86,payback(D53,U53,disc_rate/12,85))</f>
        <v>4</v>
      </c>
      <c r="AA53" s="280">
        <f ca="1">IF(AND(AA$22=TRUE,INDEX(CDRANGE_CLS3,MATCH($A53,$A$24:$A$67,0),MATCH(AA$20,$B$20:$G$20,0))&lt;$D$6/OPDAYS_Cls3),86,payback(E53,V53,disc_rate/12,85))</f>
        <v>6</v>
      </c>
      <c r="AB53" s="280">
        <f ca="1">IF(AND(AB$22=TRUE,INDEX(CDRANGE_CLS3,MATCH($A53,$A$24:$A$67,0),MATCH(AB$20,$B$20:$G$20,0))&lt;$D$6/OPDAYS_Cls3),86,payback(F53,W53,disc_rate/12,85))</f>
        <v>11</v>
      </c>
      <c r="AC53" s="281">
        <f>IF(AND(AC$22=TRUE,INDEX(CDRANGE_CLS3,MATCH($A53,$A$24:$A$67,0),MATCH(AC$20,$B$20:$G$20,0))&lt;$D$6/OPDAYS_Cls3),86,payback(G53,X53,disc_rate/12,85))</f>
        <v>86</v>
      </c>
      <c r="AD53" s="282">
        <f t="shared" si="43"/>
        <v>0</v>
      </c>
      <c r="AE53" s="283">
        <f t="shared" si="44"/>
        <v>0</v>
      </c>
      <c r="AF53" s="283">
        <f t="shared" si="45"/>
        <v>0</v>
      </c>
      <c r="AG53" s="283">
        <f t="shared" si="46"/>
        <v>0</v>
      </c>
      <c r="AH53" s="284">
        <f t="shared" si="47"/>
        <v>0</v>
      </c>
      <c r="AI53" s="594">
        <f t="shared" si="48"/>
        <v>0.49999164928907602</v>
      </c>
      <c r="AJ53" s="286">
        <f t="shared" si="49"/>
        <v>0.49999164928907602</v>
      </c>
      <c r="AK53" s="286">
        <f t="shared" si="50"/>
        <v>0.49999164928907602</v>
      </c>
      <c r="AL53" s="286">
        <f t="shared" si="51"/>
        <v>0.49999164928907602</v>
      </c>
      <c r="AM53" s="611">
        <f t="shared" si="52"/>
        <v>0.44543405951518961</v>
      </c>
      <c r="AN53" s="285">
        <f t="shared" si="65"/>
        <v>0.99294537435345864</v>
      </c>
      <c r="AO53" s="286">
        <f t="shared" si="65"/>
        <v>0.99276586905801067</v>
      </c>
      <c r="AP53" s="286">
        <f t="shared" si="65"/>
        <v>0.96425794685830035</v>
      </c>
      <c r="AQ53" s="286">
        <f t="shared" si="65"/>
        <v>0.86396348681853929</v>
      </c>
      <c r="AR53" s="611">
        <f t="shared" si="65"/>
        <v>0.80952713005094257</v>
      </c>
      <c r="AS53" s="282">
        <f t="shared" ca="1" si="54"/>
        <v>0.99998329857815205</v>
      </c>
      <c r="AT53" s="283">
        <f t="shared" ca="1" si="55"/>
        <v>0.99998329857815205</v>
      </c>
      <c r="AU53" s="283">
        <f t="shared" ca="1" si="56"/>
        <v>0.99998329857815205</v>
      </c>
      <c r="AV53" s="283">
        <f t="shared" ca="1" si="57"/>
        <v>0.94231668786513867</v>
      </c>
      <c r="AW53" s="284">
        <f t="shared" si="58"/>
        <v>0</v>
      </c>
      <c r="AX53" s="282">
        <f t="shared" ca="1" si="59"/>
        <v>0.99292879075388962</v>
      </c>
      <c r="AY53" s="283">
        <f t="shared" ca="1" si="59"/>
        <v>0.99274928845643529</v>
      </c>
      <c r="AZ53" s="283">
        <f t="shared" ca="1" si="59"/>
        <v>0.96424184237955968</v>
      </c>
      <c r="BA53" s="283">
        <f t="shared" ca="1" si="59"/>
        <v>0.81412721133526234</v>
      </c>
      <c r="BB53" s="284">
        <f t="shared" si="59"/>
        <v>0</v>
      </c>
      <c r="BC53" s="282">
        <f t="shared" ca="1" si="66"/>
        <v>7.0712092461104881E-3</v>
      </c>
      <c r="BD53" s="283">
        <f t="shared" ca="1" si="60"/>
        <v>0.26192753403218011</v>
      </c>
      <c r="BE53" s="283">
        <f t="shared" ca="1" si="61"/>
        <v>0.26188018260621365</v>
      </c>
      <c r="BF53" s="283">
        <f t="shared" ca="1" si="62"/>
        <v>0.25436012162902916</v>
      </c>
      <c r="BG53" s="283">
        <f t="shared" ca="1" si="63"/>
        <v>0.21476095248646659</v>
      </c>
      <c r="BH53" s="284">
        <f t="shared" ca="1" si="64"/>
        <v>0</v>
      </c>
    </row>
    <row r="54" spans="1:60" x14ac:dyDescent="0.2">
      <c r="A54" s="317">
        <v>2037</v>
      </c>
      <c r="B54" s="820">
        <f t="shared" ref="B54:G67" si="71">ROUND(INDEX(COST_Cls3,$A54-($A$24-1),MATCH(B$20,TECHOPTS_Cls3,0)),2)</f>
        <v>100224.6</v>
      </c>
      <c r="C54" s="821">
        <f t="shared" si="71"/>
        <v>5059.7700000000004</v>
      </c>
      <c r="D54" s="821">
        <f t="shared" si="71"/>
        <v>5123.97</v>
      </c>
      <c r="E54" s="821">
        <f t="shared" si="71"/>
        <v>11472.42</v>
      </c>
      <c r="F54" s="821">
        <f t="shared" si="71"/>
        <v>23009.81</v>
      </c>
      <c r="G54" s="822">
        <f t="shared" si="71"/>
        <v>27282.6</v>
      </c>
      <c r="H54" s="781">
        <f t="shared" ref="H54:M67" si="72">IF(H$21="Single-fuel",1,1-MIN(INDEX(CDRANGE_CLS3,$A54-($A$24-1),MATCH(H$20,TECHOPTS_Cls3,0))*OPDAYS_Cls3/$D$6,1))</f>
        <v>1</v>
      </c>
      <c r="I54" s="782">
        <f t="shared" si="72"/>
        <v>1</v>
      </c>
      <c r="J54" s="782">
        <f t="shared" si="72"/>
        <v>1</v>
      </c>
      <c r="K54" s="782">
        <f t="shared" si="72"/>
        <v>1</v>
      </c>
      <c r="L54" s="782">
        <f t="shared" si="72"/>
        <v>0.82396079212397788</v>
      </c>
      <c r="M54" s="783">
        <f t="shared" si="72"/>
        <v>1</v>
      </c>
      <c r="N54" s="733">
        <f t="shared" si="32"/>
        <v>7810.6840486788215</v>
      </c>
      <c r="O54" s="276">
        <f t="shared" si="33"/>
        <v>6597.4135442159613</v>
      </c>
      <c r="P54" s="276">
        <f t="shared" si="34"/>
        <v>6224.5578730889647</v>
      </c>
      <c r="Q54" s="276">
        <f t="shared" si="35"/>
        <v>5528.2861192886157</v>
      </c>
      <c r="R54" s="276">
        <f t="shared" si="36"/>
        <v>5562.1982635242075</v>
      </c>
      <c r="S54" s="278">
        <f t="shared" si="37"/>
        <v>6692.9038668370158</v>
      </c>
      <c r="T54" s="734">
        <f t="shared" si="38"/>
        <v>1213.2705044628601</v>
      </c>
      <c r="U54" s="290">
        <f t="shared" si="39"/>
        <v>1586.1261755898568</v>
      </c>
      <c r="V54" s="290">
        <f t="shared" si="40"/>
        <v>2282.3979293902057</v>
      </c>
      <c r="W54" s="290">
        <f t="shared" si="41"/>
        <v>2248.4857851546139</v>
      </c>
      <c r="X54" s="291">
        <f t="shared" si="42"/>
        <v>1117.7801818418056</v>
      </c>
      <c r="Y54" s="279">
        <f ca="1">IF(AND(Y$22=TRUE,INDEX(CDRANGE_CLS3,MATCH($A54,$A$24:$A$67,0),MATCH(Y$20,$B$20:$G$20,0))&lt;$D$6/OPDAYS_Cls3),86,payback(C54,T54,disc_rate/12,85))</f>
        <v>5</v>
      </c>
      <c r="Z54" s="280">
        <f ca="1">IF(AND(Z$22=TRUE,INDEX(CDRANGE_CLS3,MATCH($A54,$A$24:$A$67,0),MATCH(Z$20,$B$20:$G$20,0))&lt;$D$6/OPDAYS_Cls3),86,payback(D54,U54,disc_rate/12,85))</f>
        <v>4</v>
      </c>
      <c r="AA54" s="280">
        <f ca="1">IF(AND(AA$22=TRUE,INDEX(CDRANGE_CLS3,MATCH($A54,$A$24:$A$67,0),MATCH(AA$20,$B$20:$G$20,0))&lt;$D$6/OPDAYS_Cls3),86,payback(E54,V54,disc_rate/12,85))</f>
        <v>6</v>
      </c>
      <c r="AB54" s="280">
        <f ca="1">IF(AND(AB$22=TRUE,INDEX(CDRANGE_CLS3,MATCH($A54,$A$24:$A$67,0),MATCH(AB$20,$B$20:$G$20,0))&lt;$D$6/OPDAYS_Cls3),86,payback(F54,W54,disc_rate/12,85))</f>
        <v>11</v>
      </c>
      <c r="AC54" s="281">
        <f>IF(AND(AC$22=TRUE,INDEX(CDRANGE_CLS3,MATCH($A54,$A$24:$A$67,0),MATCH(AC$20,$B$20:$G$20,0))&lt;$D$6/OPDAYS_Cls3),86,payback(G54,X54,disc_rate/12,85))</f>
        <v>86</v>
      </c>
      <c r="AD54" s="296">
        <f t="shared" si="43"/>
        <v>0</v>
      </c>
      <c r="AE54" s="297">
        <f t="shared" si="44"/>
        <v>0</v>
      </c>
      <c r="AF54" s="297">
        <f t="shared" si="45"/>
        <v>0</v>
      </c>
      <c r="AG54" s="297">
        <f t="shared" si="46"/>
        <v>0</v>
      </c>
      <c r="AH54" s="298">
        <f t="shared" si="47"/>
        <v>0</v>
      </c>
      <c r="AI54" s="595">
        <f t="shared" si="48"/>
        <v>0.4999969279126989</v>
      </c>
      <c r="AJ54" s="300">
        <f t="shared" si="49"/>
        <v>0.4999969279126989</v>
      </c>
      <c r="AK54" s="300">
        <f t="shared" si="50"/>
        <v>0.4999969279126989</v>
      </c>
      <c r="AL54" s="300">
        <f t="shared" si="51"/>
        <v>0.4999969279126989</v>
      </c>
      <c r="AM54" s="598">
        <f t="shared" si="52"/>
        <v>0.46586451718094984</v>
      </c>
      <c r="AN54" s="299">
        <f t="shared" si="65"/>
        <v>0.99294537435345864</v>
      </c>
      <c r="AO54" s="300">
        <f t="shared" si="65"/>
        <v>0.99276586905801067</v>
      </c>
      <c r="AP54" s="300">
        <f t="shared" si="65"/>
        <v>0.96425794685830035</v>
      </c>
      <c r="AQ54" s="300">
        <f t="shared" si="65"/>
        <v>0.86380225959483148</v>
      </c>
      <c r="AR54" s="598">
        <f t="shared" si="65"/>
        <v>0.81396693634352313</v>
      </c>
      <c r="AS54" s="296">
        <f t="shared" ca="1" si="54"/>
        <v>0.99999385582539779</v>
      </c>
      <c r="AT54" s="297">
        <f t="shared" ca="1" si="55"/>
        <v>0.99999385582539779</v>
      </c>
      <c r="AU54" s="297">
        <f t="shared" ca="1" si="56"/>
        <v>0.99999385582539779</v>
      </c>
      <c r="AV54" s="297">
        <f t="shared" ca="1" si="57"/>
        <v>0.94232663630154934</v>
      </c>
      <c r="AW54" s="298">
        <f t="shared" si="58"/>
        <v>0</v>
      </c>
      <c r="AX54" s="296">
        <f t="shared" ca="1" si="59"/>
        <v>0.99293927352370814</v>
      </c>
      <c r="AY54" s="297">
        <f t="shared" ca="1" si="59"/>
        <v>0.99275976933117205</v>
      </c>
      <c r="AZ54" s="297">
        <f t="shared" ca="1" si="59"/>
        <v>0.96425202228911333</v>
      </c>
      <c r="BA54" s="297">
        <f t="shared" ca="1" si="59"/>
        <v>0.81398387771367531</v>
      </c>
      <c r="BB54" s="298">
        <f t="shared" si="59"/>
        <v>0</v>
      </c>
      <c r="BC54" s="296">
        <f t="shared" ca="1" si="66"/>
        <v>7.0607264762918565E-3</v>
      </c>
      <c r="BD54" s="297">
        <f t="shared" ca="1" si="60"/>
        <v>0.26194087195281041</v>
      </c>
      <c r="BE54" s="297">
        <f t="shared" ca="1" si="61"/>
        <v>0.26189351811560618</v>
      </c>
      <c r="BF54" s="297">
        <f t="shared" ca="1" si="62"/>
        <v>0.25437307420053457</v>
      </c>
      <c r="BG54" s="297">
        <f t="shared" ca="1" si="63"/>
        <v>0.21473180925475699</v>
      </c>
      <c r="BH54" s="298">
        <f t="shared" ca="1" si="64"/>
        <v>0</v>
      </c>
    </row>
    <row r="55" spans="1:60" x14ac:dyDescent="0.2">
      <c r="A55" s="317">
        <v>2038</v>
      </c>
      <c r="B55" s="820">
        <f t="shared" si="71"/>
        <v>100224.6</v>
      </c>
      <c r="C55" s="821">
        <f t="shared" si="71"/>
        <v>5059.7700000000004</v>
      </c>
      <c r="D55" s="821">
        <f t="shared" si="71"/>
        <v>5123.97</v>
      </c>
      <c r="E55" s="821">
        <f t="shared" si="71"/>
        <v>11472.42</v>
      </c>
      <c r="F55" s="821">
        <f t="shared" si="71"/>
        <v>23024.48</v>
      </c>
      <c r="G55" s="822">
        <f t="shared" si="71"/>
        <v>26922.49</v>
      </c>
      <c r="H55" s="781">
        <f t="shared" si="72"/>
        <v>1</v>
      </c>
      <c r="I55" s="782">
        <f t="shared" si="72"/>
        <v>1</v>
      </c>
      <c r="J55" s="782">
        <f t="shared" si="72"/>
        <v>1</v>
      </c>
      <c r="K55" s="782">
        <f t="shared" si="72"/>
        <v>1</v>
      </c>
      <c r="L55" s="782">
        <f t="shared" si="72"/>
        <v>0.82363188573834512</v>
      </c>
      <c r="M55" s="783">
        <f t="shared" si="72"/>
        <v>1</v>
      </c>
      <c r="N55" s="733">
        <f t="shared" si="32"/>
        <v>7875.9650556812685</v>
      </c>
      <c r="O55" s="276">
        <f t="shared" si="33"/>
        <v>6652.5541435660089</v>
      </c>
      <c r="P55" s="276">
        <f t="shared" si="34"/>
        <v>6276.5821776911962</v>
      </c>
      <c r="Q55" s="276">
        <f t="shared" si="35"/>
        <v>5574.4910461062418</v>
      </c>
      <c r="R55" s="276">
        <f t="shared" si="36"/>
        <v>5561.1453502627492</v>
      </c>
      <c r="S55" s="278">
        <f t="shared" si="37"/>
        <v>6615.6598810145997</v>
      </c>
      <c r="T55" s="734">
        <f t="shared" si="38"/>
        <v>1223.4109121152596</v>
      </c>
      <c r="U55" s="290">
        <f t="shared" si="39"/>
        <v>1599.3828779900723</v>
      </c>
      <c r="V55" s="290">
        <f t="shared" si="40"/>
        <v>2301.4740095750267</v>
      </c>
      <c r="W55" s="290">
        <f t="shared" si="41"/>
        <v>2314.8197054185193</v>
      </c>
      <c r="X55" s="291">
        <f t="shared" si="42"/>
        <v>1260.3051746666688</v>
      </c>
      <c r="Y55" s="279">
        <f ca="1">IF(AND(Y$22=TRUE,INDEX(CDRANGE_CLS3,MATCH($A55,$A$24:$A$67,0),MATCH(Y$20,$B$20:$G$20,0))&lt;$D$6/OPDAYS_Cls3),86,payback(C55,T55,disc_rate/12,85))</f>
        <v>5</v>
      </c>
      <c r="Z55" s="280">
        <f ca="1">IF(AND(Z$22=TRUE,INDEX(CDRANGE_CLS3,MATCH($A55,$A$24:$A$67,0),MATCH(Z$20,$B$20:$G$20,0))&lt;$D$6/OPDAYS_Cls3),86,payback(D55,U55,disc_rate/12,85))</f>
        <v>4</v>
      </c>
      <c r="AA55" s="280">
        <f ca="1">IF(AND(AA$22=TRUE,INDEX(CDRANGE_CLS3,MATCH($A55,$A$24:$A$67,0),MATCH(AA$20,$B$20:$G$20,0))&lt;$D$6/OPDAYS_Cls3),86,payback(E55,V55,disc_rate/12,85))</f>
        <v>6</v>
      </c>
      <c r="AB55" s="280">
        <f ca="1">IF(AND(AB$22=TRUE,INDEX(CDRANGE_CLS3,MATCH($A55,$A$24:$A$67,0),MATCH(AB$20,$B$20:$G$20,0))&lt;$D$6/OPDAYS_Cls3),86,payback(F55,W55,disc_rate/12,85))</f>
        <v>11</v>
      </c>
      <c r="AC55" s="281">
        <f>IF(AND(AC$22=TRUE,INDEX(CDRANGE_CLS3,MATCH($A55,$A$24:$A$67,0),MATCH(AC$20,$B$20:$G$20,0))&lt;$D$6/OPDAYS_Cls3),86,payback(G55,X55,disc_rate/12,85))</f>
        <v>86</v>
      </c>
      <c r="AD55" s="296">
        <f t="shared" si="43"/>
        <v>0</v>
      </c>
      <c r="AE55" s="297">
        <f t="shared" si="44"/>
        <v>0</v>
      </c>
      <c r="AF55" s="297">
        <f t="shared" si="45"/>
        <v>0</v>
      </c>
      <c r="AG55" s="297">
        <f t="shared" si="46"/>
        <v>0</v>
      </c>
      <c r="AH55" s="298">
        <f t="shared" si="47"/>
        <v>0</v>
      </c>
      <c r="AI55" s="595">
        <f t="shared" si="48"/>
        <v>0.49999886983785102</v>
      </c>
      <c r="AJ55" s="300">
        <f t="shared" si="49"/>
        <v>0.49999886983785102</v>
      </c>
      <c r="AK55" s="300">
        <f t="shared" si="50"/>
        <v>0.49999886983785102</v>
      </c>
      <c r="AL55" s="300">
        <f t="shared" si="51"/>
        <v>0.49999886983785102</v>
      </c>
      <c r="AM55" s="598">
        <f t="shared" si="52"/>
        <v>0.47598460365350959</v>
      </c>
      <c r="AN55" s="299">
        <f t="shared" si="65"/>
        <v>0.99294537435345864</v>
      </c>
      <c r="AO55" s="300">
        <f t="shared" si="65"/>
        <v>0.99276586905801067</v>
      </c>
      <c r="AP55" s="300">
        <f t="shared" si="65"/>
        <v>0.96425794685830035</v>
      </c>
      <c r="AQ55" s="300">
        <f t="shared" si="65"/>
        <v>0.8636409596632183</v>
      </c>
      <c r="AR55" s="598">
        <f t="shared" si="65"/>
        <v>0.8183725206430188</v>
      </c>
      <c r="AS55" s="296">
        <f t="shared" ca="1" si="54"/>
        <v>0.99999773967570205</v>
      </c>
      <c r="AT55" s="297">
        <f t="shared" ca="1" si="55"/>
        <v>0.99999773967570205</v>
      </c>
      <c r="AU55" s="297">
        <f t="shared" ca="1" si="56"/>
        <v>0.99999773967570205</v>
      </c>
      <c r="AV55" s="297">
        <f t="shared" ca="1" si="57"/>
        <v>0.94233029617962938</v>
      </c>
      <c r="AW55" s="298">
        <f t="shared" si="58"/>
        <v>0</v>
      </c>
      <c r="AX55" s="296">
        <f t="shared" ca="1" si="59"/>
        <v>0.99294312997490242</v>
      </c>
      <c r="AY55" s="297">
        <f t="shared" ca="1" si="59"/>
        <v>0.99276362508519467</v>
      </c>
      <c r="AZ55" s="297">
        <f t="shared" ca="1" si="59"/>
        <v>0.96425576732263363</v>
      </c>
      <c r="BA55" s="297">
        <f t="shared" ca="1" si="59"/>
        <v>0.81383504131229989</v>
      </c>
      <c r="BB55" s="298">
        <f t="shared" si="59"/>
        <v>0</v>
      </c>
      <c r="BC55" s="296">
        <f t="shared" ca="1" si="66"/>
        <v>7.0568700250975835E-3</v>
      </c>
      <c r="BD55" s="297">
        <f t="shared" ca="1" si="60"/>
        <v>0.26195246760201252</v>
      </c>
      <c r="BE55" s="297">
        <f t="shared" ca="1" si="61"/>
        <v>0.26190511166853947</v>
      </c>
      <c r="BF55" s="297">
        <f t="shared" ca="1" si="62"/>
        <v>0.25438433483700146</v>
      </c>
      <c r="BG55" s="297">
        <f t="shared" ca="1" si="63"/>
        <v>0.21470121586734903</v>
      </c>
      <c r="BH55" s="298">
        <f t="shared" ca="1" si="64"/>
        <v>0</v>
      </c>
    </row>
    <row r="56" spans="1:60" x14ac:dyDescent="0.2">
      <c r="A56" s="317">
        <v>2039</v>
      </c>
      <c r="B56" s="820">
        <f t="shared" si="71"/>
        <v>100224.6</v>
      </c>
      <c r="C56" s="821">
        <f t="shared" si="71"/>
        <v>5059.7700000000004</v>
      </c>
      <c r="D56" s="821">
        <f t="shared" si="71"/>
        <v>5123.97</v>
      </c>
      <c r="E56" s="821">
        <f t="shared" si="71"/>
        <v>11472.42</v>
      </c>
      <c r="F56" s="821">
        <f t="shared" si="71"/>
        <v>23039.14</v>
      </c>
      <c r="G56" s="822">
        <f t="shared" si="71"/>
        <v>26562.39</v>
      </c>
      <c r="H56" s="781">
        <f t="shared" si="72"/>
        <v>1</v>
      </c>
      <c r="I56" s="782">
        <f t="shared" si="72"/>
        <v>1</v>
      </c>
      <c r="J56" s="782">
        <f t="shared" si="72"/>
        <v>1</v>
      </c>
      <c r="K56" s="782">
        <f t="shared" si="72"/>
        <v>1</v>
      </c>
      <c r="L56" s="782">
        <f t="shared" si="72"/>
        <v>0.82330297935271224</v>
      </c>
      <c r="M56" s="783">
        <f t="shared" si="72"/>
        <v>1</v>
      </c>
      <c r="N56" s="733">
        <f t="shared" si="32"/>
        <v>7942.6516693564454</v>
      </c>
      <c r="O56" s="276">
        <f t="shared" si="33"/>
        <v>6708.8820100545954</v>
      </c>
      <c r="P56" s="276">
        <f t="shared" si="34"/>
        <v>6329.7266505177058</v>
      </c>
      <c r="Q56" s="276">
        <f t="shared" si="35"/>
        <v>5621.6908404424639</v>
      </c>
      <c r="R56" s="276">
        <f t="shared" si="36"/>
        <v>5549.1800065585248</v>
      </c>
      <c r="S56" s="278">
        <f t="shared" si="37"/>
        <v>6470.5934029623177</v>
      </c>
      <c r="T56" s="734">
        <f t="shared" si="38"/>
        <v>1233.76965930185</v>
      </c>
      <c r="U56" s="290">
        <f t="shared" si="39"/>
        <v>1612.9250188387396</v>
      </c>
      <c r="V56" s="290">
        <f t="shared" si="40"/>
        <v>2320.9608289139815</v>
      </c>
      <c r="W56" s="290">
        <f t="shared" si="41"/>
        <v>2393.4716627979205</v>
      </c>
      <c r="X56" s="291">
        <f t="shared" si="42"/>
        <v>1472.0582663941277</v>
      </c>
      <c r="Y56" s="279">
        <f ca="1">IF(AND(Y$22=TRUE,INDEX(CDRANGE_CLS3,MATCH($A56,$A$24:$A$67,0),MATCH(Y$20,$B$20:$G$20,0))&lt;$D$6/OPDAYS_Cls3),86,payback(C56,T56,disc_rate/12,85))</f>
        <v>5</v>
      </c>
      <c r="Z56" s="280">
        <f ca="1">IF(AND(Z$22=TRUE,INDEX(CDRANGE_CLS3,MATCH($A56,$A$24:$A$67,0),MATCH(Z$20,$B$20:$G$20,0))&lt;$D$6/OPDAYS_Cls3),86,payback(D56,U56,disc_rate/12,85))</f>
        <v>4</v>
      </c>
      <c r="AA56" s="280">
        <f ca="1">IF(AND(AA$22=TRUE,INDEX(CDRANGE_CLS3,MATCH($A56,$A$24:$A$67,0),MATCH(AA$20,$B$20:$G$20,0))&lt;$D$6/OPDAYS_Cls3),86,payback(E56,V56,disc_rate/12,85))</f>
        <v>6</v>
      </c>
      <c r="AB56" s="280">
        <f ca="1">IF(AND(AB$22=TRUE,INDEX(CDRANGE_CLS3,MATCH($A56,$A$24:$A$67,0),MATCH(AB$20,$B$20:$G$20,0))&lt;$D$6/OPDAYS_Cls3),86,payback(F56,W56,disc_rate/12,85))</f>
        <v>10</v>
      </c>
      <c r="AC56" s="281">
        <f>IF(AND(AC$22=TRUE,INDEX(CDRANGE_CLS3,MATCH($A56,$A$24:$A$67,0),MATCH(AC$20,$B$20:$G$20,0))&lt;$D$6/OPDAYS_Cls3),86,payback(G56,X56,disc_rate/12,85))</f>
        <v>86</v>
      </c>
      <c r="AD56" s="296">
        <f t="shared" si="43"/>
        <v>0</v>
      </c>
      <c r="AE56" s="297">
        <f t="shared" si="44"/>
        <v>0</v>
      </c>
      <c r="AF56" s="297">
        <f t="shared" si="45"/>
        <v>0</v>
      </c>
      <c r="AG56" s="297">
        <f t="shared" si="46"/>
        <v>0</v>
      </c>
      <c r="AH56" s="298">
        <f t="shared" si="47"/>
        <v>0</v>
      </c>
      <c r="AI56" s="595">
        <f t="shared" si="48"/>
        <v>0.49999958423598612</v>
      </c>
      <c r="AJ56" s="300">
        <f t="shared" si="49"/>
        <v>0.49999958423598612</v>
      </c>
      <c r="AK56" s="300">
        <f t="shared" si="50"/>
        <v>0.49999958423598612</v>
      </c>
      <c r="AL56" s="300">
        <f t="shared" si="51"/>
        <v>0.49999958423598612</v>
      </c>
      <c r="AM56" s="598">
        <f t="shared" si="52"/>
        <v>0.48366005780379517</v>
      </c>
      <c r="AN56" s="299">
        <f t="shared" si="65"/>
        <v>0.99294537435345864</v>
      </c>
      <c r="AO56" s="300">
        <f t="shared" si="65"/>
        <v>0.99276586905801067</v>
      </c>
      <c r="AP56" s="300">
        <f t="shared" si="65"/>
        <v>0.96425794685830035</v>
      </c>
      <c r="AQ56" s="300">
        <f t="shared" si="65"/>
        <v>0.8634796971021691</v>
      </c>
      <c r="AR56" s="598">
        <f t="shared" si="65"/>
        <v>0.82274281878543787</v>
      </c>
      <c r="AS56" s="296">
        <f t="shared" ca="1" si="54"/>
        <v>0.99999916847197223</v>
      </c>
      <c r="AT56" s="297">
        <f t="shared" ca="1" si="55"/>
        <v>0.99999916847197223</v>
      </c>
      <c r="AU56" s="297">
        <f t="shared" ca="1" si="56"/>
        <v>0.99999916847197223</v>
      </c>
      <c r="AV56" s="297">
        <f t="shared" ca="1" si="57"/>
        <v>0.96102969280404571</v>
      </c>
      <c r="AW56" s="298">
        <f t="shared" si="58"/>
        <v>0</v>
      </c>
      <c r="AX56" s="296">
        <f t="shared" ca="1" si="59"/>
        <v>0.9929445486915498</v>
      </c>
      <c r="AY56" s="297">
        <f t="shared" ca="1" si="59"/>
        <v>0.99276504354536554</v>
      </c>
      <c r="AZ56" s="297">
        <f t="shared" ca="1" si="59"/>
        <v>0.96425714505079152</v>
      </c>
      <c r="BA56" s="297">
        <f t="shared" ca="1" si="59"/>
        <v>0.82982962804862803</v>
      </c>
      <c r="BB56" s="298">
        <f t="shared" si="59"/>
        <v>0</v>
      </c>
      <c r="BC56" s="296">
        <f t="shared" ca="1" si="66"/>
        <v>7.0554513084502002E-3</v>
      </c>
      <c r="BD56" s="297">
        <f t="shared" ca="1" si="60"/>
        <v>0.26084444279011693</v>
      </c>
      <c r="BE56" s="297">
        <f t="shared" ca="1" si="61"/>
        <v>0.26079728716607314</v>
      </c>
      <c r="BF56" s="297">
        <f t="shared" ca="1" si="62"/>
        <v>0.25330832224075756</v>
      </c>
      <c r="BG56" s="297">
        <f t="shared" ca="1" si="63"/>
        <v>0.21799449649460217</v>
      </c>
      <c r="BH56" s="298">
        <f t="shared" ca="1" si="64"/>
        <v>0</v>
      </c>
    </row>
    <row r="57" spans="1:60" ht="15" thickBot="1" x14ac:dyDescent="0.25">
      <c r="A57" s="618">
        <v>2040</v>
      </c>
      <c r="B57" s="814">
        <f t="shared" si="71"/>
        <v>100224.6</v>
      </c>
      <c r="C57" s="815">
        <f t="shared" si="71"/>
        <v>5059.7700000000004</v>
      </c>
      <c r="D57" s="815">
        <f t="shared" si="71"/>
        <v>5123.97</v>
      </c>
      <c r="E57" s="815">
        <f t="shared" si="71"/>
        <v>11472.42</v>
      </c>
      <c r="F57" s="815">
        <f t="shared" si="71"/>
        <v>23053.81</v>
      </c>
      <c r="G57" s="816">
        <f t="shared" si="71"/>
        <v>26202.28</v>
      </c>
      <c r="H57" s="781">
        <f t="shared" si="72"/>
        <v>1</v>
      </c>
      <c r="I57" s="782">
        <f t="shared" si="72"/>
        <v>1</v>
      </c>
      <c r="J57" s="782">
        <f t="shared" si="72"/>
        <v>1</v>
      </c>
      <c r="K57" s="782">
        <f t="shared" si="72"/>
        <v>1</v>
      </c>
      <c r="L57" s="782">
        <f t="shared" si="72"/>
        <v>0.82297407296707947</v>
      </c>
      <c r="M57" s="783">
        <f t="shared" si="72"/>
        <v>1</v>
      </c>
      <c r="N57" s="883">
        <f t="shared" si="32"/>
        <v>7941.5810771638562</v>
      </c>
      <c r="O57" s="776">
        <f t="shared" si="33"/>
        <v>6707.9777180120927</v>
      </c>
      <c r="P57" s="776">
        <f t="shared" si="34"/>
        <v>6328.8734649298976</v>
      </c>
      <c r="Q57" s="776">
        <f t="shared" si="35"/>
        <v>5620.9330911953002</v>
      </c>
      <c r="R57" s="776">
        <f t="shared" si="36"/>
        <v>5484.0672109370844</v>
      </c>
      <c r="S57" s="777">
        <f t="shared" si="37"/>
        <v>6236.3266373794122</v>
      </c>
      <c r="T57" s="735">
        <f t="shared" si="38"/>
        <v>1233.6033591517635</v>
      </c>
      <c r="U57" s="619">
        <f t="shared" si="39"/>
        <v>1612.7076122339586</v>
      </c>
      <c r="V57" s="619">
        <f t="shared" si="40"/>
        <v>2320.647985968556</v>
      </c>
      <c r="W57" s="619">
        <f t="shared" si="41"/>
        <v>2457.5138662267718</v>
      </c>
      <c r="X57" s="620">
        <f t="shared" si="42"/>
        <v>1705.254439784444</v>
      </c>
      <c r="Y57" s="723">
        <f ca="1">IF(AND(Y$22=TRUE,INDEX(CDRANGE_CLS3,MATCH($A57,$A$24:$A$67,0),MATCH(Y$20,$B$20:$G$20,0))&lt;$D$6/OPDAYS_Cls3),86,payback(C57,T57,disc_rate/12,85))</f>
        <v>5</v>
      </c>
      <c r="Z57" s="724">
        <f ca="1">IF(AND(Z$22=TRUE,INDEX(CDRANGE_CLS3,MATCH($A57,$A$24:$A$67,0),MATCH(Z$20,$B$20:$G$20,0))&lt;$D$6/OPDAYS_Cls3),86,payback(D57,U57,disc_rate/12,85))</f>
        <v>4</v>
      </c>
      <c r="AA57" s="724">
        <f ca="1">IF(AND(AA$22=TRUE,INDEX(CDRANGE_CLS3,MATCH($A57,$A$24:$A$67,0),MATCH(AA$20,$B$20:$G$20,0))&lt;$D$6/OPDAYS_Cls3),86,payback(E57,V57,disc_rate/12,85))</f>
        <v>6</v>
      </c>
      <c r="AB57" s="724">
        <f ca="1">IF(AND(AB$22=TRUE,INDEX(CDRANGE_CLS3,MATCH($A57,$A$24:$A$67,0),MATCH(AB$20,$B$20:$G$20,0))&lt;$D$6/OPDAYS_Cls3),86,payback(F57,W57,disc_rate/12,85))</f>
        <v>10</v>
      </c>
      <c r="AC57" s="892">
        <f>IF(AND(AC$22=TRUE,INDEX(CDRANGE_CLS3,MATCH($A57,$A$24:$A$67,0),MATCH(AC$20,$B$20:$G$20,0))&lt;$D$6/OPDAYS_Cls3),86,payback(G57,X57,disc_rate/12,85))</f>
        <v>86</v>
      </c>
      <c r="AD57" s="624">
        <f t="shared" si="43"/>
        <v>0</v>
      </c>
      <c r="AE57" s="625">
        <f t="shared" si="44"/>
        <v>0</v>
      </c>
      <c r="AF57" s="625">
        <f t="shared" si="45"/>
        <v>0</v>
      </c>
      <c r="AG57" s="625">
        <f t="shared" si="46"/>
        <v>0</v>
      </c>
      <c r="AH57" s="626">
        <f t="shared" si="47"/>
        <v>0</v>
      </c>
      <c r="AI57" s="627">
        <f t="shared" si="48"/>
        <v>0.4999998470488865</v>
      </c>
      <c r="AJ57" s="628">
        <f t="shared" si="49"/>
        <v>0.4999998470488865</v>
      </c>
      <c r="AK57" s="628">
        <f t="shared" si="50"/>
        <v>0.4999998470488865</v>
      </c>
      <c r="AL57" s="628">
        <f t="shared" si="51"/>
        <v>0.4999998470488865</v>
      </c>
      <c r="AM57" s="629">
        <f t="shared" si="52"/>
        <v>0.49142580877151454</v>
      </c>
      <c r="AN57" s="630">
        <f t="shared" si="65"/>
        <v>0.99294537435345864</v>
      </c>
      <c r="AO57" s="628">
        <f t="shared" si="65"/>
        <v>0.99276586905801067</v>
      </c>
      <c r="AP57" s="628">
        <f t="shared" si="65"/>
        <v>0.96425794685830035</v>
      </c>
      <c r="AQ57" s="628">
        <f t="shared" si="65"/>
        <v>0.86331825196014744</v>
      </c>
      <c r="AR57" s="629">
        <f t="shared" si="65"/>
        <v>0.82707725716340019</v>
      </c>
      <c r="AS57" s="624">
        <f t="shared" ca="1" si="54"/>
        <v>0.99999969409777301</v>
      </c>
      <c r="AT57" s="625">
        <f t="shared" ca="1" si="55"/>
        <v>0.99999969409777301</v>
      </c>
      <c r="AU57" s="625">
        <f t="shared" ca="1" si="56"/>
        <v>0.99999969409777301</v>
      </c>
      <c r="AV57" s="625">
        <f t="shared" ca="1" si="57"/>
        <v>0.9610301979464676</v>
      </c>
      <c r="AW57" s="626">
        <f t="shared" si="58"/>
        <v>0</v>
      </c>
      <c r="AX57" s="624">
        <f t="shared" ca="1" si="59"/>
        <v>0.9929450706092573</v>
      </c>
      <c r="AY57" s="625">
        <f t="shared" ca="1" si="59"/>
        <v>0.9927655653687204</v>
      </c>
      <c r="AZ57" s="625">
        <f t="shared" ca="1" si="59"/>
        <v>0.96425765188964696</v>
      </c>
      <c r="BA57" s="625">
        <f t="shared" ca="1" si="59"/>
        <v>0.82967491057205889</v>
      </c>
      <c r="BB57" s="626">
        <f t="shared" si="59"/>
        <v>0</v>
      </c>
      <c r="BC57" s="624">
        <f t="shared" ca="1" si="66"/>
        <v>7.0549293907428146E-3</v>
      </c>
      <c r="BD57" s="625">
        <f t="shared" ca="1" si="60"/>
        <v>0.2608552875187371</v>
      </c>
      <c r="BE57" s="625">
        <f t="shared" ca="1" si="61"/>
        <v>0.26080812993417646</v>
      </c>
      <c r="BF57" s="625">
        <f t="shared" ca="1" si="62"/>
        <v>0.25331885365167267</v>
      </c>
      <c r="BG57" s="625">
        <f t="shared" ca="1" si="63"/>
        <v>0.21796279950467101</v>
      </c>
      <c r="BH57" s="626">
        <f t="shared" ca="1" si="64"/>
        <v>0</v>
      </c>
    </row>
    <row r="58" spans="1:60" x14ac:dyDescent="0.2">
      <c r="A58" s="318">
        <v>2041</v>
      </c>
      <c r="B58" s="817">
        <f t="shared" si="71"/>
        <v>100224.6</v>
      </c>
      <c r="C58" s="818">
        <f t="shared" si="71"/>
        <v>5059.7700000000004</v>
      </c>
      <c r="D58" s="818">
        <f t="shared" si="71"/>
        <v>5123.97</v>
      </c>
      <c r="E58" s="818">
        <f t="shared" si="71"/>
        <v>11472.42</v>
      </c>
      <c r="F58" s="818">
        <f t="shared" si="71"/>
        <v>23068.48</v>
      </c>
      <c r="G58" s="819">
        <f t="shared" si="71"/>
        <v>25842.17</v>
      </c>
      <c r="H58" s="781">
        <f t="shared" si="72"/>
        <v>1</v>
      </c>
      <c r="I58" s="782">
        <f t="shared" si="72"/>
        <v>1</v>
      </c>
      <c r="J58" s="782">
        <f t="shared" si="72"/>
        <v>1</v>
      </c>
      <c r="K58" s="782">
        <f t="shared" si="72"/>
        <v>1</v>
      </c>
      <c r="L58" s="782">
        <f t="shared" si="72"/>
        <v>0.8226451665814466</v>
      </c>
      <c r="M58" s="783">
        <f t="shared" si="72"/>
        <v>1</v>
      </c>
      <c r="N58" s="736">
        <f t="shared" si="32"/>
        <v>7990.765526041313</v>
      </c>
      <c r="O58" s="632">
        <f t="shared" si="33"/>
        <v>6749.5221137611215</v>
      </c>
      <c r="P58" s="632">
        <f t="shared" si="34"/>
        <v>6368.0699612400385</v>
      </c>
      <c r="Q58" s="632">
        <f t="shared" si="35"/>
        <v>5655.7451133331178</v>
      </c>
      <c r="R58" s="632">
        <f t="shared" si="36"/>
        <v>5428.6272049106428</v>
      </c>
      <c r="S58" s="745">
        <f t="shared" si="37"/>
        <v>5894.5491354789219</v>
      </c>
      <c r="T58" s="736">
        <f t="shared" si="38"/>
        <v>1241.2434122801915</v>
      </c>
      <c r="U58" s="632">
        <f t="shared" si="39"/>
        <v>1622.6955648012745</v>
      </c>
      <c r="V58" s="632">
        <f t="shared" si="40"/>
        <v>2335.0204127081952</v>
      </c>
      <c r="W58" s="632">
        <f t="shared" si="41"/>
        <v>2562.1383211306702</v>
      </c>
      <c r="X58" s="633">
        <f t="shared" si="42"/>
        <v>2096.2163905623911</v>
      </c>
      <c r="Y58" s="634">
        <f ca="1">IF(AND(Y$22=TRUE,INDEX(CDRANGE_CLS3,MATCH($A58,$A$24:$A$67,0),MATCH(Y$20,$B$20:$G$20,0))&lt;$D$6/OPDAYS_Cls3),86,payback(C58,T58,disc_rate/12,85))</f>
        <v>5</v>
      </c>
      <c r="Z58" s="635">
        <f ca="1">IF(AND(Z$22=TRUE,INDEX(CDRANGE_CLS3,MATCH($A58,$A$24:$A$67,0),MATCH(Z$20,$B$20:$G$20,0))&lt;$D$6/OPDAYS_Cls3),86,payback(D58,U58,disc_rate/12,85))</f>
        <v>4</v>
      </c>
      <c r="AA58" s="635">
        <f ca="1">IF(AND(AA$22=TRUE,INDEX(CDRANGE_CLS3,MATCH($A58,$A$24:$A$67,0),MATCH(AA$20,$B$20:$G$20,0))&lt;$D$6/OPDAYS_Cls3),86,payback(E58,V58,disc_rate/12,85))</f>
        <v>6</v>
      </c>
      <c r="AB58" s="635">
        <f ca="1">IF(AND(AB$22=TRUE,INDEX(CDRANGE_CLS3,MATCH($A58,$A$24:$A$67,0),MATCH(AB$20,$B$20:$G$20,0))&lt;$D$6/OPDAYS_Cls3),86,payback(F58,W58,disc_rate/12,85))</f>
        <v>10</v>
      </c>
      <c r="AC58" s="893">
        <f>IF(AND(AC$22=TRUE,INDEX(CDRANGE_CLS3,MATCH($A58,$A$24:$A$67,0),MATCH(AC$20,$B$20:$G$20,0))&lt;$D$6/OPDAYS_Cls3),86,payback(G58,X58,disc_rate/12,85))</f>
        <v>86</v>
      </c>
      <c r="AD58" s="637">
        <f t="shared" si="43"/>
        <v>0</v>
      </c>
      <c r="AE58" s="638">
        <f t="shared" si="44"/>
        <v>0</v>
      </c>
      <c r="AF58" s="638">
        <f t="shared" si="45"/>
        <v>0</v>
      </c>
      <c r="AG58" s="638">
        <f t="shared" si="46"/>
        <v>0</v>
      </c>
      <c r="AH58" s="639">
        <f t="shared" si="47"/>
        <v>0</v>
      </c>
      <c r="AI58" s="640">
        <f t="shared" si="48"/>
        <v>0.49999994373241896</v>
      </c>
      <c r="AJ58" s="641">
        <f t="shared" si="49"/>
        <v>0.49999994373241896</v>
      </c>
      <c r="AK58" s="641">
        <f t="shared" si="50"/>
        <v>0.49999994373241896</v>
      </c>
      <c r="AL58" s="641">
        <f t="shared" si="51"/>
        <v>0.49999994373241896</v>
      </c>
      <c r="AM58" s="642">
        <f t="shared" si="52"/>
        <v>0.4946830490538891</v>
      </c>
      <c r="AN58" s="643">
        <f t="shared" si="65"/>
        <v>0.99294537435345864</v>
      </c>
      <c r="AO58" s="641">
        <f t="shared" si="65"/>
        <v>0.99276586905801067</v>
      </c>
      <c r="AP58" s="641">
        <f t="shared" si="65"/>
        <v>0.96425794685830035</v>
      </c>
      <c r="AQ58" s="641">
        <f t="shared" si="65"/>
        <v>0.86315673426614614</v>
      </c>
      <c r="AR58" s="642">
        <f t="shared" si="65"/>
        <v>0.83137490100019595</v>
      </c>
      <c r="AS58" s="637">
        <f t="shared" ca="1" si="54"/>
        <v>0.99999988746483792</v>
      </c>
      <c r="AT58" s="638">
        <f t="shared" ca="1" si="55"/>
        <v>0.99999988746483792</v>
      </c>
      <c r="AU58" s="638">
        <f t="shared" ca="1" si="56"/>
        <v>0.99999988746483792</v>
      </c>
      <c r="AV58" s="638">
        <f t="shared" ca="1" si="57"/>
        <v>0.96103038377811312</v>
      </c>
      <c r="AW58" s="639">
        <f t="shared" si="58"/>
        <v>0</v>
      </c>
      <c r="AX58" s="637">
        <f t="shared" ca="1" si="59"/>
        <v>0.99294526261218996</v>
      </c>
      <c r="AY58" s="638">
        <f t="shared" ca="1" si="59"/>
        <v>0.99276575733694272</v>
      </c>
      <c r="AZ58" s="638">
        <f t="shared" ca="1" si="59"/>
        <v>0.96425783834537604</v>
      </c>
      <c r="BA58" s="638">
        <f t="shared" ca="1" si="59"/>
        <v>0.82951984759245723</v>
      </c>
      <c r="BB58" s="639">
        <f t="shared" si="59"/>
        <v>0</v>
      </c>
      <c r="BC58" s="637">
        <f t="shared" ca="1" si="66"/>
        <v>7.0547373878100395E-3</v>
      </c>
      <c r="BD58" s="638">
        <f t="shared" ca="1" si="60"/>
        <v>0.26086605127521123</v>
      </c>
      <c r="BE58" s="638">
        <f t="shared" ca="1" si="61"/>
        <v>0.2608188917447718</v>
      </c>
      <c r="BF58" s="638">
        <f t="shared" ca="1" si="62"/>
        <v>0.25332930642982765</v>
      </c>
      <c r="BG58" s="638">
        <f t="shared" ca="1" si="63"/>
        <v>0.21793101316237928</v>
      </c>
      <c r="BH58" s="639">
        <f t="shared" ca="1" si="64"/>
        <v>0</v>
      </c>
    </row>
    <row r="59" spans="1:60" x14ac:dyDescent="0.2">
      <c r="A59" s="317">
        <v>2042</v>
      </c>
      <c r="B59" s="820">
        <f t="shared" si="71"/>
        <v>100224.6</v>
      </c>
      <c r="C59" s="821">
        <f t="shared" si="71"/>
        <v>5059.7700000000004</v>
      </c>
      <c r="D59" s="821">
        <f t="shared" si="71"/>
        <v>5123.97</v>
      </c>
      <c r="E59" s="821">
        <f t="shared" si="71"/>
        <v>11472.42</v>
      </c>
      <c r="F59" s="821">
        <f t="shared" si="71"/>
        <v>23083.15</v>
      </c>
      <c r="G59" s="822">
        <f t="shared" si="71"/>
        <v>25482.07</v>
      </c>
      <c r="H59" s="781">
        <f t="shared" si="72"/>
        <v>1</v>
      </c>
      <c r="I59" s="782">
        <f t="shared" si="72"/>
        <v>1</v>
      </c>
      <c r="J59" s="782">
        <f t="shared" si="72"/>
        <v>1</v>
      </c>
      <c r="K59" s="782">
        <f t="shared" si="72"/>
        <v>1</v>
      </c>
      <c r="L59" s="782">
        <f t="shared" si="72"/>
        <v>0.82231626019581383</v>
      </c>
      <c r="M59" s="783">
        <f t="shared" si="72"/>
        <v>1</v>
      </c>
      <c r="N59" s="733">
        <f t="shared" si="32"/>
        <v>8105.9154559249791</v>
      </c>
      <c r="O59" s="276">
        <f t="shared" si="33"/>
        <v>6846.7852602788089</v>
      </c>
      <c r="P59" s="276">
        <f t="shared" si="34"/>
        <v>6459.836239094313</v>
      </c>
      <c r="Q59" s="276">
        <f t="shared" si="35"/>
        <v>5737.2465228185793</v>
      </c>
      <c r="R59" s="276">
        <f t="shared" si="36"/>
        <v>5389.4727105203428</v>
      </c>
      <c r="S59" s="278">
        <f t="shared" si="37"/>
        <v>5436.8517235453919</v>
      </c>
      <c r="T59" s="734">
        <f t="shared" si="38"/>
        <v>1259.1301956461703</v>
      </c>
      <c r="U59" s="290">
        <f t="shared" si="39"/>
        <v>1646.0792168306662</v>
      </c>
      <c r="V59" s="290">
        <f t="shared" si="40"/>
        <v>2368.6689331063999</v>
      </c>
      <c r="W59" s="290">
        <f t="shared" si="41"/>
        <v>2716.4427454046363</v>
      </c>
      <c r="X59" s="291">
        <f t="shared" si="42"/>
        <v>2669.0637323795872</v>
      </c>
      <c r="Y59" s="279">
        <f ca="1">IF(AND(Y$22=TRUE,INDEX(CDRANGE_CLS3,MATCH($A59,$A$24:$A$67,0),MATCH(Y$20,$B$20:$G$20,0))&lt;$D$6/OPDAYS_Cls3),86,payback(C59,T59,disc_rate/12,85))</f>
        <v>5</v>
      </c>
      <c r="Z59" s="280">
        <f ca="1">IF(AND(Z$22=TRUE,INDEX(CDRANGE_CLS3,MATCH($A59,$A$24:$A$67,0),MATCH(Z$20,$B$20:$G$20,0))&lt;$D$6/OPDAYS_Cls3),86,payback(D59,U59,disc_rate/12,85))</f>
        <v>4</v>
      </c>
      <c r="AA59" s="280">
        <f ca="1">IF(AND(AA$22=TRUE,INDEX(CDRANGE_CLS3,MATCH($A59,$A$24:$A$67,0),MATCH(AA$20,$B$20:$G$20,0))&lt;$D$6/OPDAYS_Cls3),86,payback(E59,V59,disc_rate/12,85))</f>
        <v>5</v>
      </c>
      <c r="AB59" s="280">
        <f ca="1">IF(AND(AB$22=TRUE,INDEX(CDRANGE_CLS3,MATCH($A59,$A$24:$A$67,0),MATCH(AB$20,$B$20:$G$20,0))&lt;$D$6/OPDAYS_Cls3),86,payback(F59,W59,disc_rate/12,85))</f>
        <v>9</v>
      </c>
      <c r="AC59" s="281">
        <f>IF(AND(AC$22=TRUE,INDEX(CDRANGE_CLS3,MATCH($A59,$A$24:$A$67,0),MATCH(AC$20,$B$20:$G$20,0))&lt;$D$6/OPDAYS_Cls3),86,payback(G59,X59,disc_rate/12,85))</f>
        <v>86</v>
      </c>
      <c r="AD59" s="296">
        <f t="shared" si="43"/>
        <v>0</v>
      </c>
      <c r="AE59" s="297">
        <f t="shared" si="44"/>
        <v>0</v>
      </c>
      <c r="AF59" s="297">
        <f t="shared" si="45"/>
        <v>0</v>
      </c>
      <c r="AG59" s="297">
        <f t="shared" si="46"/>
        <v>0</v>
      </c>
      <c r="AH59" s="298">
        <f t="shared" si="47"/>
        <v>0</v>
      </c>
      <c r="AI59" s="595">
        <f t="shared" si="48"/>
        <v>0.4999999793003122</v>
      </c>
      <c r="AJ59" s="300">
        <f t="shared" si="49"/>
        <v>0.4999999793003122</v>
      </c>
      <c r="AK59" s="300">
        <f t="shared" si="50"/>
        <v>0.4999999793003122</v>
      </c>
      <c r="AL59" s="300">
        <f t="shared" si="51"/>
        <v>0.4999999793003122</v>
      </c>
      <c r="AM59" s="598">
        <f t="shared" si="52"/>
        <v>0.49759711881379698</v>
      </c>
      <c r="AN59" s="299">
        <f t="shared" si="65"/>
        <v>0.99294537435345864</v>
      </c>
      <c r="AO59" s="300">
        <f t="shared" si="65"/>
        <v>0.99276586905801067</v>
      </c>
      <c r="AP59" s="300">
        <f t="shared" si="65"/>
        <v>0.96425794685830035</v>
      </c>
      <c r="AQ59" s="300">
        <f t="shared" si="65"/>
        <v>0.86299514407218458</v>
      </c>
      <c r="AR59" s="598">
        <f t="shared" si="65"/>
        <v>0.83563482328980565</v>
      </c>
      <c r="AS59" s="296">
        <f t="shared" ca="1" si="54"/>
        <v>0.99999995860062441</v>
      </c>
      <c r="AT59" s="297">
        <f t="shared" ca="1" si="55"/>
        <v>0.99999995860062441</v>
      </c>
      <c r="AU59" s="297">
        <f t="shared" ca="1" si="56"/>
        <v>0.99999995860062441</v>
      </c>
      <c r="AV59" s="297">
        <f t="shared" ca="1" si="57"/>
        <v>0.97659513127389064</v>
      </c>
      <c r="AW59" s="298">
        <f t="shared" si="58"/>
        <v>0</v>
      </c>
      <c r="AX59" s="296">
        <f t="shared" ca="1" si="59"/>
        <v>0.99294533324614009</v>
      </c>
      <c r="AY59" s="297">
        <f t="shared" ca="1" si="59"/>
        <v>0.99276582795812363</v>
      </c>
      <c r="AZ59" s="297">
        <f t="shared" ca="1" si="59"/>
        <v>0.96425790693862345</v>
      </c>
      <c r="BA59" s="297">
        <f t="shared" ca="1" si="59"/>
        <v>0.8427968560139053</v>
      </c>
      <c r="BB59" s="298">
        <f t="shared" si="59"/>
        <v>0</v>
      </c>
      <c r="BC59" s="296">
        <f t="shared" ca="1" si="66"/>
        <v>7.0546667538599062E-3</v>
      </c>
      <c r="BD59" s="297">
        <f t="shared" ca="1" si="60"/>
        <v>0.25995288254823756</v>
      </c>
      <c r="BE59" s="297">
        <f t="shared" ca="1" si="61"/>
        <v>0.25990588810102055</v>
      </c>
      <c r="BF59" s="297">
        <f t="shared" ca="1" si="62"/>
        <v>0.2524425202837316</v>
      </c>
      <c r="BG59" s="297">
        <f t="shared" ca="1" si="63"/>
        <v>0.22064404231315041</v>
      </c>
      <c r="BH59" s="298">
        <f t="shared" ca="1" si="64"/>
        <v>0</v>
      </c>
    </row>
    <row r="60" spans="1:60" x14ac:dyDescent="0.2">
      <c r="A60" s="317">
        <v>2043</v>
      </c>
      <c r="B60" s="820">
        <f t="shared" si="71"/>
        <v>100224.6</v>
      </c>
      <c r="C60" s="821">
        <f t="shared" si="71"/>
        <v>5059.7700000000004</v>
      </c>
      <c r="D60" s="821">
        <f t="shared" si="71"/>
        <v>5123.97</v>
      </c>
      <c r="E60" s="821">
        <f t="shared" si="71"/>
        <v>11472.42</v>
      </c>
      <c r="F60" s="821">
        <f t="shared" si="71"/>
        <v>23097.81</v>
      </c>
      <c r="G60" s="822">
        <f t="shared" si="71"/>
        <v>25121.96</v>
      </c>
      <c r="H60" s="781">
        <f t="shared" si="72"/>
        <v>1</v>
      </c>
      <c r="I60" s="782">
        <f t="shared" si="72"/>
        <v>1</v>
      </c>
      <c r="J60" s="782">
        <f t="shared" si="72"/>
        <v>1</v>
      </c>
      <c r="K60" s="782">
        <f t="shared" si="72"/>
        <v>1</v>
      </c>
      <c r="L60" s="782">
        <f t="shared" si="72"/>
        <v>0.82198735381018095</v>
      </c>
      <c r="M60" s="783">
        <f t="shared" si="72"/>
        <v>1</v>
      </c>
      <c r="N60" s="733">
        <f t="shared" si="32"/>
        <v>8153.0224627055622</v>
      </c>
      <c r="O60" s="276">
        <f t="shared" si="33"/>
        <v>6886.5749128399402</v>
      </c>
      <c r="P60" s="276">
        <f t="shared" si="34"/>
        <v>6497.3771622844324</v>
      </c>
      <c r="Q60" s="276">
        <f t="shared" si="35"/>
        <v>5770.5881623066571</v>
      </c>
      <c r="R60" s="276">
        <f t="shared" si="36"/>
        <v>5294.3315888766138</v>
      </c>
      <c r="S60" s="278">
        <f t="shared" si="37"/>
        <v>4873.7821190452514</v>
      </c>
      <c r="T60" s="734">
        <f t="shared" si="38"/>
        <v>1266.447549865622</v>
      </c>
      <c r="U60" s="290">
        <f t="shared" si="39"/>
        <v>1655.6453004211298</v>
      </c>
      <c r="V60" s="290">
        <f t="shared" si="40"/>
        <v>2382.4343003989052</v>
      </c>
      <c r="W60" s="290">
        <f t="shared" si="41"/>
        <v>2858.6908738289485</v>
      </c>
      <c r="X60" s="291">
        <f t="shared" si="42"/>
        <v>3279.2403436603108</v>
      </c>
      <c r="Y60" s="279">
        <f ca="1">IF(AND(Y$22=TRUE,INDEX(CDRANGE_CLS3,MATCH($A60,$A$24:$A$67,0),MATCH(Y$20,$B$20:$G$20,0))&lt;$D$6/OPDAYS_Cls3),86,payback(C60,T60,disc_rate/12,85))</f>
        <v>5</v>
      </c>
      <c r="Z60" s="280">
        <f ca="1">IF(AND(Z$22=TRUE,INDEX(CDRANGE_CLS3,MATCH($A60,$A$24:$A$67,0),MATCH(Z$20,$B$20:$G$20,0))&lt;$D$6/OPDAYS_Cls3),86,payback(D60,U60,disc_rate/12,85))</f>
        <v>4</v>
      </c>
      <c r="AA60" s="280">
        <f ca="1">IF(AND(AA$22=TRUE,INDEX(CDRANGE_CLS3,MATCH($A60,$A$24:$A$67,0),MATCH(AA$20,$B$20:$G$20,0))&lt;$D$6/OPDAYS_Cls3),86,payback(E60,V60,disc_rate/12,85))</f>
        <v>5</v>
      </c>
      <c r="AB60" s="280">
        <f ca="1">IF(AND(AB$22=TRUE,INDEX(CDRANGE_CLS3,MATCH($A60,$A$24:$A$67,0),MATCH(AB$20,$B$20:$G$20,0))&lt;$D$6/OPDAYS_Cls3),86,payback(F60,W60,disc_rate/12,85))</f>
        <v>9</v>
      </c>
      <c r="AC60" s="281">
        <f>IF(AND(AC$22=TRUE,INDEX(CDRANGE_CLS3,MATCH($A60,$A$24:$A$67,0),MATCH(AC$20,$B$20:$G$20,0))&lt;$D$6/OPDAYS_Cls3),86,payback(G60,X60,disc_rate/12,85))</f>
        <v>86</v>
      </c>
      <c r="AD60" s="296">
        <f t="shared" si="43"/>
        <v>0</v>
      </c>
      <c r="AE60" s="297">
        <f t="shared" si="44"/>
        <v>0</v>
      </c>
      <c r="AF60" s="297">
        <f t="shared" si="45"/>
        <v>0</v>
      </c>
      <c r="AG60" s="297">
        <f t="shared" si="46"/>
        <v>0</v>
      </c>
      <c r="AH60" s="298">
        <f t="shared" si="47"/>
        <v>0</v>
      </c>
      <c r="AI60" s="595">
        <f t="shared" si="48"/>
        <v>0.49999999238501025</v>
      </c>
      <c r="AJ60" s="300">
        <f t="shared" si="49"/>
        <v>0.49999999238501025</v>
      </c>
      <c r="AK60" s="300">
        <f t="shared" si="50"/>
        <v>0.49999999238501025</v>
      </c>
      <c r="AL60" s="300">
        <f t="shared" si="51"/>
        <v>0.49999999238501025</v>
      </c>
      <c r="AM60" s="598">
        <f t="shared" si="52"/>
        <v>0.49866062269435391</v>
      </c>
      <c r="AN60" s="299">
        <f t="shared" si="65"/>
        <v>0.99294537435345864</v>
      </c>
      <c r="AO60" s="300">
        <f t="shared" si="65"/>
        <v>0.99276586905801067</v>
      </c>
      <c r="AP60" s="300">
        <f t="shared" si="65"/>
        <v>0.96425794685830035</v>
      </c>
      <c r="AQ60" s="300">
        <f t="shared" si="65"/>
        <v>0.86283359165444573</v>
      </c>
      <c r="AR60" s="598">
        <f t="shared" si="65"/>
        <v>0.83985645534596465</v>
      </c>
      <c r="AS60" s="296">
        <f t="shared" ca="1" si="54"/>
        <v>0.9999999847700205</v>
      </c>
      <c r="AT60" s="297">
        <f t="shared" ca="1" si="55"/>
        <v>0.9999999847700205</v>
      </c>
      <c r="AU60" s="297">
        <f t="shared" ca="1" si="56"/>
        <v>0.9999999847700205</v>
      </c>
      <c r="AV60" s="297">
        <f t="shared" ca="1" si="57"/>
        <v>0.97659515683079656</v>
      </c>
      <c r="AW60" s="298">
        <f t="shared" si="58"/>
        <v>0</v>
      </c>
      <c r="AX60" s="296">
        <f t="shared" ca="1" si="59"/>
        <v>0.99294535923092098</v>
      </c>
      <c r="AY60" s="297">
        <f t="shared" ca="1" si="59"/>
        <v>0.99276585393820682</v>
      </c>
      <c r="AZ60" s="297">
        <f t="shared" ca="1" si="59"/>
        <v>0.96425793217267164</v>
      </c>
      <c r="BA60" s="297">
        <f t="shared" ca="1" si="59"/>
        <v>0.8426391067606529</v>
      </c>
      <c r="BB60" s="298">
        <f t="shared" si="59"/>
        <v>0</v>
      </c>
      <c r="BC60" s="296">
        <f t="shared" ca="1" si="66"/>
        <v>7.0546407690790236E-3</v>
      </c>
      <c r="BD60" s="297">
        <f t="shared" ca="1" si="60"/>
        <v>0.25996370330936802</v>
      </c>
      <c r="BE60" s="297">
        <f t="shared" ca="1" si="61"/>
        <v>0.25991670690596697</v>
      </c>
      <c r="BF60" s="297">
        <f t="shared" ca="1" si="62"/>
        <v>0.25245302841960754</v>
      </c>
      <c r="BG60" s="297">
        <f t="shared" ca="1" si="63"/>
        <v>0.22061192059597845</v>
      </c>
      <c r="BH60" s="298">
        <f t="shared" ca="1" si="64"/>
        <v>0</v>
      </c>
    </row>
    <row r="61" spans="1:60" x14ac:dyDescent="0.2">
      <c r="A61" s="317">
        <v>2044</v>
      </c>
      <c r="B61" s="820">
        <f t="shared" si="71"/>
        <v>100224.6</v>
      </c>
      <c r="C61" s="821">
        <f t="shared" si="71"/>
        <v>5059.7700000000004</v>
      </c>
      <c r="D61" s="821">
        <f t="shared" si="71"/>
        <v>5123.97</v>
      </c>
      <c r="E61" s="821">
        <f t="shared" si="71"/>
        <v>11472.42</v>
      </c>
      <c r="F61" s="821">
        <f t="shared" si="71"/>
        <v>23112.48</v>
      </c>
      <c r="G61" s="822">
        <f t="shared" si="71"/>
        <v>24761.86</v>
      </c>
      <c r="H61" s="781">
        <f t="shared" si="72"/>
        <v>1</v>
      </c>
      <c r="I61" s="782">
        <f t="shared" si="72"/>
        <v>1</v>
      </c>
      <c r="J61" s="782">
        <f t="shared" si="72"/>
        <v>1</v>
      </c>
      <c r="K61" s="782">
        <f t="shared" si="72"/>
        <v>1</v>
      </c>
      <c r="L61" s="782">
        <f t="shared" si="72"/>
        <v>0.82165844742454819</v>
      </c>
      <c r="M61" s="783">
        <f t="shared" si="72"/>
        <v>1</v>
      </c>
      <c r="N61" s="733">
        <f t="shared" si="32"/>
        <v>8214.6094707803495</v>
      </c>
      <c r="O61" s="276">
        <f t="shared" si="33"/>
        <v>6938.595319591519</v>
      </c>
      <c r="P61" s="276">
        <f t="shared" si="34"/>
        <v>6546.4576133182636</v>
      </c>
      <c r="Q61" s="276">
        <f t="shared" si="35"/>
        <v>5814.1785315683555</v>
      </c>
      <c r="R61" s="276">
        <f t="shared" si="36"/>
        <v>5205.6441229898119</v>
      </c>
      <c r="S61" s="278">
        <f t="shared" si="37"/>
        <v>4304.5141076350046</v>
      </c>
      <c r="T61" s="734">
        <f t="shared" si="38"/>
        <v>1276.0141511888305</v>
      </c>
      <c r="U61" s="290">
        <f t="shared" si="39"/>
        <v>1668.1518574620859</v>
      </c>
      <c r="V61" s="290">
        <f t="shared" si="40"/>
        <v>2400.430939211994</v>
      </c>
      <c r="W61" s="290">
        <f t="shared" si="41"/>
        <v>3008.9653477905376</v>
      </c>
      <c r="X61" s="291">
        <f t="shared" si="42"/>
        <v>3910.0953631453449</v>
      </c>
      <c r="Y61" s="279">
        <f ca="1">IF(AND(Y$22=TRUE,INDEX(CDRANGE_CLS3,MATCH($A61,$A$24:$A$67,0),MATCH(Y$20,$B$20:$G$20,0))&lt;$D$6/OPDAYS_Cls3),86,payback(C61,T61,disc_rate/12,85))</f>
        <v>5</v>
      </c>
      <c r="Z61" s="280">
        <f ca="1">IF(AND(Z$22=TRUE,INDEX(CDRANGE_CLS3,MATCH($A61,$A$24:$A$67,0),MATCH(Z$20,$B$20:$G$20,0))&lt;$D$6/OPDAYS_Cls3),86,payback(D61,U61,disc_rate/12,85))</f>
        <v>4</v>
      </c>
      <c r="AA61" s="280">
        <f ca="1">IF(AND(AA$22=TRUE,INDEX(CDRANGE_CLS3,MATCH($A61,$A$24:$A$67,0),MATCH(AA$20,$B$20:$G$20,0))&lt;$D$6/OPDAYS_Cls3),86,payback(E61,V61,disc_rate/12,85))</f>
        <v>5</v>
      </c>
      <c r="AB61" s="280">
        <f ca="1">IF(AND(AB$22=TRUE,INDEX(CDRANGE_CLS3,MATCH($A61,$A$24:$A$67,0),MATCH(AB$20,$B$20:$G$20,0))&lt;$D$6/OPDAYS_Cls3),86,payback(F61,W61,disc_rate/12,85))</f>
        <v>8</v>
      </c>
      <c r="AC61" s="281">
        <f>IF(AND(AC$22=TRUE,INDEX(CDRANGE_CLS3,MATCH($A61,$A$24:$A$67,0),MATCH(AC$20,$B$20:$G$20,0))&lt;$D$6/OPDAYS_Cls3),86,payback(G61,X61,disc_rate/12,85))</f>
        <v>86</v>
      </c>
      <c r="AD61" s="296">
        <f t="shared" si="43"/>
        <v>0</v>
      </c>
      <c r="AE61" s="297">
        <f t="shared" si="44"/>
        <v>0</v>
      </c>
      <c r="AF61" s="297">
        <f t="shared" si="45"/>
        <v>0</v>
      </c>
      <c r="AG61" s="297">
        <f t="shared" si="46"/>
        <v>0</v>
      </c>
      <c r="AH61" s="298">
        <f t="shared" si="47"/>
        <v>0</v>
      </c>
      <c r="AI61" s="595">
        <f t="shared" si="48"/>
        <v>0.49999999719860178</v>
      </c>
      <c r="AJ61" s="300">
        <f t="shared" si="49"/>
        <v>0.49999999719860178</v>
      </c>
      <c r="AK61" s="300">
        <f t="shared" si="50"/>
        <v>0.49999999719860178</v>
      </c>
      <c r="AL61" s="300">
        <f t="shared" si="51"/>
        <v>0.49999999719860178</v>
      </c>
      <c r="AM61" s="598">
        <f t="shared" si="52"/>
        <v>0.4992875089834975</v>
      </c>
      <c r="AN61" s="299">
        <f t="shared" si="65"/>
        <v>0.99294537435345864</v>
      </c>
      <c r="AO61" s="300">
        <f t="shared" si="65"/>
        <v>0.99276586905801067</v>
      </c>
      <c r="AP61" s="300">
        <f t="shared" si="65"/>
        <v>0.96425794685830035</v>
      </c>
      <c r="AQ61" s="300">
        <f t="shared" si="65"/>
        <v>0.86267185666601875</v>
      </c>
      <c r="AR61" s="598">
        <f t="shared" si="65"/>
        <v>0.84403876163939762</v>
      </c>
      <c r="AS61" s="296">
        <f t="shared" ca="1" si="54"/>
        <v>0.99999999439720355</v>
      </c>
      <c r="AT61" s="297">
        <f t="shared" ca="1" si="55"/>
        <v>0.99999999439720355</v>
      </c>
      <c r="AU61" s="297">
        <f t="shared" ca="1" si="56"/>
        <v>0.99999999439720355</v>
      </c>
      <c r="AV61" s="297">
        <f t="shared" ca="1" si="57"/>
        <v>0.9886499544746119</v>
      </c>
      <c r="AW61" s="298">
        <f t="shared" si="58"/>
        <v>0</v>
      </c>
      <c r="AX61" s="296">
        <f t="shared" ca="1" si="59"/>
        <v>0.9929453687901878</v>
      </c>
      <c r="AY61" s="297">
        <f t="shared" ca="1" si="59"/>
        <v>0.99276586349574558</v>
      </c>
      <c r="AZ61" s="297">
        <f t="shared" ca="1" si="59"/>
        <v>0.96425794145575938</v>
      </c>
      <c r="BA61" s="297">
        <f t="shared" ca="1" si="59"/>
        <v>0.85288049181938841</v>
      </c>
      <c r="BB61" s="298">
        <f t="shared" si="59"/>
        <v>0</v>
      </c>
      <c r="BC61" s="296">
        <f t="shared" ca="1" si="66"/>
        <v>7.05463120981209E-3</v>
      </c>
      <c r="BD61" s="297">
        <f t="shared" ca="1" si="60"/>
        <v>0.25926360285305</v>
      </c>
      <c r="BE61" s="297">
        <f t="shared" ca="1" si="61"/>
        <v>0.25921673301425413</v>
      </c>
      <c r="BF61" s="297">
        <f t="shared" ca="1" si="62"/>
        <v>0.25177315473668382</v>
      </c>
      <c r="BG61" s="297">
        <f t="shared" ca="1" si="63"/>
        <v>0.22269187818619993</v>
      </c>
      <c r="BH61" s="298">
        <f t="shared" ca="1" si="64"/>
        <v>0</v>
      </c>
    </row>
    <row r="62" spans="1:60" ht="15" thickBot="1" x14ac:dyDescent="0.25">
      <c r="A62" s="302">
        <v>2045</v>
      </c>
      <c r="B62" s="823">
        <f t="shared" si="71"/>
        <v>100224.6</v>
      </c>
      <c r="C62" s="824">
        <f t="shared" si="71"/>
        <v>5059.7700000000004</v>
      </c>
      <c r="D62" s="824">
        <f t="shared" si="71"/>
        <v>5123.97</v>
      </c>
      <c r="E62" s="824">
        <f t="shared" si="71"/>
        <v>11472.42</v>
      </c>
      <c r="F62" s="824">
        <f t="shared" si="71"/>
        <v>23127.15</v>
      </c>
      <c r="G62" s="825">
        <f t="shared" si="71"/>
        <v>24401.75</v>
      </c>
      <c r="H62" s="781">
        <f t="shared" si="72"/>
        <v>1</v>
      </c>
      <c r="I62" s="782">
        <f t="shared" si="72"/>
        <v>1</v>
      </c>
      <c r="J62" s="782">
        <f t="shared" si="72"/>
        <v>1</v>
      </c>
      <c r="K62" s="782">
        <f t="shared" si="72"/>
        <v>1</v>
      </c>
      <c r="L62" s="782">
        <f t="shared" si="72"/>
        <v>0.82132954103891542</v>
      </c>
      <c r="M62" s="783">
        <f t="shared" si="72"/>
        <v>1</v>
      </c>
      <c r="N62" s="884">
        <f t="shared" si="32"/>
        <v>8325.0814676808805</v>
      </c>
      <c r="O62" s="779">
        <f t="shared" si="33"/>
        <v>7031.9071785869464</v>
      </c>
      <c r="P62" s="779">
        <f t="shared" si="34"/>
        <v>6634.4959123683157</v>
      </c>
      <c r="Q62" s="779">
        <f t="shared" si="35"/>
        <v>5892.3689695926159</v>
      </c>
      <c r="R62" s="779">
        <f t="shared" si="36"/>
        <v>5154.6977925127103</v>
      </c>
      <c r="S62" s="780">
        <f t="shared" si="37"/>
        <v>3803.7990426074634</v>
      </c>
      <c r="T62" s="737">
        <f t="shared" si="38"/>
        <v>1293.174289093934</v>
      </c>
      <c r="U62" s="304">
        <f t="shared" si="39"/>
        <v>1690.5855553125648</v>
      </c>
      <c r="V62" s="304">
        <f t="shared" si="40"/>
        <v>2432.7124980882645</v>
      </c>
      <c r="W62" s="304">
        <f t="shared" si="41"/>
        <v>3170.3836751681702</v>
      </c>
      <c r="X62" s="305">
        <f t="shared" si="42"/>
        <v>4521.2824250734175</v>
      </c>
      <c r="Y62" s="889">
        <f ca="1">IF(AND(Y$22=TRUE,INDEX(CDRANGE_CLS3,MATCH($A62,$A$24:$A$67,0),MATCH(Y$20,$B$20:$G$20,0))&lt;$D$6/OPDAYS_Cls3),86,payback(C62,T62,disc_rate/12,85))</f>
        <v>4</v>
      </c>
      <c r="Z62" s="890">
        <f ca="1">IF(AND(Z$22=TRUE,INDEX(CDRANGE_CLS3,MATCH($A62,$A$24:$A$67,0),MATCH(Z$20,$B$20:$G$20,0))&lt;$D$6/OPDAYS_Cls3),86,payback(D62,U62,disc_rate/12,85))</f>
        <v>4</v>
      </c>
      <c r="AA62" s="890">
        <f ca="1">IF(AND(AA$22=TRUE,INDEX(CDRANGE_CLS3,MATCH($A62,$A$24:$A$67,0),MATCH(AA$20,$B$20:$G$20,0))&lt;$D$6/OPDAYS_Cls3),86,payback(E62,V62,disc_rate/12,85))</f>
        <v>5</v>
      </c>
      <c r="AB62" s="890">
        <f ca="1">IF(AND(AB$22=TRUE,INDEX(CDRANGE_CLS3,MATCH($A62,$A$24:$A$67,0),MATCH(AB$20,$B$20:$G$20,0))&lt;$D$6/OPDAYS_Cls3),86,payback(F62,W62,disc_rate/12,85))</f>
        <v>8</v>
      </c>
      <c r="AC62" s="891">
        <f>IF(AND(AC$22=TRUE,INDEX(CDRANGE_CLS3,MATCH($A62,$A$24:$A$67,0),MATCH(AC$20,$B$20:$G$20,0))&lt;$D$6/OPDAYS_Cls3),86,payback(G62,X62,disc_rate/12,85))</f>
        <v>86</v>
      </c>
      <c r="AD62" s="310">
        <f t="shared" si="43"/>
        <v>0</v>
      </c>
      <c r="AE62" s="311">
        <f t="shared" si="44"/>
        <v>0</v>
      </c>
      <c r="AF62" s="311">
        <f t="shared" si="45"/>
        <v>0</v>
      </c>
      <c r="AG62" s="311">
        <f t="shared" si="46"/>
        <v>0</v>
      </c>
      <c r="AH62" s="312">
        <f t="shared" si="47"/>
        <v>0</v>
      </c>
      <c r="AI62" s="596">
        <f t="shared" si="48"/>
        <v>0.49999999896942315</v>
      </c>
      <c r="AJ62" s="314">
        <f t="shared" si="49"/>
        <v>0.49999999896942315</v>
      </c>
      <c r="AK62" s="314">
        <f t="shared" si="50"/>
        <v>0.49999999896942315</v>
      </c>
      <c r="AL62" s="314">
        <f t="shared" si="51"/>
        <v>0.49999999896942315</v>
      </c>
      <c r="AM62" s="599">
        <f t="shared" si="52"/>
        <v>0.49974809901174622</v>
      </c>
      <c r="AN62" s="313">
        <f t="shared" si="65"/>
        <v>0.99294537435345864</v>
      </c>
      <c r="AO62" s="314">
        <f t="shared" si="65"/>
        <v>0.99276586905801067</v>
      </c>
      <c r="AP62" s="314">
        <f t="shared" si="65"/>
        <v>0.96425794685830035</v>
      </c>
      <c r="AQ62" s="314">
        <f t="shared" si="65"/>
        <v>0.86251004933375119</v>
      </c>
      <c r="AR62" s="599">
        <f t="shared" si="65"/>
        <v>0.84818117779943425</v>
      </c>
      <c r="AS62" s="310">
        <f t="shared" ca="1" si="54"/>
        <v>0.99999999793884631</v>
      </c>
      <c r="AT62" s="311">
        <f t="shared" ca="1" si="55"/>
        <v>0.99999999793884631</v>
      </c>
      <c r="AU62" s="311">
        <f t="shared" ca="1" si="56"/>
        <v>0.99999999793884631</v>
      </c>
      <c r="AV62" s="311">
        <f t="shared" ca="1" si="57"/>
        <v>0.98864995797605693</v>
      </c>
      <c r="AW62" s="312">
        <f t="shared" si="58"/>
        <v>0</v>
      </c>
      <c r="AX62" s="310">
        <f t="shared" ca="1" si="59"/>
        <v>0.99294537230684565</v>
      </c>
      <c r="AY62" s="311">
        <f t="shared" ca="1" si="59"/>
        <v>0.99276586701176761</v>
      </c>
      <c r="AZ62" s="311">
        <f t="shared" ca="1" si="59"/>
        <v>0.96425794487081651</v>
      </c>
      <c r="BA62" s="311">
        <f t="shared" ca="1" si="59"/>
        <v>0.8527205240277399</v>
      </c>
      <c r="BB62" s="312">
        <f t="shared" si="59"/>
        <v>0</v>
      </c>
      <c r="BC62" s="310">
        <f t="shared" ca="1" si="66"/>
        <v>7.0546276931542362E-3</v>
      </c>
      <c r="BD62" s="311">
        <f t="shared" ca="1" si="60"/>
        <v>0.25927451042220923</v>
      </c>
      <c r="BE62" s="311">
        <f t="shared" ca="1" si="61"/>
        <v>0.25922763861153608</v>
      </c>
      <c r="BF62" s="311">
        <f t="shared" ca="1" si="62"/>
        <v>0.25178374717259655</v>
      </c>
      <c r="BG62" s="311">
        <f t="shared" ca="1" si="63"/>
        <v>0.22265947610050382</v>
      </c>
      <c r="BH62" s="312">
        <f t="shared" ca="1" si="64"/>
        <v>0</v>
      </c>
    </row>
    <row r="63" spans="1:60" x14ac:dyDescent="0.2">
      <c r="A63" s="316">
        <v>2046</v>
      </c>
      <c r="B63" s="826">
        <f t="shared" si="71"/>
        <v>100224.6</v>
      </c>
      <c r="C63" s="827">
        <f t="shared" si="71"/>
        <v>5059.7700000000004</v>
      </c>
      <c r="D63" s="827">
        <f t="shared" si="71"/>
        <v>5123.97</v>
      </c>
      <c r="E63" s="827">
        <f t="shared" si="71"/>
        <v>11472.42</v>
      </c>
      <c r="F63" s="827">
        <f t="shared" si="71"/>
        <v>23141.82</v>
      </c>
      <c r="G63" s="828">
        <f t="shared" si="71"/>
        <v>24041.65</v>
      </c>
      <c r="H63" s="781">
        <f t="shared" si="72"/>
        <v>1</v>
      </c>
      <c r="I63" s="782">
        <f t="shared" si="72"/>
        <v>1</v>
      </c>
      <c r="J63" s="782">
        <f t="shared" si="72"/>
        <v>1</v>
      </c>
      <c r="K63" s="782">
        <f t="shared" si="72"/>
        <v>1</v>
      </c>
      <c r="L63" s="782">
        <f t="shared" si="72"/>
        <v>0.82100063465328255</v>
      </c>
      <c r="M63" s="783">
        <f t="shared" si="72"/>
        <v>1</v>
      </c>
      <c r="N63" s="736">
        <f t="shared" si="32"/>
        <v>8328.3372300167448</v>
      </c>
      <c r="O63" s="632">
        <f t="shared" si="33"/>
        <v>7034.6572079566531</v>
      </c>
      <c r="P63" s="632">
        <f t="shared" si="34"/>
        <v>6637.0905226424356</v>
      </c>
      <c r="Q63" s="632">
        <f t="shared" si="35"/>
        <v>5894.6733498001477</v>
      </c>
      <c r="R63" s="632">
        <f t="shared" si="36"/>
        <v>5067.8384928092846</v>
      </c>
      <c r="S63" s="745">
        <f t="shared" si="37"/>
        <v>3433.7026915617189</v>
      </c>
      <c r="T63" s="733">
        <f t="shared" si="38"/>
        <v>1293.6800220600917</v>
      </c>
      <c r="U63" s="276">
        <f t="shared" si="39"/>
        <v>1691.2467073743092</v>
      </c>
      <c r="V63" s="276">
        <f t="shared" si="40"/>
        <v>2433.6638802165971</v>
      </c>
      <c r="W63" s="276">
        <f t="shared" si="41"/>
        <v>3260.4987372074602</v>
      </c>
      <c r="X63" s="277">
        <f t="shared" si="42"/>
        <v>4894.6345384550259</v>
      </c>
      <c r="Y63" s="279">
        <f ca="1">IF(AND(Y$22=TRUE,INDEX(CDRANGE_CLS3,MATCH($A63,$A$24:$A$67,0),MATCH(Y$20,$B$20:$G$20,0))&lt;$D$6/OPDAYS_Cls3),86,payback(C63,T63,disc_rate/12,85))</f>
        <v>4</v>
      </c>
      <c r="Z63" s="280">
        <f ca="1">IF(AND(Z$22=TRUE,INDEX(CDRANGE_CLS3,MATCH($A63,$A$24:$A$67,0),MATCH(Z$20,$B$20:$G$20,0))&lt;$D$6/OPDAYS_Cls3),86,payback(D63,U63,disc_rate/12,85))</f>
        <v>4</v>
      </c>
      <c r="AA63" s="280">
        <f ca="1">IF(AND(AA$22=TRUE,INDEX(CDRANGE_CLS3,MATCH($A63,$A$24:$A$67,0),MATCH(AA$20,$B$20:$G$20,0))&lt;$D$6/OPDAYS_Cls3),86,payback(E63,V63,disc_rate/12,85))</f>
        <v>5</v>
      </c>
      <c r="AB63" s="280">
        <f ca="1">IF(AND(AB$22=TRUE,INDEX(CDRANGE_CLS3,MATCH($A63,$A$24:$A$67,0),MATCH(AB$20,$B$20:$G$20,0))&lt;$D$6/OPDAYS_Cls3),86,payback(F63,W63,disc_rate/12,85))</f>
        <v>8</v>
      </c>
      <c r="AC63" s="281">
        <f>IF(AND(AC$22=TRUE,INDEX(CDRANGE_CLS3,MATCH($A63,$A$24:$A$67,0),MATCH(AC$20,$B$20:$G$20,0))&lt;$D$6/OPDAYS_Cls3),86,payback(G63,X63,disc_rate/12,85))</f>
        <v>86</v>
      </c>
      <c r="AD63" s="282">
        <f t="shared" si="43"/>
        <v>0</v>
      </c>
      <c r="AE63" s="283">
        <f t="shared" si="44"/>
        <v>0</v>
      </c>
      <c r="AF63" s="283">
        <f t="shared" si="45"/>
        <v>0</v>
      </c>
      <c r="AG63" s="283">
        <f t="shared" si="46"/>
        <v>0</v>
      </c>
      <c r="AH63" s="284">
        <f t="shared" si="47"/>
        <v>0</v>
      </c>
      <c r="AI63" s="594">
        <f t="shared" si="48"/>
        <v>0.49999999962087194</v>
      </c>
      <c r="AJ63" s="286">
        <f t="shared" si="49"/>
        <v>0.49999999962087194</v>
      </c>
      <c r="AK63" s="286">
        <f t="shared" si="50"/>
        <v>0.49999999962087194</v>
      </c>
      <c r="AL63" s="286">
        <f t="shared" si="51"/>
        <v>0.49999999962087194</v>
      </c>
      <c r="AM63" s="611">
        <f t="shared" si="52"/>
        <v>0.49988204931764657</v>
      </c>
      <c r="AN63" s="285">
        <f t="shared" si="65"/>
        <v>0.99294537435345864</v>
      </c>
      <c r="AO63" s="286">
        <f t="shared" si="65"/>
        <v>0.99276586905801067</v>
      </c>
      <c r="AP63" s="286">
        <f t="shared" si="65"/>
        <v>0.96425794685830035</v>
      </c>
      <c r="AQ63" s="286">
        <f t="shared" si="65"/>
        <v>0.86234816970972705</v>
      </c>
      <c r="AR63" s="611">
        <f t="shared" si="65"/>
        <v>0.85228268182513889</v>
      </c>
      <c r="AS63" s="282">
        <f t="shared" ca="1" si="54"/>
        <v>0.99999999924174388</v>
      </c>
      <c r="AT63" s="283">
        <f t="shared" ca="1" si="55"/>
        <v>0.99999999924174388</v>
      </c>
      <c r="AU63" s="283">
        <f t="shared" ca="1" si="56"/>
        <v>0.99999999924174388</v>
      </c>
      <c r="AV63" s="283">
        <f t="shared" ca="1" si="57"/>
        <v>0.98864995926416654</v>
      </c>
      <c r="AW63" s="284">
        <f t="shared" si="58"/>
        <v>0</v>
      </c>
      <c r="AX63" s="282">
        <f t="shared" ca="1" si="59"/>
        <v>0.99294537360055168</v>
      </c>
      <c r="AY63" s="283">
        <f t="shared" ca="1" si="59"/>
        <v>0.99276586830523983</v>
      </c>
      <c r="AZ63" s="283">
        <f t="shared" ca="1" si="59"/>
        <v>0.96425794612714588</v>
      </c>
      <c r="BA63" s="283">
        <f t="shared" ca="1" si="59"/>
        <v>0.85256048285505026</v>
      </c>
      <c r="BB63" s="284">
        <f t="shared" si="59"/>
        <v>0</v>
      </c>
      <c r="BC63" s="282">
        <f t="shared" ca="1" si="66"/>
        <v>7.054626399448205E-3</v>
      </c>
      <c r="BD63" s="283">
        <f t="shared" ca="1" si="60"/>
        <v>0.25928542320210141</v>
      </c>
      <c r="BE63" s="283">
        <f t="shared" ca="1" si="61"/>
        <v>0.25923854941860897</v>
      </c>
      <c r="BF63" s="283">
        <f t="shared" ca="1" si="62"/>
        <v>0.25179434466869771</v>
      </c>
      <c r="BG63" s="283">
        <f t="shared" ca="1" si="63"/>
        <v>0.22262705631114368</v>
      </c>
      <c r="BH63" s="284">
        <f t="shared" ca="1" si="64"/>
        <v>0</v>
      </c>
    </row>
    <row r="64" spans="1:60" x14ac:dyDescent="0.2">
      <c r="A64" s="317">
        <v>2047</v>
      </c>
      <c r="B64" s="820">
        <f t="shared" si="71"/>
        <v>100224.6</v>
      </c>
      <c r="C64" s="821">
        <f t="shared" si="71"/>
        <v>5059.7700000000004</v>
      </c>
      <c r="D64" s="821">
        <f t="shared" si="71"/>
        <v>5123.97</v>
      </c>
      <c r="E64" s="821">
        <f t="shared" si="71"/>
        <v>11472.42</v>
      </c>
      <c r="F64" s="821">
        <f t="shared" si="71"/>
        <v>23156.48</v>
      </c>
      <c r="G64" s="822">
        <f t="shared" si="71"/>
        <v>23681.54</v>
      </c>
      <c r="H64" s="781">
        <f t="shared" si="72"/>
        <v>1</v>
      </c>
      <c r="I64" s="782">
        <f t="shared" si="72"/>
        <v>1</v>
      </c>
      <c r="J64" s="782">
        <f t="shared" si="72"/>
        <v>1</v>
      </c>
      <c r="K64" s="782">
        <f t="shared" si="72"/>
        <v>1</v>
      </c>
      <c r="L64" s="782">
        <f t="shared" si="72"/>
        <v>0.82067172826764978</v>
      </c>
      <c r="M64" s="783">
        <f t="shared" si="72"/>
        <v>1</v>
      </c>
      <c r="N64" s="733">
        <f t="shared" si="32"/>
        <v>8404.1984375447228</v>
      </c>
      <c r="O64" s="276">
        <f t="shared" si="33"/>
        <v>7098.7345352312495</v>
      </c>
      <c r="P64" s="276">
        <f t="shared" si="34"/>
        <v>6697.5464921372195</v>
      </c>
      <c r="Q64" s="276">
        <f t="shared" si="35"/>
        <v>5948.3667853501793</v>
      </c>
      <c r="R64" s="276">
        <f t="shared" si="36"/>
        <v>5044.7628210527228</v>
      </c>
      <c r="S64" s="278">
        <f t="shared" si="37"/>
        <v>3208.4471888361268</v>
      </c>
      <c r="T64" s="734">
        <f t="shared" si="38"/>
        <v>1305.4639023134732</v>
      </c>
      <c r="U64" s="290">
        <f t="shared" si="39"/>
        <v>1706.6519454075033</v>
      </c>
      <c r="V64" s="290">
        <f t="shared" si="40"/>
        <v>2455.8316521945435</v>
      </c>
      <c r="W64" s="290">
        <f t="shared" si="41"/>
        <v>3359.435616492</v>
      </c>
      <c r="X64" s="291">
        <f t="shared" si="42"/>
        <v>5195.751248708596</v>
      </c>
      <c r="Y64" s="279">
        <f ca="1">IF(AND(Y$22=TRUE,INDEX(CDRANGE_CLS3,MATCH($A64,$A$24:$A$67,0),MATCH(Y$20,$B$20:$G$20,0))&lt;$D$6/OPDAYS_Cls3),86,payback(C64,T64,disc_rate/12,85))</f>
        <v>4</v>
      </c>
      <c r="Z64" s="280">
        <f ca="1">IF(AND(Z$22=TRUE,INDEX(CDRANGE_CLS3,MATCH($A64,$A$24:$A$67,0),MATCH(Z$20,$B$20:$G$20,0))&lt;$D$6/OPDAYS_Cls3),86,payback(D64,U64,disc_rate/12,85))</f>
        <v>4</v>
      </c>
      <c r="AA64" s="280">
        <f ca="1">IF(AND(AA$22=TRUE,INDEX(CDRANGE_CLS3,MATCH($A64,$A$24:$A$67,0),MATCH(AA$20,$B$20:$G$20,0))&lt;$D$6/OPDAYS_Cls3),86,payback(E64,V64,disc_rate/12,85))</f>
        <v>5</v>
      </c>
      <c r="AB64" s="280">
        <f ca="1">IF(AND(AB$22=TRUE,INDEX(CDRANGE_CLS3,MATCH($A64,$A$24:$A$67,0),MATCH(AB$20,$B$20:$G$20,0))&lt;$D$6/OPDAYS_Cls3),86,payback(F64,W64,disc_rate/12,85))</f>
        <v>8</v>
      </c>
      <c r="AC64" s="281">
        <f>IF(AND(AC$22=TRUE,INDEX(CDRANGE_CLS3,MATCH($A64,$A$24:$A$67,0),MATCH(AC$20,$B$20:$G$20,0))&lt;$D$6/OPDAYS_Cls3),86,payback(G64,X64,disc_rate/12,85))</f>
        <v>86</v>
      </c>
      <c r="AD64" s="296">
        <f t="shared" si="43"/>
        <v>0</v>
      </c>
      <c r="AE64" s="297">
        <f t="shared" si="44"/>
        <v>0</v>
      </c>
      <c r="AF64" s="297">
        <f t="shared" si="45"/>
        <v>0</v>
      </c>
      <c r="AG64" s="297">
        <f t="shared" si="46"/>
        <v>0</v>
      </c>
      <c r="AH64" s="298">
        <f t="shared" si="47"/>
        <v>0</v>
      </c>
      <c r="AI64" s="595">
        <f t="shared" si="48"/>
        <v>0.49999999962087194</v>
      </c>
      <c r="AJ64" s="300">
        <f t="shared" si="49"/>
        <v>0.49999999962087194</v>
      </c>
      <c r="AK64" s="300">
        <f t="shared" si="50"/>
        <v>0.49999999962087194</v>
      </c>
      <c r="AL64" s="300">
        <f t="shared" si="51"/>
        <v>0.49999999962087194</v>
      </c>
      <c r="AM64" s="598">
        <f t="shared" si="52"/>
        <v>0.49996596978666119</v>
      </c>
      <c r="AN64" s="299">
        <f t="shared" si="65"/>
        <v>0.99294537435345864</v>
      </c>
      <c r="AO64" s="300">
        <f t="shared" si="65"/>
        <v>0.99276586905801067</v>
      </c>
      <c r="AP64" s="300">
        <f t="shared" si="65"/>
        <v>0.96425794685830035</v>
      </c>
      <c r="AQ64" s="300">
        <f t="shared" si="65"/>
        <v>0.86218632826727426</v>
      </c>
      <c r="AR64" s="598">
        <f t="shared" si="65"/>
        <v>0.85634271448917654</v>
      </c>
      <c r="AS64" s="296">
        <f t="shared" ca="1" si="54"/>
        <v>0.99999999924174388</v>
      </c>
      <c r="AT64" s="297">
        <f t="shared" ca="1" si="55"/>
        <v>0.99999999924174388</v>
      </c>
      <c r="AU64" s="297">
        <f t="shared" ca="1" si="56"/>
        <v>0.99999999924174388</v>
      </c>
      <c r="AV64" s="297">
        <f t="shared" ca="1" si="57"/>
        <v>0.98864995926416654</v>
      </c>
      <c r="AW64" s="298">
        <f t="shared" si="58"/>
        <v>0</v>
      </c>
      <c r="AX64" s="296">
        <f t="shared" ca="1" si="59"/>
        <v>0.99294537360055168</v>
      </c>
      <c r="AY64" s="297">
        <f t="shared" ca="1" si="59"/>
        <v>0.99276586830523983</v>
      </c>
      <c r="AZ64" s="297">
        <f t="shared" ca="1" si="59"/>
        <v>0.96425794612714588</v>
      </c>
      <c r="BA64" s="297">
        <f t="shared" ca="1" si="59"/>
        <v>0.852400478319562</v>
      </c>
      <c r="BB64" s="298">
        <f t="shared" si="59"/>
        <v>0</v>
      </c>
      <c r="BC64" s="296">
        <f t="shared" ca="1" si="66"/>
        <v>7.054626399448205E-3</v>
      </c>
      <c r="BD64" s="297">
        <f t="shared" ca="1" si="60"/>
        <v>0.25929633398862101</v>
      </c>
      <c r="BE64" s="297">
        <f t="shared" ca="1" si="61"/>
        <v>0.25924945823266971</v>
      </c>
      <c r="BF64" s="297">
        <f t="shared" ca="1" si="62"/>
        <v>0.25180494022901728</v>
      </c>
      <c r="BG64" s="297">
        <f t="shared" ca="1" si="63"/>
        <v>0.22259464115024372</v>
      </c>
      <c r="BH64" s="298">
        <f t="shared" ca="1" si="64"/>
        <v>0</v>
      </c>
    </row>
    <row r="65" spans="1:60" x14ac:dyDescent="0.2">
      <c r="A65" s="317">
        <v>2048</v>
      </c>
      <c r="B65" s="820">
        <f t="shared" si="71"/>
        <v>100224.6</v>
      </c>
      <c r="C65" s="821">
        <f t="shared" si="71"/>
        <v>5059.7700000000004</v>
      </c>
      <c r="D65" s="821">
        <f t="shared" si="71"/>
        <v>5123.97</v>
      </c>
      <c r="E65" s="821">
        <f t="shared" si="71"/>
        <v>11472.42</v>
      </c>
      <c r="F65" s="821">
        <f t="shared" si="71"/>
        <v>23171.15</v>
      </c>
      <c r="G65" s="822">
        <f t="shared" si="71"/>
        <v>23321.43</v>
      </c>
      <c r="H65" s="781">
        <f t="shared" si="72"/>
        <v>1</v>
      </c>
      <c r="I65" s="782">
        <f t="shared" si="72"/>
        <v>1</v>
      </c>
      <c r="J65" s="782">
        <f t="shared" si="72"/>
        <v>1</v>
      </c>
      <c r="K65" s="782">
        <f t="shared" si="72"/>
        <v>1</v>
      </c>
      <c r="L65" s="782">
        <f t="shared" si="72"/>
        <v>0.82034282188201701</v>
      </c>
      <c r="M65" s="783">
        <f t="shared" si="72"/>
        <v>1</v>
      </c>
      <c r="N65" s="733">
        <f t="shared" si="32"/>
        <v>8475.3695815406791</v>
      </c>
      <c r="O65" s="276">
        <f t="shared" si="33"/>
        <v>7158.8503287302447</v>
      </c>
      <c r="P65" s="276">
        <f t="shared" si="34"/>
        <v>6754.2648156458627</v>
      </c>
      <c r="Q65" s="276">
        <f t="shared" si="35"/>
        <v>5998.7406636167425</v>
      </c>
      <c r="R65" s="276">
        <f t="shared" si="36"/>
        <v>5037.789065996818</v>
      </c>
      <c r="S65" s="278">
        <f t="shared" si="37"/>
        <v>3092.8882067705749</v>
      </c>
      <c r="T65" s="734">
        <f t="shared" si="38"/>
        <v>1316.5192528104344</v>
      </c>
      <c r="U65" s="290">
        <f t="shared" si="39"/>
        <v>1721.1047658948164</v>
      </c>
      <c r="V65" s="290">
        <f t="shared" si="40"/>
        <v>2476.6289179239366</v>
      </c>
      <c r="W65" s="290">
        <f t="shared" si="41"/>
        <v>3437.5805155438611</v>
      </c>
      <c r="X65" s="291">
        <f t="shared" si="42"/>
        <v>5382.4813747701046</v>
      </c>
      <c r="Y65" s="279">
        <f ca="1">IF(AND(Y$22=TRUE,INDEX(CDRANGE_CLS3,MATCH($A65,$A$24:$A$67,0),MATCH(Y$20,$B$20:$G$20,0))&lt;$D$6/OPDAYS_Cls3),86,payback(C65,T65,disc_rate/12,85))</f>
        <v>4</v>
      </c>
      <c r="Z65" s="280">
        <f ca="1">IF(AND(Z$22=TRUE,INDEX(CDRANGE_CLS3,MATCH($A65,$A$24:$A$67,0),MATCH(Z$20,$B$20:$G$20,0))&lt;$D$6/OPDAYS_Cls3),86,payback(D65,U65,disc_rate/12,85))</f>
        <v>4</v>
      </c>
      <c r="AA65" s="280">
        <f ca="1">IF(AND(AA$22=TRUE,INDEX(CDRANGE_CLS3,MATCH($A65,$A$24:$A$67,0),MATCH(AA$20,$B$20:$G$20,0))&lt;$D$6/OPDAYS_Cls3),86,payback(E65,V65,disc_rate/12,85))</f>
        <v>5</v>
      </c>
      <c r="AB65" s="280">
        <f ca="1">IF(AND(AB$22=TRUE,INDEX(CDRANGE_CLS3,MATCH($A65,$A$24:$A$67,0),MATCH(AB$20,$B$20:$G$20,0))&lt;$D$6/OPDAYS_Cls3),86,payback(F65,W65,disc_rate/12,85))</f>
        <v>7</v>
      </c>
      <c r="AC65" s="281">
        <f>IF(AND(AC$22=TRUE,INDEX(CDRANGE_CLS3,MATCH($A65,$A$24:$A$67,0),MATCH(AC$20,$B$20:$G$20,0))&lt;$D$6/OPDAYS_Cls3),86,payback(G65,X65,disc_rate/12,85))</f>
        <v>86</v>
      </c>
      <c r="AD65" s="296">
        <f t="shared" si="43"/>
        <v>0</v>
      </c>
      <c r="AE65" s="297">
        <f t="shared" si="44"/>
        <v>0</v>
      </c>
      <c r="AF65" s="297">
        <f t="shared" si="45"/>
        <v>0</v>
      </c>
      <c r="AG65" s="297">
        <f t="shared" si="46"/>
        <v>0</v>
      </c>
      <c r="AH65" s="298">
        <f t="shared" si="47"/>
        <v>0</v>
      </c>
      <c r="AI65" s="595">
        <f t="shared" si="48"/>
        <v>0.49999999962087194</v>
      </c>
      <c r="AJ65" s="300">
        <f t="shared" si="49"/>
        <v>0.49999999962087194</v>
      </c>
      <c r="AK65" s="300">
        <f t="shared" si="50"/>
        <v>0.49999999962087194</v>
      </c>
      <c r="AL65" s="300">
        <f t="shared" si="51"/>
        <v>0.49999999962087194</v>
      </c>
      <c r="AM65" s="598">
        <f t="shared" si="52"/>
        <v>0.49998619831278412</v>
      </c>
      <c r="AN65" s="299">
        <f t="shared" si="65"/>
        <v>0.99294537435345864</v>
      </c>
      <c r="AO65" s="300">
        <f t="shared" si="65"/>
        <v>0.99276586905801067</v>
      </c>
      <c r="AP65" s="300">
        <f t="shared" si="65"/>
        <v>0.96425794685830035</v>
      </c>
      <c r="AQ65" s="300">
        <f t="shared" si="65"/>
        <v>0.86202430426524257</v>
      </c>
      <c r="AR65" s="598">
        <f t="shared" si="65"/>
        <v>0.8603603794700404</v>
      </c>
      <c r="AS65" s="296">
        <f t="shared" ca="1" si="54"/>
        <v>0.99999999924174388</v>
      </c>
      <c r="AT65" s="297">
        <f t="shared" ca="1" si="55"/>
        <v>0.99999999924174388</v>
      </c>
      <c r="AU65" s="297">
        <f t="shared" ca="1" si="56"/>
        <v>0.99999999924174388</v>
      </c>
      <c r="AV65" s="297">
        <f t="shared" ca="1" si="57"/>
        <v>0.99672728465125515</v>
      </c>
      <c r="AW65" s="298">
        <f t="shared" si="58"/>
        <v>0</v>
      </c>
      <c r="AX65" s="296">
        <f t="shared" ca="1" si="59"/>
        <v>0.99294537360055168</v>
      </c>
      <c r="AY65" s="297">
        <f t="shared" ca="1" si="59"/>
        <v>0.99276586830523983</v>
      </c>
      <c r="AZ65" s="297">
        <f t="shared" ca="1" si="59"/>
        <v>0.96425794612714588</v>
      </c>
      <c r="BA65" s="297">
        <f t="shared" ca="1" si="59"/>
        <v>0.85920314409368259</v>
      </c>
      <c r="BB65" s="298">
        <f t="shared" si="59"/>
        <v>0</v>
      </c>
      <c r="BC65" s="296">
        <f t="shared" ca="1" si="66"/>
        <v>7.054626399448205E-3</v>
      </c>
      <c r="BD65" s="297">
        <f t="shared" ca="1" si="60"/>
        <v>0.25883326586179922</v>
      </c>
      <c r="BE65" s="297">
        <f t="shared" ca="1" si="61"/>
        <v>0.25878647381959796</v>
      </c>
      <c r="BF65" s="297">
        <f t="shared" ca="1" si="62"/>
        <v>0.25135525071662551</v>
      </c>
      <c r="BG65" s="297">
        <f t="shared" ca="1" si="63"/>
        <v>0.22397038320252904</v>
      </c>
      <c r="BH65" s="298">
        <f t="shared" ca="1" si="64"/>
        <v>0</v>
      </c>
    </row>
    <row r="66" spans="1:60" x14ac:dyDescent="0.2">
      <c r="A66" s="317">
        <v>2049</v>
      </c>
      <c r="B66" s="820">
        <f t="shared" si="71"/>
        <v>100224.6</v>
      </c>
      <c r="C66" s="821">
        <f t="shared" si="71"/>
        <v>5059.7700000000004</v>
      </c>
      <c r="D66" s="821">
        <f t="shared" si="71"/>
        <v>5123.97</v>
      </c>
      <c r="E66" s="821">
        <f t="shared" si="71"/>
        <v>11472.42</v>
      </c>
      <c r="F66" s="821">
        <f t="shared" si="71"/>
        <v>23185.82</v>
      </c>
      <c r="G66" s="822">
        <f t="shared" si="71"/>
        <v>22961.33</v>
      </c>
      <c r="H66" s="781">
        <f t="shared" si="72"/>
        <v>1</v>
      </c>
      <c r="I66" s="782">
        <f t="shared" si="72"/>
        <v>1</v>
      </c>
      <c r="J66" s="782">
        <f t="shared" si="72"/>
        <v>1</v>
      </c>
      <c r="K66" s="782">
        <f t="shared" si="72"/>
        <v>1</v>
      </c>
      <c r="L66" s="782">
        <f t="shared" si="72"/>
        <v>0.82001391549638414</v>
      </c>
      <c r="M66" s="783">
        <f t="shared" si="72"/>
        <v>1</v>
      </c>
      <c r="N66" s="733">
        <f t="shared" si="32"/>
        <v>8527.1127923232034</v>
      </c>
      <c r="O66" s="276">
        <f t="shared" si="33"/>
        <v>7202.556021792504</v>
      </c>
      <c r="P66" s="276">
        <f t="shared" si="34"/>
        <v>6795.5004626196687</v>
      </c>
      <c r="Q66" s="276">
        <f t="shared" si="35"/>
        <v>6035.3637394131374</v>
      </c>
      <c r="R66" s="276">
        <f t="shared" si="36"/>
        <v>5029.4623689443106</v>
      </c>
      <c r="S66" s="278">
        <f t="shared" si="37"/>
        <v>3030.2313600568878</v>
      </c>
      <c r="T66" s="734">
        <f t="shared" si="38"/>
        <v>1324.5567705306994</v>
      </c>
      <c r="U66" s="290">
        <f t="shared" si="39"/>
        <v>1731.6123297035347</v>
      </c>
      <c r="V66" s="290">
        <f t="shared" si="40"/>
        <v>2491.749052910066</v>
      </c>
      <c r="W66" s="290">
        <f t="shared" si="41"/>
        <v>3497.6504233788928</v>
      </c>
      <c r="X66" s="291">
        <f t="shared" si="42"/>
        <v>5496.8814322663156</v>
      </c>
      <c r="Y66" s="279">
        <f ca="1">IF(AND(Y$22=TRUE,INDEX(CDRANGE_CLS3,MATCH($A66,$A$24:$A$67,0),MATCH(Y$20,$B$20:$G$20,0))&lt;$D$6/OPDAYS_Cls3),86,payback(C66,T66,disc_rate/12,85))</f>
        <v>4</v>
      </c>
      <c r="Z66" s="280">
        <f ca="1">IF(AND(Z$22=TRUE,INDEX(CDRANGE_CLS3,MATCH($A66,$A$24:$A$67,0),MATCH(Z$20,$B$20:$G$20,0))&lt;$D$6/OPDAYS_Cls3),86,payback(D66,U66,disc_rate/12,85))</f>
        <v>3</v>
      </c>
      <c r="AA66" s="280">
        <f ca="1">IF(AND(AA$22=TRUE,INDEX(CDRANGE_CLS3,MATCH($A66,$A$24:$A$67,0),MATCH(AA$20,$B$20:$G$20,0))&lt;$D$6/OPDAYS_Cls3),86,payback(E66,V66,disc_rate/12,85))</f>
        <v>5</v>
      </c>
      <c r="AB66" s="280">
        <f ca="1">IF(AND(AB$22=TRUE,INDEX(CDRANGE_CLS3,MATCH($A66,$A$24:$A$67,0),MATCH(AB$20,$B$20:$G$20,0))&lt;$D$6/OPDAYS_Cls3),86,payback(F66,W66,disc_rate/12,85))</f>
        <v>7</v>
      </c>
      <c r="AC66" s="281">
        <f>IF(AND(AC$22=TRUE,INDEX(CDRANGE_CLS3,MATCH($A66,$A$24:$A$67,0),MATCH(AC$20,$B$20:$G$20,0))&lt;$D$6/OPDAYS_Cls3),86,payback(G66,X66,disc_rate/12,85))</f>
        <v>86</v>
      </c>
      <c r="AD66" s="296">
        <f t="shared" si="43"/>
        <v>0</v>
      </c>
      <c r="AE66" s="297">
        <f t="shared" si="44"/>
        <v>0</v>
      </c>
      <c r="AF66" s="297">
        <f t="shared" si="45"/>
        <v>0</v>
      </c>
      <c r="AG66" s="297">
        <f t="shared" si="46"/>
        <v>0</v>
      </c>
      <c r="AH66" s="298">
        <f t="shared" si="47"/>
        <v>0</v>
      </c>
      <c r="AI66" s="595">
        <f t="shared" si="48"/>
        <v>0.49999999962087194</v>
      </c>
      <c r="AJ66" s="300">
        <f t="shared" si="49"/>
        <v>0.49999999962087194</v>
      </c>
      <c r="AK66" s="300">
        <f t="shared" si="50"/>
        <v>0.49999999962087194</v>
      </c>
      <c r="AL66" s="300">
        <f t="shared" si="51"/>
        <v>0.49999999962087194</v>
      </c>
      <c r="AM66" s="598">
        <f t="shared" si="52"/>
        <v>0.49999473991021715</v>
      </c>
      <c r="AN66" s="299">
        <f t="shared" si="65"/>
        <v>0.99294537435345864</v>
      </c>
      <c r="AO66" s="300">
        <f t="shared" si="65"/>
        <v>0.99276586905801067</v>
      </c>
      <c r="AP66" s="300">
        <f t="shared" si="65"/>
        <v>0.96425794685830035</v>
      </c>
      <c r="AQ66" s="300">
        <f t="shared" si="65"/>
        <v>0.86186220812776648</v>
      </c>
      <c r="AR66" s="598">
        <f t="shared" si="65"/>
        <v>0.86433479059280294</v>
      </c>
      <c r="AS66" s="296">
        <f t="shared" ca="1" si="54"/>
        <v>0.99999999924174388</v>
      </c>
      <c r="AT66" s="297">
        <f t="shared" ca="1" si="55"/>
        <v>0.99999999924174388</v>
      </c>
      <c r="AU66" s="297">
        <f t="shared" ca="1" si="56"/>
        <v>0.99999999924174388</v>
      </c>
      <c r="AV66" s="297">
        <f t="shared" ca="1" si="57"/>
        <v>0.99672728465125515</v>
      </c>
      <c r="AW66" s="298">
        <f t="shared" si="58"/>
        <v>0</v>
      </c>
      <c r="AX66" s="296">
        <f t="shared" ca="1" si="59"/>
        <v>0.99294537360055168</v>
      </c>
      <c r="AY66" s="297">
        <f t="shared" ca="1" si="59"/>
        <v>0.99276586830523983</v>
      </c>
      <c r="AZ66" s="297">
        <f t="shared" ca="1" si="59"/>
        <v>0.96425794612714588</v>
      </c>
      <c r="BA66" s="297">
        <f t="shared" ca="1" si="59"/>
        <v>0.8590415784507236</v>
      </c>
      <c r="BB66" s="298">
        <f t="shared" si="59"/>
        <v>0</v>
      </c>
      <c r="BC66" s="296">
        <f t="shared" ca="1" si="66"/>
        <v>7.054626399448205E-3</v>
      </c>
      <c r="BD66" s="297">
        <f t="shared" ca="1" si="60"/>
        <v>0.25884424471315509</v>
      </c>
      <c r="BE66" s="297">
        <f t="shared" ca="1" si="61"/>
        <v>0.25879745068619014</v>
      </c>
      <c r="BF66" s="297">
        <f t="shared" ca="1" si="62"/>
        <v>0.25136591237530354</v>
      </c>
      <c r="BG66" s="297">
        <f t="shared" ca="1" si="63"/>
        <v>0.22393776582590302</v>
      </c>
      <c r="BH66" s="298">
        <f t="shared" ca="1" si="64"/>
        <v>0</v>
      </c>
    </row>
    <row r="67" spans="1:60" ht="15" thickBot="1" x14ac:dyDescent="0.25">
      <c r="A67" s="302">
        <v>2050</v>
      </c>
      <c r="B67" s="823">
        <f t="shared" si="71"/>
        <v>100224.6</v>
      </c>
      <c r="C67" s="824">
        <f t="shared" si="71"/>
        <v>5059.7700000000004</v>
      </c>
      <c r="D67" s="824">
        <f t="shared" si="71"/>
        <v>5123.97</v>
      </c>
      <c r="E67" s="824">
        <f t="shared" si="71"/>
        <v>11472.42</v>
      </c>
      <c r="F67" s="824">
        <f t="shared" si="71"/>
        <v>23200.49</v>
      </c>
      <c r="G67" s="825">
        <f t="shared" si="71"/>
        <v>22601.22</v>
      </c>
      <c r="H67" s="781">
        <f t="shared" si="72"/>
        <v>1</v>
      </c>
      <c r="I67" s="782">
        <f t="shared" si="72"/>
        <v>1</v>
      </c>
      <c r="J67" s="782">
        <f t="shared" si="72"/>
        <v>1</v>
      </c>
      <c r="K67" s="782">
        <f t="shared" si="72"/>
        <v>1</v>
      </c>
      <c r="L67" s="782">
        <f t="shared" si="72"/>
        <v>0.81968500911075137</v>
      </c>
      <c r="M67" s="783">
        <f t="shared" si="72"/>
        <v>1</v>
      </c>
      <c r="N67" s="884">
        <f t="shared" si="32"/>
        <v>8574.7820248709722</v>
      </c>
      <c r="O67" s="779">
        <f t="shared" si="33"/>
        <v>7242.8205669325989</v>
      </c>
      <c r="P67" s="779">
        <f t="shared" si="34"/>
        <v>6833.489439629886</v>
      </c>
      <c r="Q67" s="779">
        <f t="shared" si="35"/>
        <v>6069.1033139457359</v>
      </c>
      <c r="R67" s="779">
        <f t="shared" si="36"/>
        <v>5023.2026964611441</v>
      </c>
      <c r="S67" s="780">
        <f t="shared" si="37"/>
        <v>2992.3225309252562</v>
      </c>
      <c r="T67" s="737">
        <f t="shared" si="38"/>
        <v>1331.9614579383733</v>
      </c>
      <c r="U67" s="304">
        <f t="shared" si="39"/>
        <v>1741.2925852410863</v>
      </c>
      <c r="V67" s="304">
        <f t="shared" si="40"/>
        <v>2505.6787109252364</v>
      </c>
      <c r="W67" s="304">
        <f t="shared" si="41"/>
        <v>3551.5793284098281</v>
      </c>
      <c r="X67" s="305">
        <f t="shared" si="42"/>
        <v>5582.4594939457165</v>
      </c>
      <c r="Y67" s="889">
        <f ca="1">IF(AND(Y$22=TRUE,INDEX(CDRANGE_CLS3,MATCH($A67,$A$24:$A$67,0),MATCH(Y$20,$B$20:$G$20,0))&lt;$D$6/OPDAYS_Cls3),86,payback(C67,T67,disc_rate/12,85))</f>
        <v>4</v>
      </c>
      <c r="Z67" s="890">
        <f ca="1">IF(AND(Z$22=TRUE,INDEX(CDRANGE_CLS3,MATCH($A67,$A$24:$A$67,0),MATCH(Z$20,$B$20:$G$20,0))&lt;$D$6/OPDAYS_Cls3),86,payback(D67,U67,disc_rate/12,85))</f>
        <v>3</v>
      </c>
      <c r="AA67" s="890">
        <f ca="1">IF(AND(AA$22=TRUE,INDEX(CDRANGE_CLS3,MATCH($A67,$A$24:$A$67,0),MATCH(AA$20,$B$20:$G$20,0))&lt;$D$6/OPDAYS_Cls3),86,payback(E67,V67,disc_rate/12,85))</f>
        <v>5</v>
      </c>
      <c r="AB67" s="890">
        <f ca="1">IF(AND(AB$22=TRUE,INDEX(CDRANGE_CLS3,MATCH($A67,$A$24:$A$67,0),MATCH(AB$20,$B$20:$G$20,0))&lt;$D$6/OPDAYS_Cls3),86,payback(F67,W67,disc_rate/12,85))</f>
        <v>7</v>
      </c>
      <c r="AC67" s="891">
        <f>IF(AND(AC$22=TRUE,INDEX(CDRANGE_CLS3,MATCH($A67,$A$24:$A$67,0),MATCH(AC$20,$B$20:$G$20,0))&lt;$D$6/OPDAYS_Cls3),86,payback(G67,X67,disc_rate/12,85))</f>
        <v>86</v>
      </c>
      <c r="AD67" s="310">
        <f t="shared" si="43"/>
        <v>0</v>
      </c>
      <c r="AE67" s="311">
        <f t="shared" si="44"/>
        <v>0</v>
      </c>
      <c r="AF67" s="311">
        <f t="shared" si="45"/>
        <v>0</v>
      </c>
      <c r="AG67" s="311">
        <f t="shared" si="46"/>
        <v>0</v>
      </c>
      <c r="AH67" s="312">
        <f t="shared" si="47"/>
        <v>0</v>
      </c>
      <c r="AI67" s="596">
        <f t="shared" si="48"/>
        <v>0.49999999962087194</v>
      </c>
      <c r="AJ67" s="314">
        <f t="shared" si="49"/>
        <v>0.49999999962087194</v>
      </c>
      <c r="AK67" s="314">
        <f t="shared" si="50"/>
        <v>0.49999999962087194</v>
      </c>
      <c r="AL67" s="314">
        <f t="shared" si="51"/>
        <v>0.49999999962087194</v>
      </c>
      <c r="AM67" s="599">
        <f t="shared" si="52"/>
        <v>0.49999890515837031</v>
      </c>
      <c r="AN67" s="313">
        <f t="shared" si="65"/>
        <v>0.99294537435345864</v>
      </c>
      <c r="AO67" s="314">
        <f t="shared" si="65"/>
        <v>0.99276586905801067</v>
      </c>
      <c r="AP67" s="314">
        <f t="shared" si="65"/>
        <v>0.96425794685830035</v>
      </c>
      <c r="AQ67" s="314">
        <f t="shared" si="65"/>
        <v>0.86170003990699406</v>
      </c>
      <c r="AR67" s="599">
        <f t="shared" si="65"/>
        <v>0.86826539789271351</v>
      </c>
      <c r="AS67" s="310">
        <f t="shared" ca="1" si="54"/>
        <v>0.99999999924174388</v>
      </c>
      <c r="AT67" s="311">
        <f t="shared" ca="1" si="55"/>
        <v>0.99999999924174388</v>
      </c>
      <c r="AU67" s="311">
        <f t="shared" ca="1" si="56"/>
        <v>0.99999999924174388</v>
      </c>
      <c r="AV67" s="311">
        <f t="shared" ca="1" si="57"/>
        <v>0.99672728465125515</v>
      </c>
      <c r="AW67" s="312">
        <f t="shared" si="58"/>
        <v>0</v>
      </c>
      <c r="AX67" s="310">
        <f t="shared" ca="1" si="59"/>
        <v>0.99294537360055168</v>
      </c>
      <c r="AY67" s="311">
        <f t="shared" ca="1" si="59"/>
        <v>0.99276586830523983</v>
      </c>
      <c r="AZ67" s="311">
        <f t="shared" ca="1" si="59"/>
        <v>0.96425794612714588</v>
      </c>
      <c r="BA67" s="311">
        <f t="shared" ca="1" si="59"/>
        <v>0.85887994096037634</v>
      </c>
      <c r="BB67" s="312">
        <f t="shared" si="59"/>
        <v>0</v>
      </c>
      <c r="BC67" s="310">
        <f t="shared" ca="1" si="66"/>
        <v>7.0546263994484271E-3</v>
      </c>
      <c r="BD67" s="311">
        <f t="shared" ca="1" si="60"/>
        <v>0.25885522937878219</v>
      </c>
      <c r="BE67" s="311">
        <f t="shared" ca="1" si="61"/>
        <v>0.25880843336600245</v>
      </c>
      <c r="BF67" s="311">
        <f t="shared" ca="1" si="62"/>
        <v>0.25137657968027127</v>
      </c>
      <c r="BG67" s="311">
        <f t="shared" ca="1" si="63"/>
        <v>0.22390513117549576</v>
      </c>
      <c r="BH67" s="312">
        <f t="shared" ca="1" si="64"/>
        <v>0</v>
      </c>
    </row>
    <row r="68" spans="1:60" x14ac:dyDescent="0.2">
      <c r="A68" s="227" t="s">
        <v>240</v>
      </c>
      <c r="B68" s="808"/>
      <c r="C68" s="808"/>
      <c r="D68" s="808"/>
      <c r="E68" s="808"/>
      <c r="F68" s="808"/>
      <c r="G68" s="768"/>
      <c r="N68" s="885"/>
      <c r="O68" s="885"/>
      <c r="P68" s="885"/>
      <c r="Q68" s="885"/>
      <c r="R68" s="885"/>
      <c r="S68" s="885"/>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53" t="s">
        <v>193</v>
      </c>
      <c r="C70" s="1554"/>
      <c r="D70" s="1554"/>
      <c r="E70" s="1554"/>
      <c r="F70" s="1554"/>
      <c r="G70" s="1554"/>
      <c r="H70" s="1554"/>
      <c r="I70" s="1554"/>
      <c r="J70" s="1554"/>
      <c r="K70" s="1554"/>
      <c r="L70" s="1554"/>
      <c r="M70" s="1554"/>
      <c r="N70" s="1555"/>
      <c r="O70" s="1553" t="s">
        <v>194</v>
      </c>
      <c r="P70" s="1554"/>
      <c r="Q70" s="1554"/>
      <c r="R70" s="1554"/>
      <c r="S70" s="1554"/>
      <c r="T70" s="1554"/>
      <c r="U70" s="1554"/>
      <c r="V70" s="1554"/>
      <c r="W70" s="1554"/>
      <c r="X70" s="1554"/>
      <c r="Y70" s="1554"/>
      <c r="Z70" s="1554"/>
      <c r="AA70" s="1555"/>
    </row>
    <row r="71" spans="1:60" x14ac:dyDescent="0.2">
      <c r="A71" s="324"/>
      <c r="B71" s="1556" t="s">
        <v>121</v>
      </c>
      <c r="C71" s="1557"/>
      <c r="D71" s="1557"/>
      <c r="E71" s="1557"/>
      <c r="F71" s="1557"/>
      <c r="G71" s="1557"/>
      <c r="H71" s="1557"/>
      <c r="I71" s="1557"/>
      <c r="J71" s="1557"/>
      <c r="K71" s="1557"/>
      <c r="L71" s="1558"/>
      <c r="M71" s="382"/>
      <c r="N71" s="325"/>
      <c r="O71" s="1556" t="s">
        <v>121</v>
      </c>
      <c r="P71" s="1557"/>
      <c r="Q71" s="1557"/>
      <c r="R71" s="1557"/>
      <c r="S71" s="1557"/>
      <c r="T71" s="1557"/>
      <c r="U71" s="1557"/>
      <c r="V71" s="1557"/>
      <c r="W71" s="1557"/>
      <c r="X71" s="1557"/>
      <c r="Y71" s="1558"/>
      <c r="Z71" s="382"/>
      <c r="AA71" s="325"/>
      <c r="AC71" s="955"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7"/>
      <c r="AC72" s="955"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10">
        <v>1.1022999100839563E-4</v>
      </c>
      <c r="Z73" s="384"/>
      <c r="AA73" s="336"/>
    </row>
    <row r="74" spans="1:60" s="228" customFormat="1" x14ac:dyDescent="0.2">
      <c r="A74" s="331" t="s">
        <v>125</v>
      </c>
      <c r="B74" s="924">
        <f t="array" ref="B74:L74">TRANSPOSE(Cls3CentVMTShr)</f>
        <v>7.4407503791532936E-2</v>
      </c>
      <c r="C74" s="925">
        <v>0.15052192967997111</v>
      </c>
      <c r="D74" s="925">
        <v>8.9028098283245441E-2</v>
      </c>
      <c r="E74" s="925">
        <v>4.5356257743642811E-2</v>
      </c>
      <c r="F74" s="925">
        <v>2.1016507050137231E-2</v>
      </c>
      <c r="G74" s="925">
        <v>4.9007047894213725E-4</v>
      </c>
      <c r="H74" s="925">
        <v>1.4797621296467818E-2</v>
      </c>
      <c r="I74" s="925">
        <v>0</v>
      </c>
      <c r="J74" s="925">
        <v>0</v>
      </c>
      <c r="K74" s="925">
        <v>3.7103078033661591E-3</v>
      </c>
      <c r="L74" s="1211">
        <v>0</v>
      </c>
      <c r="M74" s="1212"/>
      <c r="N74" s="1213"/>
      <c r="O74" s="924">
        <f t="array" ref="O74:Y74">TRANSPOSE(Cls3NCentVMTShr)</f>
        <v>0.11481596497083862</v>
      </c>
      <c r="P74" s="925">
        <v>0.26987209279577573</v>
      </c>
      <c r="Q74" s="925">
        <v>8.3836105982992667E-2</v>
      </c>
      <c r="R74" s="925">
        <v>5.9842896537765707E-2</v>
      </c>
      <c r="S74" s="925">
        <v>1.6413649143963899E-2</v>
      </c>
      <c r="T74" s="925">
        <v>1.0165768727376887E-2</v>
      </c>
      <c r="U74" s="925">
        <v>2.0700108148562976E-2</v>
      </c>
      <c r="V74" s="925">
        <v>2.0956833812228508E-2</v>
      </c>
      <c r="W74" s="925">
        <v>3.1584958359553582E-3</v>
      </c>
      <c r="X74" s="925">
        <v>0</v>
      </c>
      <c r="Y74" s="926">
        <v>9.0978791723388369E-4</v>
      </c>
      <c r="Z74" s="1212"/>
      <c r="AA74" s="1213"/>
      <c r="AB74" s="1550" t="str">
        <f>"% of miles on f2 for Tech "&amp; RIGHT(O69)&amp;" adopters"</f>
        <v>% of miles on f2 for Tech  adopters</v>
      </c>
      <c r="AC74" s="1551"/>
      <c r="AD74" s="1552"/>
      <c r="AE74" s="1238" t="s">
        <v>298</v>
      </c>
      <c r="AF74" s="1239"/>
      <c r="AG74" s="1239"/>
      <c r="AH74" s="1229" t="s">
        <v>297</v>
      </c>
      <c r="AI74" s="1230"/>
    </row>
    <row r="75" spans="1:60" ht="15" thickBot="1" x14ac:dyDescent="0.25">
      <c r="A75" s="943" t="s">
        <v>266</v>
      </c>
      <c r="B75" s="934">
        <f t="array" ref="B75:L75">TRANSPOSE(Cls3CentVMT/OPDAYS_Cls3)</f>
        <v>49.202805162026571</v>
      </c>
      <c r="C75" s="935">
        <v>115.99623692884222</v>
      </c>
      <c r="D75" s="935">
        <v>190.94140758026836</v>
      </c>
      <c r="E75" s="935">
        <v>282.72824571583544</v>
      </c>
      <c r="F75" s="935">
        <v>349.10577157713089</v>
      </c>
      <c r="G75" s="935">
        <v>408.92399999999998</v>
      </c>
      <c r="H75" s="935">
        <v>540.31926836851005</v>
      </c>
      <c r="I75" s="935">
        <v>600</v>
      </c>
      <c r="J75" s="935">
        <v>680</v>
      </c>
      <c r="K75" s="935">
        <v>800.00000000000011</v>
      </c>
      <c r="L75" s="936">
        <v>800</v>
      </c>
      <c r="M75" s="932"/>
      <c r="N75" s="933"/>
      <c r="O75" s="934">
        <f t="array" ref="O75:Y75">TRANSPOSE(Cls3NCentVMT/OPDAYS_Cls3)</f>
        <v>45.820527909508108</v>
      </c>
      <c r="P75" s="935">
        <v>114.90604343518244</v>
      </c>
      <c r="Q75" s="935">
        <v>196.29405935940918</v>
      </c>
      <c r="R75" s="935">
        <v>286.46435582159182</v>
      </c>
      <c r="S75" s="935">
        <v>352.24339419308075</v>
      </c>
      <c r="T75" s="935">
        <v>427.07804424634116</v>
      </c>
      <c r="U75" s="935">
        <v>519.59880241076587</v>
      </c>
      <c r="V75" s="935">
        <v>608.4346682070543</v>
      </c>
      <c r="W75" s="935">
        <v>703.2</v>
      </c>
      <c r="X75" s="935">
        <v>760</v>
      </c>
      <c r="Y75" s="1214">
        <v>900</v>
      </c>
      <c r="Z75" s="944"/>
      <c r="AA75" s="933"/>
      <c r="AB75" s="946" t="s">
        <v>186</v>
      </c>
      <c r="AC75" s="947" t="s">
        <v>15</v>
      </c>
      <c r="AD75" s="948" t="s">
        <v>18</v>
      </c>
      <c r="AE75" s="330" t="s">
        <v>186</v>
      </c>
      <c r="AF75" s="1240" t="s">
        <v>15</v>
      </c>
      <c r="AG75" s="1240" t="s">
        <v>18</v>
      </c>
      <c r="AH75" s="1241" t="s">
        <v>186</v>
      </c>
      <c r="AI75" s="1242"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2">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2">
        <f>SUMPRODUCT(O76:Y76,$O$73:$Y$73)</f>
        <v>0</v>
      </c>
      <c r="AB76" s="949">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50">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7">
        <f>AB76*AH76+AC76*AI76</f>
        <v>0</v>
      </c>
      <c r="AE76" s="1231">
        <f t="shared" ref="AE76:AE90" si="73">SUMPRODUCT($B$74:$L$74,B76:L76)</f>
        <v>0</v>
      </c>
      <c r="AF76" s="1232">
        <f t="shared" ref="AF76:AF90" si="74">SUMPRODUCT($O$74:$Y$74,O76:Y76)</f>
        <v>0</v>
      </c>
      <c r="AG76" s="1232">
        <f t="shared" ref="AG76:AG90" si="75">SUM(AE76:AF76)</f>
        <v>0</v>
      </c>
      <c r="AH76" s="1173">
        <f>IF(AG76&gt;0,AE76/AG76,0)</f>
        <v>0</v>
      </c>
      <c r="AI76" s="1233">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6">SUMPRODUCT(B77:L77,$B$74:$L$74)</f>
        <v>0</v>
      </c>
      <c r="N77" s="298">
        <f t="shared" ref="N77:N119" si="77">SUMPRODUCT(B77:L77,$B$73:$L$73)</f>
        <v>0</v>
      </c>
      <c r="O77" s="344">
        <v>0</v>
      </c>
      <c r="P77" s="345">
        <v>0</v>
      </c>
      <c r="Q77" s="345">
        <v>0</v>
      </c>
      <c r="R77" s="345">
        <v>0</v>
      </c>
      <c r="S77" s="345">
        <v>0</v>
      </c>
      <c r="T77" s="345">
        <v>0</v>
      </c>
      <c r="U77" s="345">
        <v>0</v>
      </c>
      <c r="V77" s="345">
        <v>0</v>
      </c>
      <c r="W77" s="345">
        <v>0</v>
      </c>
      <c r="X77" s="345">
        <v>0</v>
      </c>
      <c r="Y77" s="380">
        <v>0</v>
      </c>
      <c r="Z77" s="296">
        <f t="shared" ref="Z77:Z119" si="78">SUMPRODUCT(O77:Y77,$O$74:$Y$74)</f>
        <v>0</v>
      </c>
      <c r="AA77" s="298">
        <f t="shared" ref="AA77:AA119" si="79">SUMPRODUCT(O77:Y77,$O$73:$Y$73)</f>
        <v>0</v>
      </c>
      <c r="AB77" s="949">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50">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7">
        <f t="shared" ref="AD77:AD101" si="80">AB77*AH77+AC77*AI77</f>
        <v>0</v>
      </c>
      <c r="AE77" s="1231">
        <f t="shared" si="73"/>
        <v>0</v>
      </c>
      <c r="AF77" s="1232">
        <f t="shared" si="74"/>
        <v>0</v>
      </c>
      <c r="AG77" s="1232">
        <f t="shared" si="75"/>
        <v>0</v>
      </c>
      <c r="AH77" s="1173">
        <f t="shared" ref="AH77:AH119" si="81">IF(AG77&gt;0,AE77/AG77,0)</f>
        <v>0</v>
      </c>
      <c r="AI77" s="1233">
        <f t="shared" ref="AI77:AI119" si="82">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6"/>
        <v>0</v>
      </c>
      <c r="N78" s="298">
        <f t="shared" si="77"/>
        <v>0</v>
      </c>
      <c r="O78" s="344">
        <v>0</v>
      </c>
      <c r="P78" s="345">
        <v>0</v>
      </c>
      <c r="Q78" s="345">
        <v>0</v>
      </c>
      <c r="R78" s="345">
        <v>0</v>
      </c>
      <c r="S78" s="345">
        <v>0</v>
      </c>
      <c r="T78" s="345">
        <v>0</v>
      </c>
      <c r="U78" s="345">
        <v>0</v>
      </c>
      <c r="V78" s="345">
        <v>0</v>
      </c>
      <c r="W78" s="345">
        <v>0</v>
      </c>
      <c r="X78" s="345">
        <v>0</v>
      </c>
      <c r="Y78" s="380">
        <v>0</v>
      </c>
      <c r="Z78" s="296">
        <f t="shared" si="78"/>
        <v>0</v>
      </c>
      <c r="AA78" s="298">
        <f t="shared" si="79"/>
        <v>0</v>
      </c>
      <c r="AB78" s="949">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50">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7">
        <f t="shared" si="80"/>
        <v>0</v>
      </c>
      <c r="AE78" s="1231">
        <f t="shared" si="73"/>
        <v>0</v>
      </c>
      <c r="AF78" s="1232">
        <f t="shared" si="74"/>
        <v>0</v>
      </c>
      <c r="AG78" s="1232">
        <f t="shared" si="75"/>
        <v>0</v>
      </c>
      <c r="AH78" s="1173">
        <f t="shared" si="81"/>
        <v>0</v>
      </c>
      <c r="AI78" s="1233">
        <f t="shared" si="82"/>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6"/>
        <v>0</v>
      </c>
      <c r="N79" s="312">
        <f t="shared" si="77"/>
        <v>0</v>
      </c>
      <c r="O79" s="346">
        <v>0</v>
      </c>
      <c r="P79" s="347">
        <v>0</v>
      </c>
      <c r="Q79" s="347">
        <v>0</v>
      </c>
      <c r="R79" s="347">
        <v>0</v>
      </c>
      <c r="S79" s="347">
        <v>0</v>
      </c>
      <c r="T79" s="347">
        <v>0</v>
      </c>
      <c r="U79" s="347">
        <v>0</v>
      </c>
      <c r="V79" s="347">
        <v>0</v>
      </c>
      <c r="W79" s="347">
        <v>0</v>
      </c>
      <c r="X79" s="347">
        <v>0</v>
      </c>
      <c r="Y79" s="381">
        <v>0</v>
      </c>
      <c r="Z79" s="310">
        <f t="shared" si="78"/>
        <v>0</v>
      </c>
      <c r="AA79" s="312">
        <f t="shared" si="79"/>
        <v>0</v>
      </c>
      <c r="AB79" s="949">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50">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7">
        <f t="shared" si="80"/>
        <v>0</v>
      </c>
      <c r="AE79" s="1231">
        <f t="shared" si="73"/>
        <v>0</v>
      </c>
      <c r="AF79" s="1232">
        <f t="shared" si="74"/>
        <v>0</v>
      </c>
      <c r="AG79" s="1232">
        <f t="shared" si="75"/>
        <v>0</v>
      </c>
      <c r="AH79" s="1173">
        <f t="shared" si="81"/>
        <v>0</v>
      </c>
      <c r="AI79" s="1233">
        <f t="shared" si="82"/>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6"/>
        <v>0</v>
      </c>
      <c r="N80" s="284">
        <f t="shared" si="77"/>
        <v>0</v>
      </c>
      <c r="O80" s="342">
        <v>0</v>
      </c>
      <c r="P80" s="343">
        <v>0</v>
      </c>
      <c r="Q80" s="343">
        <v>0</v>
      </c>
      <c r="R80" s="343">
        <v>0</v>
      </c>
      <c r="S80" s="343">
        <v>0</v>
      </c>
      <c r="T80" s="343">
        <v>0</v>
      </c>
      <c r="U80" s="343">
        <v>0</v>
      </c>
      <c r="V80" s="343">
        <v>0</v>
      </c>
      <c r="W80" s="343">
        <v>0</v>
      </c>
      <c r="X80" s="343">
        <v>0</v>
      </c>
      <c r="Y80" s="379">
        <v>0</v>
      </c>
      <c r="Z80" s="282">
        <f t="shared" si="78"/>
        <v>0</v>
      </c>
      <c r="AA80" s="284">
        <f t="shared" si="79"/>
        <v>0</v>
      </c>
      <c r="AB80" s="949">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50">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7">
        <f t="shared" si="80"/>
        <v>0</v>
      </c>
      <c r="AE80" s="1231">
        <f t="shared" si="73"/>
        <v>0</v>
      </c>
      <c r="AF80" s="1232">
        <f t="shared" si="74"/>
        <v>0</v>
      </c>
      <c r="AG80" s="1232">
        <f t="shared" si="75"/>
        <v>0</v>
      </c>
      <c r="AH80" s="1173">
        <f t="shared" si="81"/>
        <v>0</v>
      </c>
      <c r="AI80" s="1233">
        <f t="shared" si="82"/>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76"/>
        <v>0</v>
      </c>
      <c r="N81" s="298">
        <f t="shared" si="77"/>
        <v>0</v>
      </c>
      <c r="O81" s="344">
        <v>0</v>
      </c>
      <c r="P81" s="345">
        <v>0</v>
      </c>
      <c r="Q81" s="345">
        <v>0</v>
      </c>
      <c r="R81" s="345">
        <v>0</v>
      </c>
      <c r="S81" s="345">
        <v>0</v>
      </c>
      <c r="T81" s="345">
        <v>0</v>
      </c>
      <c r="U81" s="345">
        <v>0</v>
      </c>
      <c r="V81" s="345">
        <v>0</v>
      </c>
      <c r="W81" s="345">
        <v>0</v>
      </c>
      <c r="X81" s="345">
        <v>0</v>
      </c>
      <c r="Y81" s="380">
        <v>0</v>
      </c>
      <c r="Z81" s="296">
        <f t="shared" si="78"/>
        <v>0</v>
      </c>
      <c r="AA81" s="298">
        <f t="shared" si="79"/>
        <v>0</v>
      </c>
      <c r="AB81" s="949">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50">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7">
        <f t="shared" si="80"/>
        <v>0</v>
      </c>
      <c r="AE81" s="1231">
        <f t="shared" si="73"/>
        <v>0</v>
      </c>
      <c r="AF81" s="1232">
        <f t="shared" si="74"/>
        <v>0</v>
      </c>
      <c r="AG81" s="1232">
        <f t="shared" si="75"/>
        <v>0</v>
      </c>
      <c r="AH81" s="1173">
        <f t="shared" si="81"/>
        <v>0</v>
      </c>
      <c r="AI81" s="1233">
        <f t="shared" si="82"/>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76"/>
        <v>0</v>
      </c>
      <c r="N82" s="298">
        <f t="shared" si="77"/>
        <v>0</v>
      </c>
      <c r="O82" s="344">
        <v>0</v>
      </c>
      <c r="P82" s="345">
        <v>0</v>
      </c>
      <c r="Q82" s="345">
        <v>0</v>
      </c>
      <c r="R82" s="345">
        <v>0</v>
      </c>
      <c r="S82" s="345">
        <v>0</v>
      </c>
      <c r="T82" s="345">
        <v>0</v>
      </c>
      <c r="U82" s="345">
        <v>0</v>
      </c>
      <c r="V82" s="345">
        <v>0</v>
      </c>
      <c r="W82" s="345">
        <v>0</v>
      </c>
      <c r="X82" s="345">
        <v>0</v>
      </c>
      <c r="Y82" s="380">
        <v>0</v>
      </c>
      <c r="Z82" s="296">
        <f t="shared" si="78"/>
        <v>0</v>
      </c>
      <c r="AA82" s="298">
        <f t="shared" si="79"/>
        <v>0</v>
      </c>
      <c r="AB82" s="949">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50">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7">
        <f t="shared" si="80"/>
        <v>0</v>
      </c>
      <c r="AE82" s="1231">
        <f t="shared" si="73"/>
        <v>0</v>
      </c>
      <c r="AF82" s="1232">
        <f t="shared" si="74"/>
        <v>0</v>
      </c>
      <c r="AG82" s="1232">
        <f t="shared" si="75"/>
        <v>0</v>
      </c>
      <c r="AH82" s="1173">
        <f t="shared" si="81"/>
        <v>0</v>
      </c>
      <c r="AI82" s="1233">
        <f t="shared" si="82"/>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76"/>
        <v>0</v>
      </c>
      <c r="N83" s="298">
        <f t="shared" si="77"/>
        <v>0</v>
      </c>
      <c r="O83" s="344">
        <v>0</v>
      </c>
      <c r="P83" s="345">
        <v>0</v>
      </c>
      <c r="Q83" s="345">
        <v>0</v>
      </c>
      <c r="R83" s="345">
        <v>0</v>
      </c>
      <c r="S83" s="345">
        <v>0</v>
      </c>
      <c r="T83" s="345">
        <v>0</v>
      </c>
      <c r="U83" s="345">
        <v>0</v>
      </c>
      <c r="V83" s="345">
        <v>0</v>
      </c>
      <c r="W83" s="345">
        <v>0</v>
      </c>
      <c r="X83" s="345">
        <v>0</v>
      </c>
      <c r="Y83" s="380">
        <v>0</v>
      </c>
      <c r="Z83" s="296">
        <f t="shared" si="78"/>
        <v>0</v>
      </c>
      <c r="AA83" s="298">
        <f t="shared" si="79"/>
        <v>0</v>
      </c>
      <c r="AB83" s="949">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50">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7">
        <f t="shared" si="80"/>
        <v>0</v>
      </c>
      <c r="AE83" s="1231">
        <f t="shared" si="73"/>
        <v>0</v>
      </c>
      <c r="AF83" s="1232">
        <f t="shared" si="74"/>
        <v>0</v>
      </c>
      <c r="AG83" s="1232">
        <f t="shared" si="75"/>
        <v>0</v>
      </c>
      <c r="AH83" s="1173">
        <f t="shared" si="81"/>
        <v>0</v>
      </c>
      <c r="AI83" s="1233">
        <f t="shared" si="82"/>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76"/>
        <v>0</v>
      </c>
      <c r="N84" s="312">
        <f t="shared" si="77"/>
        <v>0</v>
      </c>
      <c r="O84" s="346">
        <v>0</v>
      </c>
      <c r="P84" s="347">
        <v>0</v>
      </c>
      <c r="Q84" s="347">
        <v>0</v>
      </c>
      <c r="R84" s="347">
        <v>0</v>
      </c>
      <c r="S84" s="347">
        <v>0</v>
      </c>
      <c r="T84" s="347">
        <v>0</v>
      </c>
      <c r="U84" s="347">
        <v>0</v>
      </c>
      <c r="V84" s="347">
        <v>0</v>
      </c>
      <c r="W84" s="347">
        <v>0</v>
      </c>
      <c r="X84" s="347">
        <v>0</v>
      </c>
      <c r="Y84" s="381">
        <v>0</v>
      </c>
      <c r="Z84" s="310">
        <f t="shared" si="78"/>
        <v>0</v>
      </c>
      <c r="AA84" s="312">
        <f t="shared" si="79"/>
        <v>0</v>
      </c>
      <c r="AB84" s="949">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50">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7">
        <f t="shared" si="80"/>
        <v>0</v>
      </c>
      <c r="AE84" s="1231">
        <f t="shared" si="73"/>
        <v>0</v>
      </c>
      <c r="AF84" s="1232">
        <f t="shared" si="74"/>
        <v>0</v>
      </c>
      <c r="AG84" s="1232">
        <f t="shared" si="75"/>
        <v>0</v>
      </c>
      <c r="AH84" s="1173">
        <f t="shared" si="81"/>
        <v>0</v>
      </c>
      <c r="AI84" s="1233">
        <f t="shared" si="82"/>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76"/>
        <v>0</v>
      </c>
      <c r="N85" s="284">
        <f t="shared" si="77"/>
        <v>0</v>
      </c>
      <c r="O85" s="342">
        <v>0</v>
      </c>
      <c r="P85" s="343">
        <v>0</v>
      </c>
      <c r="Q85" s="343">
        <v>0</v>
      </c>
      <c r="R85" s="343">
        <v>0</v>
      </c>
      <c r="S85" s="343">
        <v>0</v>
      </c>
      <c r="T85" s="343">
        <v>0</v>
      </c>
      <c r="U85" s="343">
        <v>0</v>
      </c>
      <c r="V85" s="343">
        <v>0</v>
      </c>
      <c r="W85" s="343">
        <v>0</v>
      </c>
      <c r="X85" s="343">
        <v>0</v>
      </c>
      <c r="Y85" s="379">
        <v>0</v>
      </c>
      <c r="Z85" s="282">
        <f t="shared" si="78"/>
        <v>0</v>
      </c>
      <c r="AA85" s="284">
        <f t="shared" si="79"/>
        <v>0</v>
      </c>
      <c r="AB85" s="949">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50">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7">
        <f t="shared" si="80"/>
        <v>0</v>
      </c>
      <c r="AE85" s="1231">
        <f t="shared" si="73"/>
        <v>0</v>
      </c>
      <c r="AF85" s="1232">
        <f t="shared" si="74"/>
        <v>0</v>
      </c>
      <c r="AG85" s="1232">
        <f t="shared" si="75"/>
        <v>0</v>
      </c>
      <c r="AH85" s="1173">
        <f t="shared" si="81"/>
        <v>0</v>
      </c>
      <c r="AI85" s="1233">
        <f t="shared" si="82"/>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76"/>
        <v>0</v>
      </c>
      <c r="N86" s="298">
        <f t="shared" si="77"/>
        <v>0</v>
      </c>
      <c r="O86" s="344">
        <v>0</v>
      </c>
      <c r="P86" s="345">
        <v>0</v>
      </c>
      <c r="Q86" s="345">
        <v>0</v>
      </c>
      <c r="R86" s="345">
        <v>0</v>
      </c>
      <c r="S86" s="345">
        <v>0</v>
      </c>
      <c r="T86" s="345">
        <v>0</v>
      </c>
      <c r="U86" s="345">
        <v>0</v>
      </c>
      <c r="V86" s="345">
        <v>0</v>
      </c>
      <c r="W86" s="345">
        <v>0</v>
      </c>
      <c r="X86" s="345">
        <v>0</v>
      </c>
      <c r="Y86" s="380">
        <v>0</v>
      </c>
      <c r="Z86" s="296">
        <f t="shared" si="78"/>
        <v>0</v>
      </c>
      <c r="AA86" s="298">
        <f t="shared" si="79"/>
        <v>0</v>
      </c>
      <c r="AB86" s="949">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50">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7">
        <f t="shared" si="80"/>
        <v>0</v>
      </c>
      <c r="AE86" s="1231">
        <f t="shared" si="73"/>
        <v>0</v>
      </c>
      <c r="AF86" s="1232">
        <f t="shared" si="74"/>
        <v>0</v>
      </c>
      <c r="AG86" s="1232">
        <f t="shared" si="75"/>
        <v>0</v>
      </c>
      <c r="AH86" s="1173">
        <f t="shared" si="81"/>
        <v>0</v>
      </c>
      <c r="AI86" s="1233">
        <f t="shared" si="82"/>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76"/>
        <v>0</v>
      </c>
      <c r="N87" s="298">
        <f t="shared" si="77"/>
        <v>0</v>
      </c>
      <c r="O87" s="344">
        <v>0</v>
      </c>
      <c r="P87" s="345">
        <v>0</v>
      </c>
      <c r="Q87" s="345">
        <v>0</v>
      </c>
      <c r="R87" s="345">
        <v>0</v>
      </c>
      <c r="S87" s="345">
        <v>0</v>
      </c>
      <c r="T87" s="345">
        <v>0</v>
      </c>
      <c r="U87" s="345">
        <v>0</v>
      </c>
      <c r="V87" s="345">
        <v>0</v>
      </c>
      <c r="W87" s="345">
        <v>0</v>
      </c>
      <c r="X87" s="345">
        <v>0</v>
      </c>
      <c r="Y87" s="380">
        <v>0</v>
      </c>
      <c r="Z87" s="296">
        <f t="shared" si="78"/>
        <v>0</v>
      </c>
      <c r="AA87" s="298">
        <f t="shared" si="79"/>
        <v>0</v>
      </c>
      <c r="AB87" s="949">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50">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7">
        <f t="shared" si="80"/>
        <v>0</v>
      </c>
      <c r="AE87" s="1231">
        <f t="shared" si="73"/>
        <v>0</v>
      </c>
      <c r="AF87" s="1232">
        <f t="shared" si="74"/>
        <v>0</v>
      </c>
      <c r="AG87" s="1232">
        <f t="shared" si="75"/>
        <v>0</v>
      </c>
      <c r="AH87" s="1173">
        <f t="shared" si="81"/>
        <v>0</v>
      </c>
      <c r="AI87" s="1233">
        <f t="shared" si="82"/>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76"/>
        <v>0</v>
      </c>
      <c r="N88" s="298">
        <f t="shared" si="77"/>
        <v>0</v>
      </c>
      <c r="O88" s="344">
        <v>0</v>
      </c>
      <c r="P88" s="345">
        <v>0</v>
      </c>
      <c r="Q88" s="345">
        <v>0</v>
      </c>
      <c r="R88" s="345">
        <v>0</v>
      </c>
      <c r="S88" s="345">
        <v>0</v>
      </c>
      <c r="T88" s="345">
        <v>0</v>
      </c>
      <c r="U88" s="345">
        <v>0</v>
      </c>
      <c r="V88" s="345">
        <v>0</v>
      </c>
      <c r="W88" s="345">
        <v>0</v>
      </c>
      <c r="X88" s="345">
        <v>0</v>
      </c>
      <c r="Y88" s="380">
        <v>0</v>
      </c>
      <c r="Z88" s="296">
        <f t="shared" si="78"/>
        <v>0</v>
      </c>
      <c r="AA88" s="298">
        <f t="shared" si="79"/>
        <v>0</v>
      </c>
      <c r="AB88" s="949">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50">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7">
        <f t="shared" si="80"/>
        <v>0</v>
      </c>
      <c r="AE88" s="1231">
        <f t="shared" si="73"/>
        <v>0</v>
      </c>
      <c r="AF88" s="1232">
        <f t="shared" si="74"/>
        <v>0</v>
      </c>
      <c r="AG88" s="1232">
        <f t="shared" si="75"/>
        <v>0</v>
      </c>
      <c r="AH88" s="1173">
        <f t="shared" si="81"/>
        <v>0</v>
      </c>
      <c r="AI88" s="1233">
        <f t="shared" si="82"/>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76"/>
        <v>0</v>
      </c>
      <c r="N89" s="312">
        <f t="shared" si="77"/>
        <v>0</v>
      </c>
      <c r="O89" s="346">
        <v>0</v>
      </c>
      <c r="P89" s="347">
        <v>0</v>
      </c>
      <c r="Q89" s="347">
        <v>0</v>
      </c>
      <c r="R89" s="347">
        <v>0</v>
      </c>
      <c r="S89" s="347">
        <v>0</v>
      </c>
      <c r="T89" s="347">
        <v>0</v>
      </c>
      <c r="U89" s="347">
        <v>0</v>
      </c>
      <c r="V89" s="347">
        <v>0</v>
      </c>
      <c r="W89" s="347">
        <v>0</v>
      </c>
      <c r="X89" s="347">
        <v>0</v>
      </c>
      <c r="Y89" s="381">
        <v>0</v>
      </c>
      <c r="Z89" s="310">
        <f t="shared" si="78"/>
        <v>0</v>
      </c>
      <c r="AA89" s="312">
        <f t="shared" si="79"/>
        <v>0</v>
      </c>
      <c r="AB89" s="949">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50">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7">
        <f t="shared" si="80"/>
        <v>0</v>
      </c>
      <c r="AE89" s="1231">
        <f t="shared" si="73"/>
        <v>0</v>
      </c>
      <c r="AF89" s="1232">
        <f t="shared" si="74"/>
        <v>0</v>
      </c>
      <c r="AG89" s="1232">
        <f t="shared" si="75"/>
        <v>0</v>
      </c>
      <c r="AH89" s="1173">
        <f t="shared" si="81"/>
        <v>0</v>
      </c>
      <c r="AI89" s="1233">
        <f t="shared" si="82"/>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76"/>
        <v>0</v>
      </c>
      <c r="N90" s="284">
        <f t="shared" si="77"/>
        <v>0</v>
      </c>
      <c r="O90" s="342">
        <v>0</v>
      </c>
      <c r="P90" s="343">
        <v>0</v>
      </c>
      <c r="Q90" s="343">
        <v>0</v>
      </c>
      <c r="R90" s="343">
        <v>0</v>
      </c>
      <c r="S90" s="343">
        <v>0</v>
      </c>
      <c r="T90" s="343">
        <v>0</v>
      </c>
      <c r="U90" s="343">
        <v>0</v>
      </c>
      <c r="V90" s="343">
        <v>0</v>
      </c>
      <c r="W90" s="343">
        <v>0</v>
      </c>
      <c r="X90" s="343">
        <v>0</v>
      </c>
      <c r="Y90" s="379">
        <v>0</v>
      </c>
      <c r="Z90" s="282">
        <f t="shared" si="78"/>
        <v>0</v>
      </c>
      <c r="AA90" s="284">
        <f t="shared" si="79"/>
        <v>0</v>
      </c>
      <c r="AB90" s="949">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50">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7">
        <f t="shared" si="80"/>
        <v>0</v>
      </c>
      <c r="AE90" s="1231">
        <f t="shared" si="73"/>
        <v>0</v>
      </c>
      <c r="AF90" s="1232">
        <f t="shared" si="74"/>
        <v>0</v>
      </c>
      <c r="AG90" s="1232">
        <f t="shared" si="75"/>
        <v>0</v>
      </c>
      <c r="AH90" s="1173">
        <f t="shared" si="81"/>
        <v>0</v>
      </c>
      <c r="AI90" s="1233">
        <f t="shared" si="82"/>
        <v>0</v>
      </c>
      <c r="AJ90" s="227"/>
      <c r="AK90" s="227"/>
      <c r="AL90" s="227"/>
      <c r="AM90" s="227"/>
    </row>
    <row r="91" spans="1:39" x14ac:dyDescent="0.2">
      <c r="A91" s="330">
        <v>2022</v>
      </c>
      <c r="B91" s="344">
        <v>1.1923336791622855E-2</v>
      </c>
      <c r="C91" s="345">
        <v>1.1923336791622855E-2</v>
      </c>
      <c r="D91" s="345">
        <v>1.4089092431457085E-2</v>
      </c>
      <c r="E91" s="345">
        <v>1.6892140954369261E-2</v>
      </c>
      <c r="F91" s="345">
        <v>1.7625080891948953E-2</v>
      </c>
      <c r="G91" s="345">
        <v>1.741585648412888E-2</v>
      </c>
      <c r="H91" s="345">
        <v>1.7152040378762633E-2</v>
      </c>
      <c r="I91" s="345">
        <v>1.699321303714367E-2</v>
      </c>
      <c r="J91" s="345">
        <v>1.6756158251621484E-2</v>
      </c>
      <c r="K91" s="345">
        <v>1.6538782245192254E-2</v>
      </c>
      <c r="L91" s="380">
        <v>1.6538782245192254E-2</v>
      </c>
      <c r="M91" s="296">
        <f t="shared" si="76"/>
        <v>5.3965247990698899E-3</v>
      </c>
      <c r="N91" s="298">
        <f t="shared" si="77"/>
        <v>4.8427440601729998E-3</v>
      </c>
      <c r="O91" s="344">
        <v>1.1923336791622855E-2</v>
      </c>
      <c r="P91" s="345">
        <v>1.1923336791622855E-2</v>
      </c>
      <c r="Q91" s="345">
        <v>1.4214821419692802E-2</v>
      </c>
      <c r="R91" s="345">
        <v>1.7064823891435797E-2</v>
      </c>
      <c r="S91" s="345">
        <v>1.7735193911688679E-2</v>
      </c>
      <c r="T91" s="345">
        <v>1.7408285068753027E-2</v>
      </c>
      <c r="U91" s="345">
        <v>1.7158685500308125E-2</v>
      </c>
      <c r="V91" s="345">
        <v>1.6976377852700373E-2</v>
      </c>
      <c r="W91" s="345">
        <v>1.6597084501231416E-2</v>
      </c>
      <c r="X91" s="345">
        <v>1.6538782245192254E-2</v>
      </c>
      <c r="Y91" s="380">
        <v>1.6338826388590716E-2</v>
      </c>
      <c r="Z91" s="296">
        <f t="shared" si="78"/>
        <v>8.0460013524759465E-3</v>
      </c>
      <c r="AA91" s="298">
        <f t="shared" si="79"/>
        <v>7.6458277339125445E-3</v>
      </c>
      <c r="AB91" s="949">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50">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7">
        <f t="shared" si="80"/>
        <v>0</v>
      </c>
      <c r="AE91" s="1231">
        <f>SUMPRODUCT($B$74:$L$74,B91:L91)</f>
        <v>5.3965247990698899E-3</v>
      </c>
      <c r="AF91" s="1232">
        <f>SUMPRODUCT($O$74:$Y$74,O91:Y91)</f>
        <v>8.0460013524759465E-3</v>
      </c>
      <c r="AG91" s="1232">
        <f>SUM(AE91:AF91)</f>
        <v>1.3442526151545836E-2</v>
      </c>
      <c r="AH91" s="1173">
        <f t="shared" si="81"/>
        <v>0.40145168685048915</v>
      </c>
      <c r="AI91" s="1233">
        <f t="shared" si="82"/>
        <v>0.59854831314951085</v>
      </c>
      <c r="AJ91" s="227"/>
      <c r="AK91" s="540"/>
      <c r="AL91" s="540"/>
      <c r="AM91" s="540"/>
    </row>
    <row r="92" spans="1:39" x14ac:dyDescent="0.2">
      <c r="A92" s="330">
        <v>2023</v>
      </c>
      <c r="B92" s="344">
        <v>3.0045473573670177E-2</v>
      </c>
      <c r="C92" s="345">
        <v>3.0044267568608209E-2</v>
      </c>
      <c r="D92" s="345">
        <v>3.2684337736404501E-2</v>
      </c>
      <c r="E92" s="345">
        <v>3.790400823483317E-2</v>
      </c>
      <c r="F92" s="345">
        <v>4.05358628237074E-2</v>
      </c>
      <c r="G92" s="345">
        <v>4.1103256052244706E-2</v>
      </c>
      <c r="H92" s="345">
        <v>4.1499500009325979E-2</v>
      </c>
      <c r="I92" s="345">
        <v>4.1147784197899974E-2</v>
      </c>
      <c r="J92" s="345">
        <v>4.126901247133459E-2</v>
      </c>
      <c r="K92" s="345">
        <v>4.0902542485086464E-2</v>
      </c>
      <c r="L92" s="380">
        <v>4.0902542485086464E-2</v>
      </c>
      <c r="M92" s="296">
        <f t="shared" si="76"/>
        <v>1.3024858865323355E-2</v>
      </c>
      <c r="N92" s="298">
        <f t="shared" si="77"/>
        <v>1.1946788537479443E-2</v>
      </c>
      <c r="O92" s="344">
        <v>3.0045473573670177E-2</v>
      </c>
      <c r="P92" s="345">
        <v>3.0044267568608209E-2</v>
      </c>
      <c r="Q92" s="345">
        <v>3.2591468667912425E-2</v>
      </c>
      <c r="R92" s="345">
        <v>3.874656500054028E-2</v>
      </c>
      <c r="S92" s="345">
        <v>4.0887736304283127E-2</v>
      </c>
      <c r="T92" s="345">
        <v>4.1669521450260642E-2</v>
      </c>
      <c r="U92" s="345">
        <v>4.1499500009325979E-2</v>
      </c>
      <c r="V92" s="345">
        <v>4.126901247133459E-2</v>
      </c>
      <c r="W92" s="345">
        <v>4.1233323281795457E-2</v>
      </c>
      <c r="X92" s="345">
        <v>4.0902542485086464E-2</v>
      </c>
      <c r="Y92" s="380">
        <v>4.0699754051399889E-2</v>
      </c>
      <c r="Z92" s="296">
        <f t="shared" si="78"/>
        <v>1.9594752983181588E-2</v>
      </c>
      <c r="AA92" s="298">
        <f t="shared" si="79"/>
        <v>1.8980458714264473E-2</v>
      </c>
      <c r="AB92" s="949">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50">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7">
        <f t="shared" si="80"/>
        <v>0</v>
      </c>
      <c r="AE92" s="1231">
        <f t="shared" ref="AE92:AE119" si="83">SUMPRODUCT($B$74:$L$74,B92:L92)</f>
        <v>1.3024858865323355E-2</v>
      </c>
      <c r="AF92" s="1232">
        <f t="shared" ref="AF92:AF119" si="84">SUMPRODUCT($O$74:$Y$74,O92:Y92)</f>
        <v>1.9594752983181588E-2</v>
      </c>
      <c r="AG92" s="1232">
        <f t="shared" ref="AG92:AG119" si="85">SUM(AE92:AF92)</f>
        <v>3.261961184850494E-2</v>
      </c>
      <c r="AH92" s="1173">
        <f t="shared" si="81"/>
        <v>0.39929533575735437</v>
      </c>
      <c r="AI92" s="1233">
        <f t="shared" si="82"/>
        <v>0.60070466424264568</v>
      </c>
      <c r="AJ92" s="227"/>
      <c r="AK92" s="540"/>
      <c r="AL92" s="540"/>
      <c r="AM92" s="540"/>
    </row>
    <row r="93" spans="1:39" x14ac:dyDescent="0.2">
      <c r="A93" s="330">
        <v>2024</v>
      </c>
      <c r="B93" s="344">
        <v>6.0135202507298105E-2</v>
      </c>
      <c r="C93" s="345">
        <v>6.0104015427073644E-2</v>
      </c>
      <c r="D93" s="345">
        <v>5.9463751722558952E-2</v>
      </c>
      <c r="E93" s="345">
        <v>7.6990130791623548E-2</v>
      </c>
      <c r="F93" s="345">
        <v>8.2784534008469718E-2</v>
      </c>
      <c r="G93" s="345">
        <v>8.7993779393992527E-2</v>
      </c>
      <c r="H93" s="345">
        <v>9.0888973759896935E-2</v>
      </c>
      <c r="I93" s="345">
        <v>9.0831343580355606E-2</v>
      </c>
      <c r="J93" s="345">
        <v>9.1248002531559444E-2</v>
      </c>
      <c r="K93" s="345">
        <v>9.0761603224973716E-2</v>
      </c>
      <c r="L93" s="380">
        <v>9.0761603224973716E-2</v>
      </c>
      <c r="M93" s="296">
        <f t="shared" si="76"/>
        <v>2.5772070635370462E-2</v>
      </c>
      <c r="N93" s="298">
        <f t="shared" si="77"/>
        <v>2.3663613914881455E-2</v>
      </c>
      <c r="O93" s="344">
        <v>6.0135202507298105E-2</v>
      </c>
      <c r="P93" s="345">
        <v>6.0082431885289965E-2</v>
      </c>
      <c r="Q93" s="345">
        <v>6.0408012875412524E-2</v>
      </c>
      <c r="R93" s="345">
        <v>7.7401926323865514E-2</v>
      </c>
      <c r="S93" s="345">
        <v>8.505860905926306E-2</v>
      </c>
      <c r="T93" s="345">
        <v>8.8538179219162683E-2</v>
      </c>
      <c r="U93" s="345">
        <v>9.0888973759896935E-2</v>
      </c>
      <c r="V93" s="345">
        <v>9.0831343580355606E-2</v>
      </c>
      <c r="W93" s="345">
        <v>9.1327849643731238E-2</v>
      </c>
      <c r="X93" s="345">
        <v>9.0761603224973716E-2</v>
      </c>
      <c r="Y93" s="380">
        <v>9.0783254411302028E-2</v>
      </c>
      <c r="Z93" s="296">
        <f t="shared" si="78"/>
        <v>3.9267562894914135E-2</v>
      </c>
      <c r="AA93" s="298">
        <f t="shared" si="79"/>
        <v>3.7847966401966027E-2</v>
      </c>
      <c r="AB93" s="949">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50">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7">
        <f t="shared" si="80"/>
        <v>0</v>
      </c>
      <c r="AE93" s="1231">
        <f t="shared" si="83"/>
        <v>2.5772070635370462E-2</v>
      </c>
      <c r="AF93" s="1232">
        <f t="shared" si="84"/>
        <v>3.9267562894914135E-2</v>
      </c>
      <c r="AG93" s="1232">
        <f t="shared" si="85"/>
        <v>6.5039633530284593E-2</v>
      </c>
      <c r="AH93" s="1173">
        <f t="shared" si="81"/>
        <v>0.39625178120614929</v>
      </c>
      <c r="AI93" s="1233">
        <f t="shared" si="82"/>
        <v>0.60374821879385077</v>
      </c>
      <c r="AJ93" s="227"/>
      <c r="AK93" s="540"/>
      <c r="AL93" s="540"/>
      <c r="AM93" s="540"/>
    </row>
    <row r="94" spans="1:39" ht="15" thickBot="1" x14ac:dyDescent="0.25">
      <c r="A94" s="328">
        <v>2025</v>
      </c>
      <c r="B94" s="346">
        <v>4.6989237482330033E-2</v>
      </c>
      <c r="C94" s="347">
        <v>3.6777263451391942E-2</v>
      </c>
      <c r="D94" s="347">
        <v>7.275034881108966E-2</v>
      </c>
      <c r="E94" s="347">
        <v>0.12881403010719283</v>
      </c>
      <c r="F94" s="347">
        <v>0.14907705341816177</v>
      </c>
      <c r="G94" s="347">
        <v>0.15328524420497366</v>
      </c>
      <c r="H94" s="347">
        <v>0.16270207182888247</v>
      </c>
      <c r="I94" s="347">
        <v>0.16472780643708898</v>
      </c>
      <c r="J94" s="347">
        <v>0.16745744305554242</v>
      </c>
      <c r="K94" s="347">
        <v>0.16726394418526258</v>
      </c>
      <c r="L94" s="381">
        <v>0.16726394418526258</v>
      </c>
      <c r="M94" s="310">
        <f t="shared" si="76"/>
        <v>2.7587887961438847E-2</v>
      </c>
      <c r="N94" s="312">
        <f t="shared" si="77"/>
        <v>2.0474014335410656E-2</v>
      </c>
      <c r="O94" s="346">
        <v>4.6989237482330033E-2</v>
      </c>
      <c r="P94" s="347">
        <v>4.0056581661642235E-2</v>
      </c>
      <c r="Q94" s="347">
        <v>8.6122720022354021E-2</v>
      </c>
      <c r="R94" s="347">
        <v>0.13207234335350626</v>
      </c>
      <c r="S94" s="347">
        <v>0.15118491815567919</v>
      </c>
      <c r="T94" s="347">
        <v>0.15862892196125664</v>
      </c>
      <c r="U94" s="347">
        <v>0.16270207182888247</v>
      </c>
      <c r="V94" s="347">
        <v>0.16568089559562138</v>
      </c>
      <c r="W94" s="347">
        <v>0.1667683278949223</v>
      </c>
      <c r="X94" s="347">
        <v>0.16726394418526258</v>
      </c>
      <c r="Y94" s="381">
        <v>0.16750129585114876</v>
      </c>
      <c r="Z94" s="310">
        <f t="shared" si="78"/>
        <v>4.2942359568812677E-2</v>
      </c>
      <c r="AA94" s="312">
        <f t="shared" si="79"/>
        <v>3.2726632808864189E-2</v>
      </c>
      <c r="AB94" s="949">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50">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7">
        <f t="shared" si="80"/>
        <v>0</v>
      </c>
      <c r="AE94" s="1231">
        <f t="shared" si="83"/>
        <v>2.7587887961438847E-2</v>
      </c>
      <c r="AF94" s="1232">
        <f t="shared" si="84"/>
        <v>4.2942359568812677E-2</v>
      </c>
      <c r="AG94" s="1232">
        <f t="shared" si="85"/>
        <v>7.0530247530251527E-2</v>
      </c>
      <c r="AH94" s="1173">
        <f t="shared" si="81"/>
        <v>0.39114973968588401</v>
      </c>
      <c r="AI94" s="1233">
        <f t="shared" si="82"/>
        <v>0.60885026031411593</v>
      </c>
      <c r="AJ94" s="227"/>
      <c r="AK94" s="540"/>
      <c r="AL94" s="540"/>
      <c r="AM94" s="540"/>
    </row>
    <row r="95" spans="1:39" x14ac:dyDescent="0.2">
      <c r="A95" s="329">
        <v>2026</v>
      </c>
      <c r="B95" s="342">
        <v>5.3576907039906467E-2</v>
      </c>
      <c r="C95" s="343">
        <v>5.0529645589372167E-2</v>
      </c>
      <c r="D95" s="343">
        <v>0.13211696856811619</v>
      </c>
      <c r="E95" s="343">
        <v>0.20704236926563654</v>
      </c>
      <c r="F95" s="343">
        <v>0.22363231352506424</v>
      </c>
      <c r="G95" s="343">
        <v>0.23174857975946297</v>
      </c>
      <c r="H95" s="343">
        <v>0.23938478039925484</v>
      </c>
      <c r="I95" s="343">
        <v>0.24204497299863631</v>
      </c>
      <c r="J95" s="343">
        <v>0.2456236783488919</v>
      </c>
      <c r="K95" s="343">
        <v>0.24470222202913769</v>
      </c>
      <c r="L95" s="379">
        <v>0.24470222202913769</v>
      </c>
      <c r="M95" s="282">
        <f t="shared" si="76"/>
        <v>4.2008922320398094E-2</v>
      </c>
      <c r="N95" s="284">
        <f t="shared" si="77"/>
        <v>2.8660982641206003E-2</v>
      </c>
      <c r="O95" s="342">
        <v>5.3576907039906467E-2</v>
      </c>
      <c r="P95" s="343">
        <v>5.3163659246274052E-2</v>
      </c>
      <c r="Q95" s="343">
        <v>0.14694470916678776</v>
      </c>
      <c r="R95" s="343">
        <v>0.2104967359596181</v>
      </c>
      <c r="S95" s="343">
        <v>0.22394428982770476</v>
      </c>
      <c r="T95" s="343">
        <v>0.23622122993451231</v>
      </c>
      <c r="U95" s="343">
        <v>0.23938478039925484</v>
      </c>
      <c r="V95" s="343">
        <v>0.24310849632781187</v>
      </c>
      <c r="W95" s="343">
        <v>0.24435611903919441</v>
      </c>
      <c r="X95" s="343">
        <v>0.24469118380888621</v>
      </c>
      <c r="Y95" s="379">
        <v>0.2443814146801275</v>
      </c>
      <c r="Z95" s="282">
        <f t="shared" si="78"/>
        <v>6.253620050138109E-2</v>
      </c>
      <c r="AA95" s="284">
        <f t="shared" si="79"/>
        <v>4.374401604168103E-2</v>
      </c>
      <c r="AB95" s="949">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50">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7">
        <f t="shared" si="80"/>
        <v>0</v>
      </c>
      <c r="AE95" s="1231">
        <f t="shared" si="83"/>
        <v>4.2008922320398094E-2</v>
      </c>
      <c r="AF95" s="1232">
        <f t="shared" si="84"/>
        <v>6.253620050138109E-2</v>
      </c>
      <c r="AG95" s="1232">
        <f t="shared" si="85"/>
        <v>0.10454512282177919</v>
      </c>
      <c r="AH95" s="1173">
        <f t="shared" si="81"/>
        <v>0.40182574936577198</v>
      </c>
      <c r="AI95" s="1233">
        <f t="shared" si="82"/>
        <v>0.59817425063422791</v>
      </c>
      <c r="AJ95" s="227"/>
      <c r="AK95" s="540"/>
      <c r="AL95" s="540"/>
      <c r="AM95" s="540"/>
    </row>
    <row r="96" spans="1:39" x14ac:dyDescent="0.2">
      <c r="A96" s="330">
        <v>2027</v>
      </c>
      <c r="B96" s="344">
        <v>2.7670525158214849E-2</v>
      </c>
      <c r="C96" s="345">
        <v>3.5654933106119349E-2</v>
      </c>
      <c r="D96" s="345">
        <v>0.17546988850388204</v>
      </c>
      <c r="E96" s="345">
        <v>0.25342261864135462</v>
      </c>
      <c r="F96" s="345">
        <v>0.2761243598544979</v>
      </c>
      <c r="G96" s="345">
        <v>0.28453395095786727</v>
      </c>
      <c r="H96" s="345">
        <v>0.29352146090056241</v>
      </c>
      <c r="I96" s="345">
        <v>0.29450692153201519</v>
      </c>
      <c r="J96" s="345">
        <v>0.29416128106613726</v>
      </c>
      <c r="K96" s="345">
        <v>0.29432680144186557</v>
      </c>
      <c r="L96" s="380">
        <v>0.29432680144186557</v>
      </c>
      <c r="M96" s="296">
        <f t="shared" si="76"/>
        <v>4.5919869822146825E-2</v>
      </c>
      <c r="N96" s="298">
        <f t="shared" si="77"/>
        <v>2.5837935840534398E-2</v>
      </c>
      <c r="O96" s="344">
        <v>2.7670525158214849E-2</v>
      </c>
      <c r="P96" s="345">
        <v>4.3599578059106123E-2</v>
      </c>
      <c r="Q96" s="345">
        <v>0.19327410694559377</v>
      </c>
      <c r="R96" s="345">
        <v>0.25806918492406289</v>
      </c>
      <c r="S96" s="345">
        <v>0.27274985738195312</v>
      </c>
      <c r="T96" s="345">
        <v>0.28652248547358705</v>
      </c>
      <c r="U96" s="345">
        <v>0.29352146090056241</v>
      </c>
      <c r="V96" s="345">
        <v>0.29568874774804454</v>
      </c>
      <c r="W96" s="345">
        <v>0.2956409387602833</v>
      </c>
      <c r="X96" s="345">
        <v>0.29411392316992063</v>
      </c>
      <c r="Y96" s="380">
        <v>0.29154477501673132</v>
      </c>
      <c r="Z96" s="296">
        <f t="shared" si="78"/>
        <v>6.7451475774343364E-2</v>
      </c>
      <c r="AA96" s="298">
        <f t="shared" si="79"/>
        <v>3.8298819476511453E-2</v>
      </c>
      <c r="AB96" s="949">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50">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7">
        <f t="shared" si="80"/>
        <v>0</v>
      </c>
      <c r="AE96" s="1231">
        <f t="shared" si="83"/>
        <v>4.5919869822146825E-2</v>
      </c>
      <c r="AF96" s="1232">
        <f t="shared" si="84"/>
        <v>6.7451475774343364E-2</v>
      </c>
      <c r="AG96" s="1232">
        <f t="shared" si="85"/>
        <v>0.11337134559649019</v>
      </c>
      <c r="AH96" s="1173">
        <f t="shared" si="81"/>
        <v>0.40503947078112862</v>
      </c>
      <c r="AI96" s="1233">
        <f t="shared" si="82"/>
        <v>0.59496052921887133</v>
      </c>
      <c r="AJ96" s="227"/>
      <c r="AK96" s="540"/>
      <c r="AL96" s="540"/>
      <c r="AM96" s="540"/>
    </row>
    <row r="97" spans="1:39" x14ac:dyDescent="0.2">
      <c r="A97" s="330">
        <v>2028</v>
      </c>
      <c r="B97" s="344">
        <v>1.906093417050304E-2</v>
      </c>
      <c r="C97" s="345">
        <v>5.668909876381642E-2</v>
      </c>
      <c r="D97" s="345">
        <v>0.2037919925972547</v>
      </c>
      <c r="E97" s="345">
        <v>0.2788853131281876</v>
      </c>
      <c r="F97" s="345">
        <v>0.30122658134353592</v>
      </c>
      <c r="G97" s="345">
        <v>0.30962014400670251</v>
      </c>
      <c r="H97" s="345">
        <v>0.31824440021989386</v>
      </c>
      <c r="I97" s="345">
        <v>0.31947986530317024</v>
      </c>
      <c r="J97" s="345">
        <v>0.31901424918404964</v>
      </c>
      <c r="K97" s="345">
        <v>0.3145695976729273</v>
      </c>
      <c r="L97" s="380">
        <v>0.3145695976729273</v>
      </c>
      <c r="M97" s="296">
        <f t="shared" si="76"/>
        <v>5.3102513168637205E-2</v>
      </c>
      <c r="N97" s="298">
        <f t="shared" si="77"/>
        <v>2.9532063572612517E-2</v>
      </c>
      <c r="O97" s="344">
        <v>1.906093417050304E-2</v>
      </c>
      <c r="P97" s="345">
        <v>6.7820108801683848E-2</v>
      </c>
      <c r="Q97" s="345">
        <v>0.22612291753296479</v>
      </c>
      <c r="R97" s="345">
        <v>0.28736412201515371</v>
      </c>
      <c r="S97" s="345">
        <v>0.30747579437797551</v>
      </c>
      <c r="T97" s="345">
        <v>0.3140061361844263</v>
      </c>
      <c r="U97" s="345">
        <v>0.31824440021989386</v>
      </c>
      <c r="V97" s="345">
        <v>0.31750621295936193</v>
      </c>
      <c r="W97" s="345">
        <v>0.31603950201025915</v>
      </c>
      <c r="X97" s="345">
        <v>0.3144257676097798</v>
      </c>
      <c r="Y97" s="380">
        <v>0.3051221301957191</v>
      </c>
      <c r="Z97" s="296">
        <f t="shared" si="78"/>
        <v>7.9401558436480488E-2</v>
      </c>
      <c r="AA97" s="298">
        <f t="shared" si="79"/>
        <v>4.4795101696778188E-2</v>
      </c>
      <c r="AB97" s="949">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50">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7">
        <f t="shared" si="80"/>
        <v>0</v>
      </c>
      <c r="AE97" s="1231">
        <f t="shared" si="83"/>
        <v>5.3102513168637205E-2</v>
      </c>
      <c r="AF97" s="1232">
        <f t="shared" si="84"/>
        <v>7.9401558436480488E-2</v>
      </c>
      <c r="AG97" s="1232">
        <f t="shared" si="85"/>
        <v>0.13250407160511768</v>
      </c>
      <c r="AH97" s="1173">
        <f t="shared" si="81"/>
        <v>0.40076136925732203</v>
      </c>
      <c r="AI97" s="1233">
        <f t="shared" si="82"/>
        <v>0.59923863074267802</v>
      </c>
      <c r="AJ97" s="227"/>
      <c r="AK97" s="540"/>
      <c r="AL97" s="540"/>
      <c r="AM97" s="540"/>
    </row>
    <row r="98" spans="1:39" x14ac:dyDescent="0.2">
      <c r="A98" s="330">
        <v>2029</v>
      </c>
      <c r="B98" s="344">
        <v>4.4940383363715319E-3</v>
      </c>
      <c r="C98" s="345">
        <v>6.9237417107392327E-2</v>
      </c>
      <c r="D98" s="345">
        <v>0.22736864122833528</v>
      </c>
      <c r="E98" s="345">
        <v>0.29125205256726922</v>
      </c>
      <c r="F98" s="345">
        <v>0.31055466268016307</v>
      </c>
      <c r="G98" s="345">
        <v>0.31893002688852334</v>
      </c>
      <c r="H98" s="345">
        <v>0.32552889329801715</v>
      </c>
      <c r="I98" s="345">
        <v>0.32606287020644903</v>
      </c>
      <c r="J98" s="345">
        <v>0.32306194543980277</v>
      </c>
      <c r="K98" s="345">
        <v>0.31433136022658437</v>
      </c>
      <c r="L98" s="380">
        <v>0.31433136022658437</v>
      </c>
      <c r="M98" s="296">
        <f t="shared" si="76"/>
        <v>5.6874832537495514E-2</v>
      </c>
      <c r="N98" s="298">
        <f t="shared" si="77"/>
        <v>3.0404650954929949E-2</v>
      </c>
      <c r="O98" s="344">
        <v>4.4940383363715319E-3</v>
      </c>
      <c r="P98" s="345">
        <v>8.1785657880539056E-2</v>
      </c>
      <c r="Q98" s="345">
        <v>0.24416924379906552</v>
      </c>
      <c r="R98" s="345">
        <v>0.29969735496530331</v>
      </c>
      <c r="S98" s="345">
        <v>0.31330618493754953</v>
      </c>
      <c r="T98" s="345">
        <v>0.32344674512741584</v>
      </c>
      <c r="U98" s="345">
        <v>0.3251794057859656</v>
      </c>
      <c r="V98" s="345">
        <v>0.32359375513412042</v>
      </c>
      <c r="W98" s="345">
        <v>0.31768691880745398</v>
      </c>
      <c r="X98" s="345">
        <v>0.31174062239058492</v>
      </c>
      <c r="Y98" s="380">
        <v>0.30017852567945036</v>
      </c>
      <c r="Z98" s="296">
        <f t="shared" si="78"/>
        <v>8.4212454030992825E-2</v>
      </c>
      <c r="AA98" s="298">
        <f t="shared" si="79"/>
        <v>4.5620265582545012E-2</v>
      </c>
      <c r="AB98" s="949">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50">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7">
        <f t="shared" si="80"/>
        <v>0</v>
      </c>
      <c r="AE98" s="1231">
        <f t="shared" si="83"/>
        <v>5.6874832537495514E-2</v>
      </c>
      <c r="AF98" s="1232">
        <f t="shared" si="84"/>
        <v>8.4212454030992825E-2</v>
      </c>
      <c r="AG98" s="1232">
        <f t="shared" si="85"/>
        <v>0.14108728656848835</v>
      </c>
      <c r="AH98" s="1173">
        <f t="shared" si="81"/>
        <v>0.40311805493464237</v>
      </c>
      <c r="AI98" s="1233">
        <f t="shared" si="82"/>
        <v>0.59688194506535763</v>
      </c>
      <c r="AJ98" s="227"/>
      <c r="AK98" s="540"/>
      <c r="AL98" s="540"/>
      <c r="AM98" s="540"/>
    </row>
    <row r="99" spans="1:39" ht="15" thickBot="1" x14ac:dyDescent="0.25">
      <c r="A99" s="328">
        <v>2030</v>
      </c>
      <c r="B99" s="346">
        <v>0</v>
      </c>
      <c r="C99" s="347">
        <v>8.8271819070806765E-2</v>
      </c>
      <c r="D99" s="347">
        <v>0.23731427873946251</v>
      </c>
      <c r="E99" s="347">
        <v>0.30290680876552578</v>
      </c>
      <c r="F99" s="347">
        <v>0.31665303000882927</v>
      </c>
      <c r="G99" s="347">
        <v>0.32427412160748342</v>
      </c>
      <c r="H99" s="347">
        <v>0.32761625583576776</v>
      </c>
      <c r="I99" s="347">
        <v>0.32159915937818578</v>
      </c>
      <c r="J99" s="347">
        <v>0.31348647020008275</v>
      </c>
      <c r="K99" s="347">
        <v>0.3010679574765428</v>
      </c>
      <c r="L99" s="381">
        <v>0.3010679574765428</v>
      </c>
      <c r="M99" s="310">
        <f t="shared" si="76"/>
        <v>6.0932056653312715E-2</v>
      </c>
      <c r="N99" s="312">
        <f t="shared" si="77"/>
        <v>3.3106747713915294E-2</v>
      </c>
      <c r="O99" s="346">
        <v>0</v>
      </c>
      <c r="P99" s="347">
        <v>9.4123894054817761E-2</v>
      </c>
      <c r="Q99" s="347">
        <v>0.25381549028579592</v>
      </c>
      <c r="R99" s="347">
        <v>0.30618668898190016</v>
      </c>
      <c r="S99" s="347">
        <v>0.31900298266792027</v>
      </c>
      <c r="T99" s="347">
        <v>0.32770003590048313</v>
      </c>
      <c r="U99" s="347">
        <v>0.32581576734477513</v>
      </c>
      <c r="V99" s="347">
        <v>0.3149630329830308</v>
      </c>
      <c r="W99" s="347">
        <v>0.30494060696966169</v>
      </c>
      <c r="X99" s="347">
        <v>0.29905503467860761</v>
      </c>
      <c r="Y99" s="381">
        <v>0.28829824165674872</v>
      </c>
      <c r="Z99" s="310">
        <f t="shared" si="78"/>
        <v>8.8141232228589494E-2</v>
      </c>
      <c r="AA99" s="312">
        <f t="shared" si="79"/>
        <v>4.8152044401638665E-2</v>
      </c>
      <c r="AB99" s="949">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50">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7">
        <f t="shared" si="80"/>
        <v>0</v>
      </c>
      <c r="AE99" s="1231">
        <f t="shared" si="83"/>
        <v>6.0932056653312715E-2</v>
      </c>
      <c r="AF99" s="1232">
        <f t="shared" si="84"/>
        <v>8.8141232228589494E-2</v>
      </c>
      <c r="AG99" s="1232">
        <f t="shared" si="85"/>
        <v>0.14907328888190222</v>
      </c>
      <c r="AH99" s="1173">
        <f t="shared" si="81"/>
        <v>0.40873893043027898</v>
      </c>
      <c r="AI99" s="1233">
        <f t="shared" si="82"/>
        <v>0.59126106956972091</v>
      </c>
      <c r="AJ99" s="227"/>
      <c r="AK99" s="540"/>
      <c r="AL99" s="540"/>
      <c r="AM99" s="540"/>
    </row>
    <row r="100" spans="1:39" x14ac:dyDescent="0.2">
      <c r="A100" s="329">
        <v>2031</v>
      </c>
      <c r="B100" s="342">
        <v>0</v>
      </c>
      <c r="C100" s="343">
        <v>8.7601778551946743E-2</v>
      </c>
      <c r="D100" s="343">
        <v>0.23840968210860608</v>
      </c>
      <c r="E100" s="343">
        <v>0.30432608404812156</v>
      </c>
      <c r="F100" s="343">
        <v>0.31814589674740207</v>
      </c>
      <c r="G100" s="343">
        <v>0.32541076748227071</v>
      </c>
      <c r="H100" s="343">
        <v>0.32269575451265253</v>
      </c>
      <c r="I100" s="343">
        <v>0.31384381052925858</v>
      </c>
      <c r="J100" s="343">
        <v>0.30557204588799036</v>
      </c>
      <c r="K100" s="343">
        <v>0.29305702481422358</v>
      </c>
      <c r="L100" s="379">
        <v>0.29305702481422358</v>
      </c>
      <c r="M100" s="282">
        <f t="shared" si="76"/>
        <v>6.0922492695571553E-2</v>
      </c>
      <c r="N100" s="284">
        <f t="shared" si="77"/>
        <v>3.308366040191188E-2</v>
      </c>
      <c r="O100" s="342">
        <v>0</v>
      </c>
      <c r="P100" s="343">
        <v>0.10155649677970183</v>
      </c>
      <c r="Q100" s="343">
        <v>0.2549915037563284</v>
      </c>
      <c r="R100" s="343">
        <v>0.30762397321717333</v>
      </c>
      <c r="S100" s="343">
        <v>0.32369601882935828</v>
      </c>
      <c r="T100" s="343">
        <v>0.32688115592974404</v>
      </c>
      <c r="U100" s="343">
        <v>0.32036462512041519</v>
      </c>
      <c r="V100" s="343">
        <v>0.30748599019333184</v>
      </c>
      <c r="W100" s="343">
        <v>0.29737903954371997</v>
      </c>
      <c r="X100" s="343">
        <v>0.29087368556318194</v>
      </c>
      <c r="Y100" s="379">
        <v>0.28199936974112644</v>
      </c>
      <c r="Z100" s="282">
        <f t="shared" si="78"/>
        <v>9.010124503367184E-2</v>
      </c>
      <c r="AA100" s="284">
        <f t="shared" si="79"/>
        <v>5.0108636663536626E-2</v>
      </c>
      <c r="AB100" s="949">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50">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7">
        <f t="shared" si="80"/>
        <v>0</v>
      </c>
      <c r="AE100" s="1231">
        <f t="shared" si="83"/>
        <v>6.0922492695571553E-2</v>
      </c>
      <c r="AF100" s="1232">
        <f t="shared" si="84"/>
        <v>9.010124503367184E-2</v>
      </c>
      <c r="AG100" s="1232">
        <f t="shared" si="85"/>
        <v>0.15102373772924338</v>
      </c>
      <c r="AH100" s="1173">
        <f t="shared" si="81"/>
        <v>0.40339680113595061</v>
      </c>
      <c r="AI100" s="1233">
        <f t="shared" si="82"/>
        <v>0.59660319886404944</v>
      </c>
      <c r="AJ100" s="227"/>
      <c r="AK100" s="540"/>
      <c r="AL100" s="540"/>
      <c r="AM100" s="540"/>
    </row>
    <row r="101" spans="1:39" x14ac:dyDescent="0.2">
      <c r="A101" s="330">
        <v>2032</v>
      </c>
      <c r="B101" s="344">
        <v>0</v>
      </c>
      <c r="C101" s="345">
        <v>8.7753162026865186E-2</v>
      </c>
      <c r="D101" s="345">
        <v>0.23887250667445095</v>
      </c>
      <c r="E101" s="345">
        <v>0.30493859001319595</v>
      </c>
      <c r="F101" s="345">
        <v>0.31869627538858758</v>
      </c>
      <c r="G101" s="345">
        <v>0.32458641260539306</v>
      </c>
      <c r="H101" s="345">
        <v>0.31636900124675132</v>
      </c>
      <c r="I101" s="345">
        <v>0.30678509674978399</v>
      </c>
      <c r="J101" s="345">
        <v>0.29696479341216736</v>
      </c>
      <c r="K101" s="345">
        <v>0.28585684843165571</v>
      </c>
      <c r="L101" s="380">
        <v>0.28585684843165571</v>
      </c>
      <c r="M101" s="296">
        <f t="shared" si="76"/>
        <v>6.0905091872815849E-2</v>
      </c>
      <c r="N101" s="298">
        <f t="shared" si="77"/>
        <v>3.312029709526846E-2</v>
      </c>
      <c r="O101" s="344">
        <v>0</v>
      </c>
      <c r="P101" s="345">
        <v>0.104677507819704</v>
      </c>
      <c r="Q101" s="345">
        <v>0.25549108982756097</v>
      </c>
      <c r="R101" s="345">
        <v>0.30444334823237162</v>
      </c>
      <c r="S101" s="345">
        <v>0.32356482478447146</v>
      </c>
      <c r="T101" s="345">
        <v>0.32326485655302534</v>
      </c>
      <c r="U101" s="345">
        <v>0.31202477203489176</v>
      </c>
      <c r="V101" s="345">
        <v>0.29914725094887185</v>
      </c>
      <c r="W101" s="345">
        <v>0.28808297834845714</v>
      </c>
      <c r="X101" s="345">
        <v>0.28365573464952121</v>
      </c>
      <c r="Y101" s="380">
        <v>0.27511327251427664</v>
      </c>
      <c r="Z101" s="296">
        <f t="shared" si="78"/>
        <v>9.0373132625472238E-2</v>
      </c>
      <c r="AA101" s="298">
        <f t="shared" si="79"/>
        <v>5.077584109425301E-2</v>
      </c>
      <c r="AB101" s="949">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50">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7">
        <f t="shared" si="80"/>
        <v>0</v>
      </c>
      <c r="AE101" s="1231">
        <f t="shared" si="83"/>
        <v>6.0905091872815849E-2</v>
      </c>
      <c r="AF101" s="1232">
        <f t="shared" si="84"/>
        <v>9.0373132625472238E-2</v>
      </c>
      <c r="AG101" s="1232">
        <f t="shared" si="85"/>
        <v>0.15127822449828809</v>
      </c>
      <c r="AH101" s="1173">
        <f t="shared" si="81"/>
        <v>0.40260316430078852</v>
      </c>
      <c r="AI101" s="1233">
        <f t="shared" si="82"/>
        <v>0.59739683569921143</v>
      </c>
      <c r="AJ101" s="227"/>
      <c r="AK101" s="540"/>
      <c r="AL101" s="540"/>
      <c r="AM101" s="540"/>
    </row>
    <row r="102" spans="1:39" x14ac:dyDescent="0.2">
      <c r="A102" s="330">
        <v>2033</v>
      </c>
      <c r="B102" s="344">
        <v>0</v>
      </c>
      <c r="C102" s="345">
        <v>9.6040510986603517E-2</v>
      </c>
      <c r="D102" s="345">
        <v>0.24865531938433955</v>
      </c>
      <c r="E102" s="345">
        <v>0.30130778974773725</v>
      </c>
      <c r="F102" s="345">
        <v>0.31814473738575672</v>
      </c>
      <c r="G102" s="345">
        <v>0.3225661492415634</v>
      </c>
      <c r="H102" s="345">
        <v>0.30581655784155931</v>
      </c>
      <c r="I102" s="345">
        <v>0.2973751647002052</v>
      </c>
      <c r="J102" s="345">
        <v>0.28717694963070572</v>
      </c>
      <c r="K102" s="345">
        <v>0.27834948528029074</v>
      </c>
      <c r="L102" s="380">
        <v>0.27834948528029074</v>
      </c>
      <c r="M102" s="296">
        <f t="shared" si="76"/>
        <v>6.2662198165828811E-2</v>
      </c>
      <c r="N102" s="298">
        <f t="shared" si="77"/>
        <v>3.468763705323949E-2</v>
      </c>
      <c r="O102" s="344">
        <v>0</v>
      </c>
      <c r="P102" s="345">
        <v>0.11081074364204253</v>
      </c>
      <c r="Q102" s="345">
        <v>0.25574140066074863</v>
      </c>
      <c r="R102" s="345">
        <v>0.3091008703403893</v>
      </c>
      <c r="S102" s="345">
        <v>0.3210275872353428</v>
      </c>
      <c r="T102" s="345">
        <v>0.31550712241334011</v>
      </c>
      <c r="U102" s="345">
        <v>0.30228170317824804</v>
      </c>
      <c r="V102" s="345">
        <v>0.28947340702620922</v>
      </c>
      <c r="W102" s="345">
        <v>0.28050686336294078</v>
      </c>
      <c r="X102" s="345">
        <v>0.27625781741809052</v>
      </c>
      <c r="Y102" s="380">
        <v>0.27027488101700137</v>
      </c>
      <c r="Z102" s="296">
        <f t="shared" si="78"/>
        <v>9.1774771097388588E-2</v>
      </c>
      <c r="AA102" s="298">
        <f t="shared" si="79"/>
        <v>5.2348412460781764E-2</v>
      </c>
      <c r="AB102" s="949">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50">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7">
        <f>AB102*AH102+AC102*AI102</f>
        <v>0</v>
      </c>
      <c r="AE102" s="1231">
        <f t="shared" si="83"/>
        <v>6.2662198165828811E-2</v>
      </c>
      <c r="AF102" s="1232">
        <f t="shared" si="84"/>
        <v>9.1774771097388588E-2</v>
      </c>
      <c r="AG102" s="1232">
        <f t="shared" si="85"/>
        <v>0.1544369692632174</v>
      </c>
      <c r="AH102" s="1173">
        <f t="shared" si="81"/>
        <v>0.40574610123971921</v>
      </c>
      <c r="AI102" s="1233">
        <f t="shared" si="82"/>
        <v>0.59425389876028079</v>
      </c>
      <c r="AJ102" s="227"/>
      <c r="AK102" s="540"/>
      <c r="AL102" s="540"/>
      <c r="AM102" s="540"/>
    </row>
    <row r="103" spans="1:39" x14ac:dyDescent="0.2">
      <c r="A103" s="330">
        <v>2034</v>
      </c>
      <c r="B103" s="344">
        <v>0</v>
      </c>
      <c r="C103" s="345">
        <v>9.6077788101084374E-2</v>
      </c>
      <c r="D103" s="345">
        <v>0.24468184496486389</v>
      </c>
      <c r="E103" s="345">
        <v>0.30871686359989864</v>
      </c>
      <c r="F103" s="345">
        <v>0.31586031288868971</v>
      </c>
      <c r="G103" s="345">
        <v>0.3163813313592192</v>
      </c>
      <c r="H103" s="345">
        <v>0.29632992928001933</v>
      </c>
      <c r="I103" s="345">
        <v>0.28961955721032884</v>
      </c>
      <c r="J103" s="345">
        <v>0.27939438045047266</v>
      </c>
      <c r="K103" s="345">
        <v>0.27310334153476945</v>
      </c>
      <c r="L103" s="380">
        <v>0.27310334153476945</v>
      </c>
      <c r="M103" s="296">
        <f t="shared" si="76"/>
        <v>6.2439220216050237E-2</v>
      </c>
      <c r="N103" s="298">
        <f t="shared" si="77"/>
        <v>3.4573709836533982E-2</v>
      </c>
      <c r="O103" s="344">
        <v>0</v>
      </c>
      <c r="P103" s="345">
        <v>0.11085593649808288</v>
      </c>
      <c r="Q103" s="345">
        <v>0.26684290175976039</v>
      </c>
      <c r="R103" s="345">
        <v>0.30842794095572829</v>
      </c>
      <c r="S103" s="345">
        <v>0.31519857901732284</v>
      </c>
      <c r="T103" s="345">
        <v>0.30475703107765245</v>
      </c>
      <c r="U103" s="345">
        <v>0.2926538219742732</v>
      </c>
      <c r="V103" s="345">
        <v>0.28165381568447906</v>
      </c>
      <c r="W103" s="345">
        <v>0.27515315243598815</v>
      </c>
      <c r="X103" s="345">
        <v>0.27114820743122153</v>
      </c>
      <c r="Y103" s="380">
        <v>0.26575806860889561</v>
      </c>
      <c r="Z103" s="296">
        <f t="shared" si="78"/>
        <v>9.2088254655711577E-2</v>
      </c>
      <c r="AA103" s="298">
        <f t="shared" si="79"/>
        <v>5.2729842304199484E-2</v>
      </c>
      <c r="AB103" s="949">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50">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7">
        <f t="shared" ref="AD103:AD119" si="86">AB103*AH103+AC103*AI103</f>
        <v>0</v>
      </c>
      <c r="AE103" s="1231">
        <f t="shared" si="83"/>
        <v>6.2439220216050237E-2</v>
      </c>
      <c r="AF103" s="1232">
        <f t="shared" si="84"/>
        <v>9.2088254655711577E-2</v>
      </c>
      <c r="AG103" s="1232">
        <f t="shared" si="85"/>
        <v>0.15452747487176183</v>
      </c>
      <c r="AH103" s="1173">
        <f t="shared" si="81"/>
        <v>0.40406549235252087</v>
      </c>
      <c r="AI103" s="1233">
        <f t="shared" si="82"/>
        <v>0.59593450764747902</v>
      </c>
      <c r="AJ103" s="227"/>
      <c r="AK103" s="540"/>
      <c r="AL103" s="540"/>
      <c r="AM103" s="540"/>
    </row>
    <row r="104" spans="1:39" ht="15" thickBot="1" x14ac:dyDescent="0.25">
      <c r="A104" s="328">
        <v>2035</v>
      </c>
      <c r="B104" s="346">
        <v>0</v>
      </c>
      <c r="C104" s="347">
        <v>0.10188010767836439</v>
      </c>
      <c r="D104" s="347">
        <v>0.2448031006607011</v>
      </c>
      <c r="E104" s="347">
        <v>0.30802100349467998</v>
      </c>
      <c r="F104" s="347">
        <v>0.31487593831326627</v>
      </c>
      <c r="G104" s="347">
        <v>0.30231490365935676</v>
      </c>
      <c r="H104" s="347">
        <v>0.28472580514728191</v>
      </c>
      <c r="I104" s="347">
        <v>0.2793196145102449</v>
      </c>
      <c r="J104" s="347">
        <v>0.27398080791000512</v>
      </c>
      <c r="K104" s="347">
        <v>0.26615585104202616</v>
      </c>
      <c r="L104" s="381">
        <v>0.26615585104202616</v>
      </c>
      <c r="M104" s="310">
        <f t="shared" si="76"/>
        <v>6.3066757690416156E-2</v>
      </c>
      <c r="N104" s="312">
        <f t="shared" si="77"/>
        <v>3.5342265112842233E-2</v>
      </c>
      <c r="O104" s="346">
        <v>0</v>
      </c>
      <c r="P104" s="347">
        <v>0.10933965203967552</v>
      </c>
      <c r="Q104" s="347">
        <v>0.26697825423763616</v>
      </c>
      <c r="R104" s="347">
        <v>0.31170681484070423</v>
      </c>
      <c r="S104" s="347">
        <v>0.30544492274796381</v>
      </c>
      <c r="T104" s="347">
        <v>0.29374405631399675</v>
      </c>
      <c r="U104" s="347">
        <v>0.28234610351390038</v>
      </c>
      <c r="V104" s="347">
        <v>0.27398080791000512</v>
      </c>
      <c r="W104" s="347">
        <v>0.26813630627263463</v>
      </c>
      <c r="X104" s="347">
        <v>0.2663832180952202</v>
      </c>
      <c r="Y104" s="381">
        <v>0.26308098052355444</v>
      </c>
      <c r="Z104" s="310">
        <f t="shared" si="78"/>
        <v>9.1215796987216727E-2</v>
      </c>
      <c r="AA104" s="312">
        <f t="shared" si="79"/>
        <v>5.2267035282945858E-2</v>
      </c>
      <c r="AB104" s="949">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50">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7">
        <f t="shared" si="86"/>
        <v>0</v>
      </c>
      <c r="AE104" s="1231">
        <f t="shared" si="83"/>
        <v>6.3066757690416156E-2</v>
      </c>
      <c r="AF104" s="1232">
        <f t="shared" si="84"/>
        <v>9.1215796987216727E-2</v>
      </c>
      <c r="AG104" s="1232">
        <f t="shared" si="85"/>
        <v>0.15428255467763288</v>
      </c>
      <c r="AH104" s="1173">
        <f t="shared" si="81"/>
        <v>0.40877439333430521</v>
      </c>
      <c r="AI104" s="1233">
        <f t="shared" si="82"/>
        <v>0.59122560666569479</v>
      </c>
      <c r="AJ104" s="227"/>
      <c r="AK104" s="540"/>
      <c r="AL104" s="540"/>
      <c r="AM104" s="540"/>
    </row>
    <row r="105" spans="1:39" x14ac:dyDescent="0.2">
      <c r="A105" s="329">
        <v>2036</v>
      </c>
      <c r="B105" s="342">
        <v>0</v>
      </c>
      <c r="C105" s="343">
        <v>0.10614194334268236</v>
      </c>
      <c r="D105" s="343">
        <v>0.25497302248607429</v>
      </c>
      <c r="E105" s="343">
        <v>0.30721250651074045</v>
      </c>
      <c r="F105" s="343">
        <v>0.31140996463517623</v>
      </c>
      <c r="G105" s="343">
        <v>0.30068623728465116</v>
      </c>
      <c r="H105" s="343">
        <v>0.28374146741399631</v>
      </c>
      <c r="I105" s="343">
        <v>0.27947681554294218</v>
      </c>
      <c r="J105" s="343">
        <v>0.27273999353265516</v>
      </c>
      <c r="K105" s="343">
        <v>0.26653086410875004</v>
      </c>
      <c r="L105" s="379">
        <v>0.26653086410875004</v>
      </c>
      <c r="M105" s="282">
        <f t="shared" si="76"/>
        <v>6.4490180556153326E-2</v>
      </c>
      <c r="N105" s="284">
        <f t="shared" si="77"/>
        <v>3.6422525283829547E-2</v>
      </c>
      <c r="O105" s="342">
        <v>0</v>
      </c>
      <c r="P105" s="343">
        <v>0.12198902506084108</v>
      </c>
      <c r="Q105" s="343">
        <v>0.27138874487525888</v>
      </c>
      <c r="R105" s="343">
        <v>0.30985843933687351</v>
      </c>
      <c r="S105" s="343">
        <v>0.30200291563186277</v>
      </c>
      <c r="T105" s="343">
        <v>0.29111491432010211</v>
      </c>
      <c r="U105" s="343">
        <v>0.28136879828580252</v>
      </c>
      <c r="V105" s="343">
        <v>0.27413468594931828</v>
      </c>
      <c r="W105" s="343">
        <v>0.26828552241968018</v>
      </c>
      <c r="X105" s="343">
        <v>0.26653086410875004</v>
      </c>
      <c r="Y105" s="379">
        <v>0.26192753403218011</v>
      </c>
      <c r="Z105" s="282">
        <f t="shared" si="78"/>
        <v>9.4787849206350624E-2</v>
      </c>
      <c r="AA105" s="284">
        <f t="shared" si="79"/>
        <v>5.5641862295546178E-2</v>
      </c>
      <c r="AB105" s="949">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50">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7">
        <f t="shared" si="86"/>
        <v>0</v>
      </c>
      <c r="AE105" s="1231">
        <f t="shared" si="83"/>
        <v>6.4490180556153326E-2</v>
      </c>
      <c r="AF105" s="1232">
        <f t="shared" si="84"/>
        <v>9.4787849206350624E-2</v>
      </c>
      <c r="AG105" s="1232">
        <f t="shared" si="85"/>
        <v>0.15927802976250394</v>
      </c>
      <c r="AH105" s="1173">
        <f t="shared" si="81"/>
        <v>0.40489062209215704</v>
      </c>
      <c r="AI105" s="1233">
        <f t="shared" si="82"/>
        <v>0.59510937790784302</v>
      </c>
      <c r="AJ105" s="227"/>
      <c r="AK105" s="540"/>
      <c r="AL105" s="540"/>
      <c r="AM105" s="540"/>
    </row>
    <row r="106" spans="1:39" x14ac:dyDescent="0.2">
      <c r="A106" s="330">
        <v>2037</v>
      </c>
      <c r="B106" s="344">
        <v>0</v>
      </c>
      <c r="C106" s="345">
        <v>0.10614306392813673</v>
      </c>
      <c r="D106" s="345">
        <v>0.25497571434427146</v>
      </c>
      <c r="E106" s="345">
        <v>0.30625699706059101</v>
      </c>
      <c r="F106" s="345">
        <v>0.31180652357286348</v>
      </c>
      <c r="G106" s="345">
        <v>0.30261259729193862</v>
      </c>
      <c r="H106" s="345">
        <v>0.28375268862313058</v>
      </c>
      <c r="I106" s="345">
        <v>0.27722842743156489</v>
      </c>
      <c r="J106" s="345">
        <v>0.27075472114015842</v>
      </c>
      <c r="K106" s="345">
        <v>0.26654379374344267</v>
      </c>
      <c r="L106" s="380">
        <v>0.26654379374344267</v>
      </c>
      <c r="M106" s="296">
        <f t="shared" si="76"/>
        <v>6.4456742902965811E-2</v>
      </c>
      <c r="N106" s="298">
        <f t="shared" si="77"/>
        <v>3.6409000783780329E-2</v>
      </c>
      <c r="O106" s="344">
        <v>0</v>
      </c>
      <c r="P106" s="345">
        <v>0.12199031295064949</v>
      </c>
      <c r="Q106" s="345">
        <v>0.26711696969636373</v>
      </c>
      <c r="R106" s="345">
        <v>0.30718221504382209</v>
      </c>
      <c r="S106" s="345">
        <v>0.30006472809102741</v>
      </c>
      <c r="T106" s="345">
        <v>0.28851370308634661</v>
      </c>
      <c r="U106" s="345">
        <v>0.28016626253217602</v>
      </c>
      <c r="V106" s="345">
        <v>0.2720551761050361</v>
      </c>
      <c r="W106" s="345">
        <v>0.26829827458376393</v>
      </c>
      <c r="X106" s="345">
        <v>0.26492692227475095</v>
      </c>
      <c r="Y106" s="380">
        <v>0.26194087195281041</v>
      </c>
      <c r="Z106" s="296">
        <f t="shared" si="78"/>
        <v>9.4143238569636398E-2</v>
      </c>
      <c r="AA106" s="298">
        <f t="shared" si="79"/>
        <v>5.53526567701388E-2</v>
      </c>
      <c r="AB106" s="949">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50">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7">
        <f t="shared" si="86"/>
        <v>0</v>
      </c>
      <c r="AE106" s="1231">
        <f t="shared" si="83"/>
        <v>6.4456742902965811E-2</v>
      </c>
      <c r="AF106" s="1232">
        <f t="shared" si="84"/>
        <v>9.4143238569636398E-2</v>
      </c>
      <c r="AG106" s="1232">
        <f t="shared" si="85"/>
        <v>0.15859998147260221</v>
      </c>
      <c r="AH106" s="1173">
        <f t="shared" si="81"/>
        <v>0.40641078456935742</v>
      </c>
      <c r="AI106" s="1233">
        <f t="shared" si="82"/>
        <v>0.59358921543064258</v>
      </c>
      <c r="AJ106" s="227"/>
      <c r="AK106" s="540"/>
      <c r="AL106" s="540"/>
      <c r="AM106" s="540"/>
    </row>
    <row r="107" spans="1:39" x14ac:dyDescent="0.2">
      <c r="A107" s="330">
        <v>2038</v>
      </c>
      <c r="B107" s="344">
        <v>0</v>
      </c>
      <c r="C107" s="345">
        <v>0.11236305165305087</v>
      </c>
      <c r="D107" s="345">
        <v>0.26036634478182602</v>
      </c>
      <c r="E107" s="345">
        <v>0.30435515988601924</v>
      </c>
      <c r="F107" s="345">
        <v>0.30850649376013378</v>
      </c>
      <c r="G107" s="345">
        <v>0.29814591663390805</v>
      </c>
      <c r="H107" s="345">
        <v>0.28017580932843245</v>
      </c>
      <c r="I107" s="345">
        <v>0.27504926121143208</v>
      </c>
      <c r="J107" s="345">
        <v>0.2707655255131331</v>
      </c>
      <c r="K107" s="345">
        <v>0.2649382500370504</v>
      </c>
      <c r="L107" s="380">
        <v>0.2649382500370504</v>
      </c>
      <c r="M107" s="296">
        <f t="shared" si="76"/>
        <v>6.5656214362509707E-2</v>
      </c>
      <c r="N107" s="298">
        <f t="shared" si="77"/>
        <v>3.7496196601342367E-2</v>
      </c>
      <c r="O107" s="344">
        <v>0</v>
      </c>
      <c r="P107" s="345">
        <v>0.12040373748707148</v>
      </c>
      <c r="Q107" s="345">
        <v>0.26704630493749587</v>
      </c>
      <c r="R107" s="345">
        <v>0.30498173795163414</v>
      </c>
      <c r="S107" s="345">
        <v>0.30069348513138455</v>
      </c>
      <c r="T107" s="345">
        <v>0.28939075227409039</v>
      </c>
      <c r="U107" s="345">
        <v>0.27786735268919915</v>
      </c>
      <c r="V107" s="345">
        <v>0.27206573837441378</v>
      </c>
      <c r="W107" s="345">
        <v>0.26655495009102403</v>
      </c>
      <c r="X107" s="345">
        <v>0.2649382500370504</v>
      </c>
      <c r="Y107" s="380">
        <v>0.26195246760201252</v>
      </c>
      <c r="Z107" s="296">
        <f t="shared" si="78"/>
        <v>9.3543832960170423E-2</v>
      </c>
      <c r="AA107" s="298">
        <f t="shared" si="79"/>
        <v>5.4887582402195018E-2</v>
      </c>
      <c r="AB107" s="949">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50">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7">
        <f t="shared" si="86"/>
        <v>0</v>
      </c>
      <c r="AE107" s="1231">
        <f t="shared" si="83"/>
        <v>6.5656214362509707E-2</v>
      </c>
      <c r="AF107" s="1232">
        <f t="shared" si="84"/>
        <v>9.3543832960170423E-2</v>
      </c>
      <c r="AG107" s="1232">
        <f t="shared" si="85"/>
        <v>0.15920004732268012</v>
      </c>
      <c r="AH107" s="1173">
        <f t="shared" si="81"/>
        <v>0.41241328420859158</v>
      </c>
      <c r="AI107" s="1233">
        <f t="shared" si="82"/>
        <v>0.58758671579140853</v>
      </c>
      <c r="AJ107" s="227"/>
      <c r="AK107" s="540"/>
      <c r="AL107" s="540"/>
      <c r="AM107" s="540"/>
    </row>
    <row r="108" spans="1:39" x14ac:dyDescent="0.2">
      <c r="A108" s="330">
        <v>2039</v>
      </c>
      <c r="B108" s="344">
        <v>0</v>
      </c>
      <c r="C108" s="345">
        <v>0.11236321219732286</v>
      </c>
      <c r="D108" s="345">
        <v>0.26036671679312923</v>
      </c>
      <c r="E108" s="345">
        <v>0.30595944544893372</v>
      </c>
      <c r="F108" s="345">
        <v>0.30201991214696983</v>
      </c>
      <c r="G108" s="345">
        <v>0.29352148567732839</v>
      </c>
      <c r="H108" s="345">
        <v>0.27787649566294048</v>
      </c>
      <c r="I108" s="345">
        <v>0.27416680650957898</v>
      </c>
      <c r="J108" s="345">
        <v>0.26888949824474406</v>
      </c>
      <c r="K108" s="345">
        <v>0.2647244305604462</v>
      </c>
      <c r="L108" s="380">
        <v>0.2647244305604462</v>
      </c>
      <c r="M108" s="296">
        <f t="shared" si="76"/>
        <v>6.5555626742653778E-2</v>
      </c>
      <c r="N108" s="298">
        <f t="shared" si="77"/>
        <v>3.7474141753010948E-2</v>
      </c>
      <c r="O108" s="344">
        <v>0</v>
      </c>
      <c r="P108" s="345">
        <v>0.12837316276736846</v>
      </c>
      <c r="Q108" s="345">
        <v>0.26677695012370389</v>
      </c>
      <c r="R108" s="345">
        <v>0.3007794972385161</v>
      </c>
      <c r="S108" s="345">
        <v>0.29622129277008125</v>
      </c>
      <c r="T108" s="345">
        <v>0.28696502796594958</v>
      </c>
      <c r="U108" s="345">
        <v>0.27562501574378673</v>
      </c>
      <c r="V108" s="345">
        <v>0.27008174074927604</v>
      </c>
      <c r="W108" s="345">
        <v>0.26656545050758101</v>
      </c>
      <c r="X108" s="345">
        <v>0.26326155460235517</v>
      </c>
      <c r="Y108" s="380">
        <v>0.26084444279011693</v>
      </c>
      <c r="Z108" s="296">
        <f t="shared" si="78"/>
        <v>9.5233468347516712E-2</v>
      </c>
      <c r="AA108" s="298">
        <f t="shared" si="79"/>
        <v>5.6773988832531479E-2</v>
      </c>
      <c r="AB108" s="949">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50">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7">
        <f t="shared" si="86"/>
        <v>0</v>
      </c>
      <c r="AE108" s="1231">
        <f t="shared" si="83"/>
        <v>6.5555626742653778E-2</v>
      </c>
      <c r="AF108" s="1232">
        <f t="shared" si="84"/>
        <v>9.5233468347516712E-2</v>
      </c>
      <c r="AG108" s="1232">
        <f t="shared" si="85"/>
        <v>0.16078909509017048</v>
      </c>
      <c r="AH108" s="1173">
        <f t="shared" si="81"/>
        <v>0.40771189554795495</v>
      </c>
      <c r="AI108" s="1233">
        <f t="shared" si="82"/>
        <v>0.59228810445204516</v>
      </c>
      <c r="AJ108" s="227"/>
      <c r="AK108" s="540"/>
      <c r="AL108" s="540"/>
      <c r="AM108" s="540"/>
    </row>
    <row r="109" spans="1:39" ht="15" thickBot="1" x14ac:dyDescent="0.25">
      <c r="A109" s="328">
        <v>2040</v>
      </c>
      <c r="B109" s="346">
        <v>0</v>
      </c>
      <c r="C109" s="347">
        <v>0.11236327125837534</v>
      </c>
      <c r="D109" s="347">
        <v>0.26030474228675637</v>
      </c>
      <c r="E109" s="347">
        <v>0.30178534648525818</v>
      </c>
      <c r="F109" s="347">
        <v>0.295939232416499</v>
      </c>
      <c r="G109" s="347">
        <v>0.2911462849831537</v>
      </c>
      <c r="H109" s="347">
        <v>0.27563419328689259</v>
      </c>
      <c r="I109" s="347">
        <v>0.27208528977585783</v>
      </c>
      <c r="J109" s="347">
        <v>0.26889961726524203</v>
      </c>
      <c r="K109" s="347">
        <v>0.26327214381576625</v>
      </c>
      <c r="L109" s="381">
        <v>0.26327214381576625</v>
      </c>
      <c r="M109" s="310">
        <f t="shared" si="76"/>
        <v>6.5193268815347719E-2</v>
      </c>
      <c r="N109" s="312">
        <f t="shared" si="77"/>
        <v>3.7350322461532935E-2</v>
      </c>
      <c r="O109" s="346">
        <v>0</v>
      </c>
      <c r="P109" s="347">
        <v>0.128373230243671</v>
      </c>
      <c r="Q109" s="347">
        <v>0.26593235095265844</v>
      </c>
      <c r="R109" s="347">
        <v>0.29458963261622118</v>
      </c>
      <c r="S109" s="347">
        <v>0.29389451080595647</v>
      </c>
      <c r="T109" s="347">
        <v>0.28454417069030874</v>
      </c>
      <c r="U109" s="347">
        <v>0.27345333278573369</v>
      </c>
      <c r="V109" s="347">
        <v>0.26820884211891072</v>
      </c>
      <c r="W109" s="347">
        <v>0.26495937480771725</v>
      </c>
      <c r="X109" s="347">
        <v>0.26327214381576625</v>
      </c>
      <c r="Y109" s="381">
        <v>0.2608552875187371</v>
      </c>
      <c r="Z109" s="310">
        <f t="shared" si="78"/>
        <v>9.4640191351269221E-2</v>
      </c>
      <c r="AA109" s="312">
        <f t="shared" si="79"/>
        <v>5.6558308995161094E-2</v>
      </c>
      <c r="AB109" s="949">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50">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7">
        <f t="shared" si="86"/>
        <v>0</v>
      </c>
      <c r="AE109" s="1231">
        <f t="shared" si="83"/>
        <v>6.5193268815347719E-2</v>
      </c>
      <c r="AF109" s="1232">
        <f t="shared" si="84"/>
        <v>9.4640191351269221E-2</v>
      </c>
      <c r="AG109" s="1232">
        <f t="shared" si="85"/>
        <v>0.15983346016661693</v>
      </c>
      <c r="AH109" s="1173">
        <f t="shared" si="81"/>
        <v>0.40788248435207242</v>
      </c>
      <c r="AI109" s="1233">
        <f t="shared" si="82"/>
        <v>0.59211751564792769</v>
      </c>
      <c r="AJ109" s="227"/>
      <c r="AK109" s="540"/>
      <c r="AL109" s="540"/>
      <c r="AM109" s="540"/>
    </row>
    <row r="110" spans="1:39" x14ac:dyDescent="0.2">
      <c r="A110" s="329">
        <v>2041</v>
      </c>
      <c r="B110" s="342">
        <v>0</v>
      </c>
      <c r="C110" s="343">
        <v>0.11236329298573797</v>
      </c>
      <c r="D110" s="343">
        <v>0.2595804973062335</v>
      </c>
      <c r="E110" s="343">
        <v>0.29274494522406141</v>
      </c>
      <c r="F110" s="343">
        <v>0.28919687644437214</v>
      </c>
      <c r="G110" s="343">
        <v>0.28387056920512171</v>
      </c>
      <c r="H110" s="343">
        <v>0.2734626853520688</v>
      </c>
      <c r="I110" s="343">
        <v>0.27010143338521103</v>
      </c>
      <c r="J110" s="343">
        <v>0.26658591108486995</v>
      </c>
      <c r="K110" s="343">
        <v>0.26328265108904375</v>
      </c>
      <c r="L110" s="379">
        <v>0.26328265108904375</v>
      </c>
      <c r="M110" s="282">
        <f t="shared" si="76"/>
        <v>6.4541394610593855E-2</v>
      </c>
      <c r="N110" s="284">
        <f t="shared" si="77"/>
        <v>3.7103666037312202E-2</v>
      </c>
      <c r="O110" s="342">
        <v>0</v>
      </c>
      <c r="P110" s="343">
        <v>0.13208959875131807</v>
      </c>
      <c r="Q110" s="343">
        <v>0.27169856270141945</v>
      </c>
      <c r="R110" s="343">
        <v>0.28091846775672102</v>
      </c>
      <c r="S110" s="343">
        <v>0.28663827861580915</v>
      </c>
      <c r="T110" s="343">
        <v>0.27976094564875942</v>
      </c>
      <c r="U110" s="343">
        <v>0.27136610931992278</v>
      </c>
      <c r="V110" s="343">
        <v>0.26821886008169182</v>
      </c>
      <c r="W110" s="343">
        <v>0.26496974119449307</v>
      </c>
      <c r="X110" s="343">
        <v>0.26328265108904375</v>
      </c>
      <c r="Y110" s="379">
        <v>0.26086605127521123</v>
      </c>
      <c r="Z110" s="282">
        <f t="shared" si="78"/>
        <v>9.5097750452494037E-2</v>
      </c>
      <c r="AA110" s="284">
        <f t="shared" si="79"/>
        <v>5.7408901371136106E-2</v>
      </c>
      <c r="AB110" s="949">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50">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7">
        <f t="shared" si="86"/>
        <v>0</v>
      </c>
      <c r="AE110" s="1231">
        <f t="shared" si="83"/>
        <v>6.4541394610593855E-2</v>
      </c>
      <c r="AF110" s="1232">
        <f t="shared" si="84"/>
        <v>9.5097750452494037E-2</v>
      </c>
      <c r="AG110" s="1232">
        <f t="shared" si="85"/>
        <v>0.15963914506308791</v>
      </c>
      <c r="AH110" s="1173">
        <f t="shared" si="81"/>
        <v>0.40429554157965264</v>
      </c>
      <c r="AI110" s="1233">
        <f t="shared" si="82"/>
        <v>0.59570445842034725</v>
      </c>
      <c r="AJ110" s="227"/>
      <c r="AK110" s="540"/>
      <c r="AL110" s="540"/>
      <c r="AM110" s="540"/>
    </row>
    <row r="111" spans="1:39" x14ac:dyDescent="0.2">
      <c r="A111" s="330">
        <v>2042</v>
      </c>
      <c r="B111" s="344">
        <v>0</v>
      </c>
      <c r="C111" s="345">
        <v>0.12199105743468353</v>
      </c>
      <c r="D111" s="345">
        <v>0.25009309396709895</v>
      </c>
      <c r="E111" s="345">
        <v>0.2722781538641742</v>
      </c>
      <c r="F111" s="345">
        <v>0.28200928916108919</v>
      </c>
      <c r="G111" s="345">
        <v>0.27902902800069279</v>
      </c>
      <c r="H111" s="345">
        <v>0.26937702667583391</v>
      </c>
      <c r="I111" s="345">
        <v>0.26822885047699135</v>
      </c>
      <c r="J111" s="345">
        <v>0.26498008063026696</v>
      </c>
      <c r="K111" s="345">
        <v>0.2619954111148074</v>
      </c>
      <c r="L111" s="380">
        <v>0.2619954111148074</v>
      </c>
      <c r="M111" s="296">
        <f t="shared" si="76"/>
        <v>6.399897699133146E-2</v>
      </c>
      <c r="N111" s="298">
        <f t="shared" si="77"/>
        <v>3.7564935102208367E-2</v>
      </c>
      <c r="O111" s="344">
        <v>0</v>
      </c>
      <c r="P111" s="345">
        <v>0.13028050083928486</v>
      </c>
      <c r="Q111" s="345">
        <v>0.26106873964146676</v>
      </c>
      <c r="R111" s="345">
        <v>0.259465392076978</v>
      </c>
      <c r="S111" s="345">
        <v>0.27707026356529524</v>
      </c>
      <c r="T111" s="345">
        <v>0.27515578491900738</v>
      </c>
      <c r="U111" s="345">
        <v>0.26937702667583391</v>
      </c>
      <c r="V111" s="345">
        <v>0.26647088249203299</v>
      </c>
      <c r="W111" s="345">
        <v>0.26351520476639345</v>
      </c>
      <c r="X111" s="345">
        <v>0.2619954111148074</v>
      </c>
      <c r="Y111" s="380">
        <v>0.25995288254823756</v>
      </c>
      <c r="Z111" s="296">
        <f t="shared" si="78"/>
        <v>9.2147455972143785E-2</v>
      </c>
      <c r="AA111" s="298">
        <f t="shared" si="79"/>
        <v>5.5885250443724173E-2</v>
      </c>
      <c r="AB111" s="949">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50">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7">
        <f t="shared" si="86"/>
        <v>0</v>
      </c>
      <c r="AE111" s="1231">
        <f t="shared" si="83"/>
        <v>6.399897699133146E-2</v>
      </c>
      <c r="AF111" s="1232">
        <f t="shared" si="84"/>
        <v>9.2147455972143785E-2</v>
      </c>
      <c r="AG111" s="1232">
        <f t="shared" si="85"/>
        <v>0.15614643296347525</v>
      </c>
      <c r="AH111" s="1173">
        <f t="shared" si="81"/>
        <v>0.40986512324813518</v>
      </c>
      <c r="AI111" s="1233">
        <f t="shared" si="82"/>
        <v>0.59013487675186482</v>
      </c>
      <c r="AJ111" s="227"/>
      <c r="AK111" s="540"/>
      <c r="AL111" s="540"/>
      <c r="AM111" s="540"/>
    </row>
    <row r="112" spans="1:39" x14ac:dyDescent="0.2">
      <c r="A112" s="330">
        <v>2043</v>
      </c>
      <c r="B112" s="344">
        <v>0</v>
      </c>
      <c r="C112" s="345">
        <v>0.12168153540142992</v>
      </c>
      <c r="D112" s="345">
        <v>0.23419337346346644</v>
      </c>
      <c r="E112" s="345">
        <v>0.25216009230993325</v>
      </c>
      <c r="F112" s="345">
        <v>0.27466304891587912</v>
      </c>
      <c r="G112" s="345">
        <v>0.27431389604204925</v>
      </c>
      <c r="H112" s="345">
        <v>0.26749966537320724</v>
      </c>
      <c r="I112" s="345">
        <v>0.26648105589281834</v>
      </c>
      <c r="J112" s="345">
        <v>0.26352568959177219</v>
      </c>
      <c r="K112" s="345">
        <v>0.26088751304588936</v>
      </c>
      <c r="L112" s="380">
        <v>0.26088751304588936</v>
      </c>
      <c r="M112" s="296">
        <f t="shared" si="76"/>
        <v>6.1435791091451461E-2</v>
      </c>
      <c r="N112" s="298">
        <f t="shared" si="77"/>
        <v>3.6305814151788261E-2</v>
      </c>
      <c r="O112" s="344">
        <v>0</v>
      </c>
      <c r="P112" s="345">
        <v>0.13744378532437557</v>
      </c>
      <c r="Q112" s="345">
        <v>0.23995649608850947</v>
      </c>
      <c r="R112" s="345">
        <v>0.23897694587594723</v>
      </c>
      <c r="S112" s="345">
        <v>0.2722773579441396</v>
      </c>
      <c r="T112" s="345">
        <v>0.27295892041175152</v>
      </c>
      <c r="U112" s="345">
        <v>0.26749966537320724</v>
      </c>
      <c r="V112" s="345">
        <v>0.26486119499427047</v>
      </c>
      <c r="W112" s="345">
        <v>0.26222592337488454</v>
      </c>
      <c r="X112" s="345">
        <v>0.26088751304588936</v>
      </c>
      <c r="Y112" s="380">
        <v>0.25996370330936802</v>
      </c>
      <c r="Z112" s="296">
        <f t="shared" si="78"/>
        <v>9.0906910524715209E-2</v>
      </c>
      <c r="AA112" s="298">
        <f t="shared" si="79"/>
        <v>5.6224953912943597E-2</v>
      </c>
      <c r="AB112" s="949">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50">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7">
        <f t="shared" si="86"/>
        <v>0</v>
      </c>
      <c r="AE112" s="1231">
        <f t="shared" si="83"/>
        <v>6.1435791091451461E-2</v>
      </c>
      <c r="AF112" s="1232">
        <f t="shared" si="84"/>
        <v>9.0906910524715209E-2</v>
      </c>
      <c r="AG112" s="1232">
        <f t="shared" si="85"/>
        <v>0.15234270161616667</v>
      </c>
      <c r="AH112" s="1173">
        <f t="shared" si="81"/>
        <v>0.4032736090386615</v>
      </c>
      <c r="AI112" s="1233">
        <f t="shared" si="82"/>
        <v>0.5967263909613385</v>
      </c>
      <c r="AJ112" s="227"/>
      <c r="AK112" s="540"/>
      <c r="AL112" s="540"/>
      <c r="AM112" s="540"/>
    </row>
    <row r="113" spans="1:39" x14ac:dyDescent="0.2">
      <c r="A113" s="330">
        <v>2044</v>
      </c>
      <c r="B113" s="344">
        <v>0</v>
      </c>
      <c r="C113" s="345">
        <v>0.11721287162339065</v>
      </c>
      <c r="D113" s="345">
        <v>0.22769491535145645</v>
      </c>
      <c r="E113" s="345">
        <v>0.23516611546955921</v>
      </c>
      <c r="F113" s="345">
        <v>0.26984522923191984</v>
      </c>
      <c r="G113" s="345">
        <v>0.26983376095455569</v>
      </c>
      <c r="H113" s="345">
        <v>0.26574755559712127</v>
      </c>
      <c r="I113" s="345">
        <v>0.26487155467947543</v>
      </c>
      <c r="J113" s="345">
        <v>0.26223655572807453</v>
      </c>
      <c r="K113" s="345">
        <v>0.26089824593235555</v>
      </c>
      <c r="L113" s="380">
        <v>0.26089824593235555</v>
      </c>
      <c r="M113" s="296">
        <f t="shared" si="76"/>
        <v>5.9284494077416684E-2</v>
      </c>
      <c r="N113" s="298">
        <f t="shared" si="77"/>
        <v>3.5008377443184607E-2</v>
      </c>
      <c r="O113" s="344">
        <v>0</v>
      </c>
      <c r="P113" s="345">
        <v>0.13008455490240536</v>
      </c>
      <c r="Q113" s="345">
        <v>0.21987682673948364</v>
      </c>
      <c r="R113" s="345">
        <v>0.22746404399328463</v>
      </c>
      <c r="S113" s="345">
        <v>0.26766740868692535</v>
      </c>
      <c r="T113" s="345">
        <v>0.26882689594695564</v>
      </c>
      <c r="U113" s="345">
        <v>0.26574755559712127</v>
      </c>
      <c r="V113" s="345">
        <v>0.26408597126542038</v>
      </c>
      <c r="W113" s="345">
        <v>0.2611162957780358</v>
      </c>
      <c r="X113" s="345">
        <v>0.26089824593235555</v>
      </c>
      <c r="Y113" s="380">
        <v>0.25926360285305</v>
      </c>
      <c r="Z113" s="296">
        <f t="shared" si="78"/>
        <v>8.6374164836959352E-2</v>
      </c>
      <c r="AA113" s="298">
        <f t="shared" si="79"/>
        <v>5.3097518075089459E-2</v>
      </c>
      <c r="AB113" s="949">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50">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7">
        <f t="shared" si="86"/>
        <v>0</v>
      </c>
      <c r="AE113" s="1231">
        <f t="shared" si="83"/>
        <v>5.9284494077416684E-2</v>
      </c>
      <c r="AF113" s="1232">
        <f t="shared" si="84"/>
        <v>8.6374164836959352E-2</v>
      </c>
      <c r="AG113" s="1232">
        <f t="shared" si="85"/>
        <v>0.14565865891437604</v>
      </c>
      <c r="AH113" s="1173">
        <f t="shared" si="81"/>
        <v>0.4070097481280977</v>
      </c>
      <c r="AI113" s="1233">
        <f t="shared" si="82"/>
        <v>0.59299025187190224</v>
      </c>
      <c r="AJ113" s="227"/>
      <c r="AK113" s="540"/>
      <c r="AL113" s="540"/>
      <c r="AM113" s="540"/>
    </row>
    <row r="114" spans="1:39" ht="15" thickBot="1" x14ac:dyDescent="0.25">
      <c r="A114" s="328">
        <v>2045</v>
      </c>
      <c r="B114" s="346">
        <v>0</v>
      </c>
      <c r="C114" s="347">
        <v>0.11873654667912638</v>
      </c>
      <c r="D114" s="347">
        <v>0.20632760905205658</v>
      </c>
      <c r="E114" s="347">
        <v>0.22053167304600838</v>
      </c>
      <c r="F114" s="347">
        <v>0.26968188009553518</v>
      </c>
      <c r="G114" s="347">
        <v>0.26772099224890306</v>
      </c>
      <c r="H114" s="347">
        <v>0.26571458640244605</v>
      </c>
      <c r="I114" s="347">
        <v>0.26341390186371288</v>
      </c>
      <c r="J114" s="347">
        <v>0.26224719210267544</v>
      </c>
      <c r="K114" s="347">
        <v>0.25998536663945793</v>
      </c>
      <c r="L114" s="381">
        <v>0.25998536663945793</v>
      </c>
      <c r="M114" s="310">
        <f t="shared" si="76"/>
        <v>5.6939443036573847E-2</v>
      </c>
      <c r="N114" s="312">
        <f t="shared" si="77"/>
        <v>3.3879693179136208E-2</v>
      </c>
      <c r="O114" s="346">
        <v>0</v>
      </c>
      <c r="P114" s="347">
        <v>0.12285447643258117</v>
      </c>
      <c r="Q114" s="347">
        <v>0.20118539459071677</v>
      </c>
      <c r="R114" s="347">
        <v>0.22206711126645728</v>
      </c>
      <c r="S114" s="347">
        <v>0.26567720303517384</v>
      </c>
      <c r="T114" s="347">
        <v>0.2669288008101483</v>
      </c>
      <c r="U114" s="347">
        <v>0.26571458640244605</v>
      </c>
      <c r="V114" s="347">
        <v>0.26279161005151341</v>
      </c>
      <c r="W114" s="347">
        <v>0.26112705071423631</v>
      </c>
      <c r="X114" s="347">
        <v>0.25998536663945793</v>
      </c>
      <c r="Y114" s="381">
        <v>0.25927451042220923</v>
      </c>
      <c r="Z114" s="310">
        <f t="shared" si="78"/>
        <v>8.2453257036611591E-2</v>
      </c>
      <c r="AA114" s="312">
        <f t="shared" si="79"/>
        <v>5.0232385753732366E-2</v>
      </c>
      <c r="AB114" s="949">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50">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7">
        <f t="shared" si="86"/>
        <v>0</v>
      </c>
      <c r="AE114" s="1231">
        <f t="shared" si="83"/>
        <v>5.6939443036573847E-2</v>
      </c>
      <c r="AF114" s="1232">
        <f t="shared" si="84"/>
        <v>8.2453257036611591E-2</v>
      </c>
      <c r="AG114" s="1232">
        <f t="shared" si="85"/>
        <v>0.13939270007318544</v>
      </c>
      <c r="AH114" s="1173">
        <f t="shared" si="81"/>
        <v>0.40848224481396012</v>
      </c>
      <c r="AI114" s="1233">
        <f t="shared" si="82"/>
        <v>0.59151775518603988</v>
      </c>
      <c r="AJ114" s="227"/>
      <c r="AK114" s="540"/>
      <c r="AL114" s="540"/>
      <c r="AM114" s="540"/>
    </row>
    <row r="115" spans="1:39" x14ac:dyDescent="0.2">
      <c r="A115" s="329">
        <v>2046</v>
      </c>
      <c r="B115" s="342">
        <v>0</v>
      </c>
      <c r="C115" s="343">
        <v>0.11113791412474049</v>
      </c>
      <c r="D115" s="343">
        <v>0.19677734235759331</v>
      </c>
      <c r="E115" s="343">
        <v>0.21537971745508019</v>
      </c>
      <c r="F115" s="343">
        <v>0.26745165400094084</v>
      </c>
      <c r="G115" s="343">
        <v>0.26570837914865791</v>
      </c>
      <c r="H115" s="343">
        <v>0.26572502005692888</v>
      </c>
      <c r="I115" s="343">
        <v>0.26342442963898866</v>
      </c>
      <c r="J115" s="343">
        <v>0.26113781075696724</v>
      </c>
      <c r="K115" s="343">
        <v>0.25999620554754388</v>
      </c>
      <c r="L115" s="379">
        <v>0.25999620554754388</v>
      </c>
      <c r="M115" s="282">
        <f t="shared" si="76"/>
        <v>5.466410341823344E-2</v>
      </c>
      <c r="N115" s="284">
        <f t="shared" si="77"/>
        <v>3.2213929739219452E-2</v>
      </c>
      <c r="O115" s="342">
        <v>0</v>
      </c>
      <c r="P115" s="343">
        <v>0.11383125174241353</v>
      </c>
      <c r="Q115" s="343">
        <v>0.19364423165892997</v>
      </c>
      <c r="R115" s="343">
        <v>0.21707704333017921</v>
      </c>
      <c r="S115" s="343">
        <v>0.26568693668025939</v>
      </c>
      <c r="T115" s="343">
        <v>0.26515765440538441</v>
      </c>
      <c r="U115" s="343">
        <v>0.26424794544850289</v>
      </c>
      <c r="V115" s="343">
        <v>0.26280229568258856</v>
      </c>
      <c r="W115" s="343">
        <v>0.26113781075696724</v>
      </c>
      <c r="X115" s="343">
        <v>0.25999620554754388</v>
      </c>
      <c r="Y115" s="379">
        <v>0.25928542320210141</v>
      </c>
      <c r="Z115" s="282">
        <f t="shared" si="78"/>
        <v>7.9039361576098616E-2</v>
      </c>
      <c r="AA115" s="284">
        <f t="shared" si="79"/>
        <v>4.7445745583255816E-2</v>
      </c>
      <c r="AB115" s="949">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50">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7">
        <f t="shared" si="86"/>
        <v>0</v>
      </c>
      <c r="AE115" s="1231">
        <f t="shared" si="83"/>
        <v>5.466410341823344E-2</v>
      </c>
      <c r="AF115" s="1232">
        <f t="shared" si="84"/>
        <v>7.9039361576098616E-2</v>
      </c>
      <c r="AG115" s="1232">
        <f t="shared" si="85"/>
        <v>0.13370346499433206</v>
      </c>
      <c r="AH115" s="1173">
        <f t="shared" si="81"/>
        <v>0.40884582475518311</v>
      </c>
      <c r="AI115" s="1233">
        <f t="shared" si="82"/>
        <v>0.59115417524481695</v>
      </c>
      <c r="AJ115" s="227"/>
      <c r="AK115" s="540"/>
      <c r="AL115" s="540"/>
      <c r="AM115" s="540"/>
    </row>
    <row r="116" spans="1:39" x14ac:dyDescent="0.2">
      <c r="A116" s="330">
        <v>2047</v>
      </c>
      <c r="B116" s="344">
        <v>0</v>
      </c>
      <c r="C116" s="345">
        <v>0.10406472590535791</v>
      </c>
      <c r="D116" s="345">
        <v>0.18705211393959828</v>
      </c>
      <c r="E116" s="345">
        <v>0.21204234467526134</v>
      </c>
      <c r="F116" s="345">
        <v>0.26530990271180988</v>
      </c>
      <c r="G116" s="345">
        <v>0.26380952065334839</v>
      </c>
      <c r="H116" s="345">
        <v>0.26425853715424863</v>
      </c>
      <c r="I116" s="345">
        <v>0.26213257664281214</v>
      </c>
      <c r="J116" s="345">
        <v>0.26114856880807708</v>
      </c>
      <c r="K116" s="345">
        <v>0.26000704246388689</v>
      </c>
      <c r="L116" s="380">
        <v>0.26000704246388689</v>
      </c>
      <c r="M116" s="296">
        <f t="shared" si="76"/>
        <v>5.2514641191153746E-2</v>
      </c>
      <c r="N116" s="298">
        <f t="shared" si="77"/>
        <v>3.0641549370088558E-2</v>
      </c>
      <c r="O116" s="344">
        <v>0</v>
      </c>
      <c r="P116" s="345">
        <v>0.11293393759211796</v>
      </c>
      <c r="Q116" s="345">
        <v>0.19509935777275367</v>
      </c>
      <c r="R116" s="345">
        <v>0.21544118587928399</v>
      </c>
      <c r="S116" s="345">
        <v>0.26366601876167894</v>
      </c>
      <c r="T116" s="345">
        <v>0.26516798057372998</v>
      </c>
      <c r="U116" s="345">
        <v>0.26425853715424863</v>
      </c>
      <c r="V116" s="345">
        <v>0.26168843019224181</v>
      </c>
      <c r="W116" s="345">
        <v>0.26022360455969007</v>
      </c>
      <c r="X116" s="345">
        <v>0.26000704246388689</v>
      </c>
      <c r="Y116" s="380">
        <v>0.25929633398862101</v>
      </c>
      <c r="Z116" s="296">
        <f t="shared" si="78"/>
        <v>7.8762232088669157E-2</v>
      </c>
      <c r="AA116" s="298">
        <f t="shared" si="79"/>
        <v>4.7231617735869848E-2</v>
      </c>
      <c r="AB116" s="949">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50">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7">
        <f t="shared" si="86"/>
        <v>0</v>
      </c>
      <c r="AE116" s="1231">
        <f t="shared" si="83"/>
        <v>5.2514641191153746E-2</v>
      </c>
      <c r="AF116" s="1232">
        <f t="shared" si="84"/>
        <v>7.8762232088669157E-2</v>
      </c>
      <c r="AG116" s="1232">
        <f t="shared" si="85"/>
        <v>0.1312768732798229</v>
      </c>
      <c r="AH116" s="1173">
        <f t="shared" si="81"/>
        <v>0.40002964634308658</v>
      </c>
      <c r="AI116" s="1233">
        <f t="shared" si="82"/>
        <v>0.59997035365691342</v>
      </c>
      <c r="AJ116" s="227"/>
      <c r="AK116" s="540"/>
      <c r="AL116" s="540"/>
      <c r="AM116" s="540"/>
    </row>
    <row r="117" spans="1:39" x14ac:dyDescent="0.2">
      <c r="A117" s="330">
        <v>2048</v>
      </c>
      <c r="B117" s="344">
        <v>0</v>
      </c>
      <c r="C117" s="345">
        <v>0.10643579531734364</v>
      </c>
      <c r="D117" s="345">
        <v>0.18153089129966993</v>
      </c>
      <c r="E117" s="345">
        <v>0.20885590760285005</v>
      </c>
      <c r="F117" s="345">
        <v>0.26531973769761441</v>
      </c>
      <c r="G117" s="345">
        <v>0.26381966715228</v>
      </c>
      <c r="H117" s="345">
        <v>0.26426914165815207</v>
      </c>
      <c r="I117" s="345">
        <v>0.26214325475877259</v>
      </c>
      <c r="J117" s="345">
        <v>0.26115933988236251</v>
      </c>
      <c r="K117" s="345">
        <v>0.26001789250938961</v>
      </c>
      <c r="L117" s="380">
        <v>0.26001789250938961</v>
      </c>
      <c r="M117" s="296">
        <f t="shared" si="76"/>
        <v>5.2235879169468979E-2</v>
      </c>
      <c r="N117" s="298">
        <f t="shared" si="77"/>
        <v>3.0640704662308272E-2</v>
      </c>
      <c r="O117" s="344">
        <v>0</v>
      </c>
      <c r="P117" s="345">
        <v>0.10895448369180372</v>
      </c>
      <c r="Q117" s="345">
        <v>0.18943440105233394</v>
      </c>
      <c r="R117" s="345">
        <v>0.21238177292312965</v>
      </c>
      <c r="S117" s="345">
        <v>0.26367599251920959</v>
      </c>
      <c r="T117" s="345">
        <v>0.26353753513785833</v>
      </c>
      <c r="U117" s="345">
        <v>0.26426914165815207</v>
      </c>
      <c r="V117" s="345">
        <v>0.26169924584665222</v>
      </c>
      <c r="W117" s="345">
        <v>0.2602344726872895</v>
      </c>
      <c r="X117" s="345">
        <v>0.26001789250938961</v>
      </c>
      <c r="Y117" s="380">
        <v>0.25883326586179922</v>
      </c>
      <c r="Z117" s="296">
        <f t="shared" si="78"/>
        <v>7.7013924675335341E-2</v>
      </c>
      <c r="AA117" s="298">
        <f t="shared" si="79"/>
        <v>4.5874800379395696E-2</v>
      </c>
      <c r="AB117" s="949">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50">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7">
        <f t="shared" si="86"/>
        <v>0</v>
      </c>
      <c r="AE117" s="1231">
        <f t="shared" si="83"/>
        <v>5.2235879169468979E-2</v>
      </c>
      <c r="AF117" s="1232">
        <f t="shared" si="84"/>
        <v>7.7013924675335341E-2</v>
      </c>
      <c r="AG117" s="1232">
        <f t="shared" si="85"/>
        <v>0.12924980384480433</v>
      </c>
      <c r="AH117" s="1173">
        <f t="shared" si="81"/>
        <v>0.4041466804250689</v>
      </c>
      <c r="AI117" s="1233">
        <f t="shared" si="82"/>
        <v>0.59585331957493104</v>
      </c>
      <c r="AJ117" s="227"/>
      <c r="AK117" s="540"/>
      <c r="AL117" s="540"/>
      <c r="AM117" s="540"/>
    </row>
    <row r="118" spans="1:39" x14ac:dyDescent="0.2">
      <c r="A118" s="330">
        <v>2049</v>
      </c>
      <c r="B118" s="344">
        <v>0</v>
      </c>
      <c r="C118" s="345">
        <v>0.10156417345272291</v>
      </c>
      <c r="D118" s="345">
        <v>0.17961421032821651</v>
      </c>
      <c r="E118" s="345">
        <v>0.20868802531254185</v>
      </c>
      <c r="F118" s="345">
        <v>0.26136890843737609</v>
      </c>
      <c r="G118" s="345">
        <v>0.26359785723579893</v>
      </c>
      <c r="H118" s="345">
        <v>0.26427975173503987</v>
      </c>
      <c r="I118" s="345">
        <v>0.2621539384993602</v>
      </c>
      <c r="J118" s="345">
        <v>0.26117011664122319</v>
      </c>
      <c r="K118" s="345">
        <v>0.25931818780105081</v>
      </c>
      <c r="L118" s="380">
        <v>0.25931818780105081</v>
      </c>
      <c r="M118" s="296">
        <f t="shared" si="76"/>
        <v>5.1238759821967739E-2</v>
      </c>
      <c r="N118" s="298">
        <f t="shared" si="77"/>
        <v>2.9824694931329093E-2</v>
      </c>
      <c r="O118" s="344">
        <v>0</v>
      </c>
      <c r="P118" s="345">
        <v>0.10367340634836959</v>
      </c>
      <c r="Q118" s="345">
        <v>0.18756598944699379</v>
      </c>
      <c r="R118" s="345">
        <v>0.21093416045219665</v>
      </c>
      <c r="S118" s="345">
        <v>0.26176986274371705</v>
      </c>
      <c r="T118" s="345">
        <v>0.26354805820647575</v>
      </c>
      <c r="U118" s="345">
        <v>0.26296951756488646</v>
      </c>
      <c r="V118" s="345">
        <v>0.26117011664122319</v>
      </c>
      <c r="W118" s="345">
        <v>0.26024534656198717</v>
      </c>
      <c r="X118" s="345">
        <v>0.25931818780105081</v>
      </c>
      <c r="Y118" s="380">
        <v>0.25884424471315509</v>
      </c>
      <c r="Z118" s="296">
        <f t="shared" si="78"/>
        <v>7.5276313134888334E-2</v>
      </c>
      <c r="AA118" s="298">
        <f t="shared" si="79"/>
        <v>4.4385016206137197E-2</v>
      </c>
      <c r="AB118" s="949">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50">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7">
        <f t="shared" si="86"/>
        <v>0</v>
      </c>
      <c r="AE118" s="1231">
        <f t="shared" si="83"/>
        <v>5.1238759821967739E-2</v>
      </c>
      <c r="AF118" s="1232">
        <f t="shared" si="84"/>
        <v>7.5276313134888334E-2</v>
      </c>
      <c r="AG118" s="1232">
        <f t="shared" si="85"/>
        <v>0.12651507295685607</v>
      </c>
      <c r="AH118" s="1173">
        <f t="shared" si="81"/>
        <v>0.40500122731969718</v>
      </c>
      <c r="AI118" s="1233">
        <f t="shared" si="82"/>
        <v>0.59499877268030288</v>
      </c>
      <c r="AJ118" s="227"/>
      <c r="AK118" s="540"/>
      <c r="AL118" s="540"/>
      <c r="AM118" s="540"/>
    </row>
    <row r="119" spans="1:39" ht="15" thickBot="1" x14ac:dyDescent="0.25">
      <c r="A119" s="328">
        <v>2050</v>
      </c>
      <c r="B119" s="346">
        <v>0</v>
      </c>
      <c r="C119" s="347">
        <v>0.1041595349507819</v>
      </c>
      <c r="D119" s="347">
        <v>0.17776230406821961</v>
      </c>
      <c r="E119" s="347">
        <v>0.20715074620257581</v>
      </c>
      <c r="F119" s="347">
        <v>0.26137883897544595</v>
      </c>
      <c r="G119" s="347">
        <v>0.26209186037974497</v>
      </c>
      <c r="H119" s="347">
        <v>0.26298027354345499</v>
      </c>
      <c r="I119" s="347">
        <v>0.26216462786240652</v>
      </c>
      <c r="J119" s="347">
        <v>0.26118089908248915</v>
      </c>
      <c r="K119" s="347">
        <v>0.25932912338203945</v>
      </c>
      <c r="L119" s="381">
        <v>0.25932912338203945</v>
      </c>
      <c r="M119" s="310">
        <f t="shared" si="76"/>
        <v>5.1375103771642998E-2</v>
      </c>
      <c r="N119" s="312">
        <f t="shared" si="77"/>
        <v>3.0066885082248303E-2</v>
      </c>
      <c r="O119" s="346">
        <v>0</v>
      </c>
      <c r="P119" s="347">
        <v>0.10485989885850787</v>
      </c>
      <c r="Q119" s="347">
        <v>0.18407460662053898</v>
      </c>
      <c r="R119" s="347">
        <v>0.20933345624781885</v>
      </c>
      <c r="S119" s="347">
        <v>0.26178006025555411</v>
      </c>
      <c r="T119" s="347">
        <v>0.26225980646779923</v>
      </c>
      <c r="U119" s="347">
        <v>0.26298027354345499</v>
      </c>
      <c r="V119" s="347">
        <v>0.26118089908248915</v>
      </c>
      <c r="W119" s="347">
        <v>0.26003960980857066</v>
      </c>
      <c r="X119" s="347">
        <v>0.25932912338203945</v>
      </c>
      <c r="Y119" s="381">
        <v>0.25885522937878219</v>
      </c>
      <c r="Z119" s="310">
        <f t="shared" si="78"/>
        <v>7.5194899734859655E-2</v>
      </c>
      <c r="AA119" s="312">
        <f t="shared" si="79"/>
        <v>4.4486513648592803E-2</v>
      </c>
      <c r="AB119" s="951">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2">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8">
        <f t="shared" si="86"/>
        <v>0</v>
      </c>
      <c r="AE119" s="1234">
        <f t="shared" si="83"/>
        <v>5.1375103771642998E-2</v>
      </c>
      <c r="AF119" s="1235">
        <f t="shared" si="84"/>
        <v>7.5194899734859655E-2</v>
      </c>
      <c r="AG119" s="1235">
        <f t="shared" si="85"/>
        <v>0.12657000350650266</v>
      </c>
      <c r="AH119" s="1236">
        <f t="shared" si="81"/>
        <v>0.4059026811119868</v>
      </c>
      <c r="AI119" s="1237">
        <f t="shared" si="82"/>
        <v>0.5940973188880132</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53" t="s">
        <v>195</v>
      </c>
      <c r="C122" s="1554"/>
      <c r="D122" s="1554"/>
      <c r="E122" s="1554"/>
      <c r="F122" s="1554"/>
      <c r="G122" s="1554"/>
      <c r="H122" s="1554"/>
      <c r="I122" s="1554"/>
      <c r="J122" s="1554"/>
      <c r="K122" s="1554"/>
      <c r="L122" s="1554"/>
      <c r="M122" s="1554"/>
      <c r="N122" s="1555"/>
      <c r="O122" s="1553" t="s">
        <v>196</v>
      </c>
      <c r="P122" s="1554"/>
      <c r="Q122" s="1554"/>
      <c r="R122" s="1554"/>
      <c r="S122" s="1554"/>
      <c r="T122" s="1554"/>
      <c r="U122" s="1554"/>
      <c r="V122" s="1554"/>
      <c r="W122" s="1554"/>
      <c r="X122" s="1554"/>
      <c r="Y122" s="1554"/>
      <c r="Z122" s="1554"/>
      <c r="AA122" s="1555"/>
      <c r="AI122" s="227"/>
      <c r="AJ122" s="227"/>
      <c r="AK122" s="227"/>
      <c r="AL122" s="227"/>
      <c r="AM122" s="227"/>
    </row>
    <row r="123" spans="1:39" x14ac:dyDescent="0.2">
      <c r="A123" s="324"/>
      <c r="B123" s="1556" t="s">
        <v>121</v>
      </c>
      <c r="C123" s="1557"/>
      <c r="D123" s="1557"/>
      <c r="E123" s="1557"/>
      <c r="F123" s="1557"/>
      <c r="G123" s="1557"/>
      <c r="H123" s="1557"/>
      <c r="I123" s="1557"/>
      <c r="J123" s="1557"/>
      <c r="K123" s="1557"/>
      <c r="L123" s="1558"/>
      <c r="M123" s="382"/>
      <c r="N123" s="325"/>
      <c r="O123" s="1556" t="s">
        <v>121</v>
      </c>
      <c r="P123" s="1557"/>
      <c r="Q123" s="1557"/>
      <c r="R123" s="1557"/>
      <c r="S123" s="1557"/>
      <c r="T123" s="1557"/>
      <c r="U123" s="1557"/>
      <c r="V123" s="1557"/>
      <c r="W123" s="1557"/>
      <c r="X123" s="1557"/>
      <c r="Y123" s="1558"/>
      <c r="Z123" s="382"/>
      <c r="AA123" s="325"/>
      <c r="AC123" s="955"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7"/>
      <c r="AC124" s="955"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10">
        <v>1.1022999100839563E-4</v>
      </c>
      <c r="Z125" s="1215"/>
      <c r="AA125" s="1217">
        <v>0.76263667822937764</v>
      </c>
      <c r="AI125" s="227"/>
      <c r="AJ125" s="227"/>
      <c r="AK125" s="227"/>
      <c r="AL125" s="227"/>
      <c r="AM125" s="227"/>
    </row>
    <row r="126" spans="1:39" x14ac:dyDescent="0.2">
      <c r="A126" s="331" t="s">
        <v>125</v>
      </c>
      <c r="B126" s="924">
        <f t="array" ref="B126:L126">TRANSPOSE(Cls3CentVMTShr)</f>
        <v>7.4407503791532936E-2</v>
      </c>
      <c r="C126" s="925">
        <v>0.15052192967997111</v>
      </c>
      <c r="D126" s="925">
        <v>8.9028098283245441E-2</v>
      </c>
      <c r="E126" s="925">
        <v>4.5356257743642811E-2</v>
      </c>
      <c r="F126" s="925">
        <v>2.1016507050137231E-2</v>
      </c>
      <c r="G126" s="925">
        <v>4.9007047894213725E-4</v>
      </c>
      <c r="H126" s="925">
        <v>1.4797621296467818E-2</v>
      </c>
      <c r="I126" s="925">
        <v>0</v>
      </c>
      <c r="J126" s="925">
        <v>0</v>
      </c>
      <c r="K126" s="925">
        <v>3.7103078033661591E-3</v>
      </c>
      <c r="L126" s="1211">
        <v>0</v>
      </c>
      <c r="M126" s="1212"/>
      <c r="N126" s="1213"/>
      <c r="O126" s="924">
        <f t="array" ref="O126:Y126">TRANSPOSE(Cls3NCentVMTShr)</f>
        <v>0.11481596497083862</v>
      </c>
      <c r="P126" s="925">
        <v>0.26987209279577573</v>
      </c>
      <c r="Q126" s="925">
        <v>8.3836105982992667E-2</v>
      </c>
      <c r="R126" s="925">
        <v>5.9842896537765707E-2</v>
      </c>
      <c r="S126" s="925">
        <v>1.6413649143963899E-2</v>
      </c>
      <c r="T126" s="925">
        <v>1.0165768727376887E-2</v>
      </c>
      <c r="U126" s="925">
        <v>2.0700108148562976E-2</v>
      </c>
      <c r="V126" s="925">
        <v>2.0956833812228508E-2</v>
      </c>
      <c r="W126" s="925">
        <v>3.1584958359553582E-3</v>
      </c>
      <c r="X126" s="925">
        <v>0</v>
      </c>
      <c r="Y126" s="926">
        <v>9.0978791723388369E-4</v>
      </c>
      <c r="Z126" s="1218">
        <v>0.76961852331138836</v>
      </c>
      <c r="AA126" s="1213"/>
      <c r="AB126" s="1550" t="str">
        <f>"% of miles on f2 for Tech "&amp; RIGHT(O121)&amp;" adopters"</f>
        <v>% of miles on f2 for Tech  adopters</v>
      </c>
      <c r="AC126" s="1551"/>
      <c r="AD126" s="1552"/>
      <c r="AE126" s="1238" t="s">
        <v>298</v>
      </c>
      <c r="AF126" s="1239"/>
      <c r="AG126" s="1239"/>
      <c r="AH126" s="1229" t="s">
        <v>297</v>
      </c>
      <c r="AI126" s="1230"/>
      <c r="AJ126" s="227"/>
      <c r="AK126" s="227"/>
      <c r="AL126" s="227"/>
      <c r="AM126" s="227"/>
    </row>
    <row r="127" spans="1:39" ht="15" thickBot="1" x14ac:dyDescent="0.25">
      <c r="A127" s="943" t="s">
        <v>266</v>
      </c>
      <c r="B127" s="934">
        <f t="array" ref="B127:L127">TRANSPOSE(Cls3CentVMT/OPDAYS_Cls3)</f>
        <v>49.202805162026571</v>
      </c>
      <c r="C127" s="935">
        <v>115.99623692884222</v>
      </c>
      <c r="D127" s="935">
        <v>190.94140758026836</v>
      </c>
      <c r="E127" s="935">
        <v>282.72824571583544</v>
      </c>
      <c r="F127" s="935">
        <v>349.10577157713089</v>
      </c>
      <c r="G127" s="935">
        <v>408.92399999999998</v>
      </c>
      <c r="H127" s="935">
        <v>540.31926836851005</v>
      </c>
      <c r="I127" s="935">
        <v>600</v>
      </c>
      <c r="J127" s="935">
        <v>680</v>
      </c>
      <c r="K127" s="935">
        <v>800.00000000000011</v>
      </c>
      <c r="L127" s="936">
        <v>800</v>
      </c>
      <c r="M127" s="932"/>
      <c r="N127" s="933"/>
      <c r="O127" s="934">
        <f t="array" ref="O127:Y127">TRANSPOSE(Cls3NCentVMT/OPDAYS_Cls3)</f>
        <v>45.820527909508108</v>
      </c>
      <c r="P127" s="935">
        <v>114.90604343518244</v>
      </c>
      <c r="Q127" s="935">
        <v>196.29405935940918</v>
      </c>
      <c r="R127" s="935">
        <v>286.46435582159182</v>
      </c>
      <c r="S127" s="935">
        <v>352.24339419308075</v>
      </c>
      <c r="T127" s="935">
        <v>427.07804424634116</v>
      </c>
      <c r="U127" s="935">
        <v>519.59880241076587</v>
      </c>
      <c r="V127" s="935">
        <v>608.4346682070543</v>
      </c>
      <c r="W127" s="935">
        <v>703.2</v>
      </c>
      <c r="X127" s="935">
        <v>760</v>
      </c>
      <c r="Y127" s="1214">
        <v>900</v>
      </c>
      <c r="Z127" s="944"/>
      <c r="AA127" s="933"/>
      <c r="AB127" s="946" t="s">
        <v>186</v>
      </c>
      <c r="AC127" s="947" t="s">
        <v>15</v>
      </c>
      <c r="AD127" s="948" t="s">
        <v>18</v>
      </c>
      <c r="AE127" s="330" t="s">
        <v>186</v>
      </c>
      <c r="AF127" s="1240" t="s">
        <v>15</v>
      </c>
      <c r="AG127" s="1240" t="s">
        <v>18</v>
      </c>
      <c r="AH127" s="1241" t="s">
        <v>186</v>
      </c>
      <c r="AI127" s="1242"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2">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2">
        <f>SUMPRODUCT(O128:Y128,$O$125:$Y$125)</f>
        <v>0</v>
      </c>
      <c r="AB128" s="949">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50">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7">
        <f>AB128*AH128+AC128*AI128</f>
        <v>0</v>
      </c>
      <c r="AE128" s="1231">
        <f t="shared" ref="AE128:AE142" si="87">SUMPRODUCT($B$74:$L$74,B128:L128)</f>
        <v>0</v>
      </c>
      <c r="AF128" s="1232">
        <f t="shared" ref="AF128:AF142" si="88">SUMPRODUCT($O$74:$Y$74,O128:Y128)</f>
        <v>0</v>
      </c>
      <c r="AG128" s="1232">
        <f t="shared" ref="AG128:AG142" si="89">SUM(AE128:AF128)</f>
        <v>0</v>
      </c>
      <c r="AH128" s="1173">
        <f>IF(AG128&gt;0,AE128/AG128,0)</f>
        <v>0</v>
      </c>
      <c r="AI128" s="1233">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0">SUMPRODUCT(B129:L129,$B$126:$L$126)</f>
        <v>0</v>
      </c>
      <c r="N129" s="298">
        <f t="shared" ref="N129:N171" si="91">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92">SUMPRODUCT(O129:Y129,$O$126:$Y$126)</f>
        <v>0</v>
      </c>
      <c r="AA129" s="298">
        <f t="shared" ref="AA129:AA171" si="93">SUMPRODUCT(O129:Y129,$O$125:$Y$125)</f>
        <v>0</v>
      </c>
      <c r="AB129" s="949">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50">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7">
        <f t="shared" ref="AD129:AD153" si="94">AB129*AH129+AC129*AI129</f>
        <v>0</v>
      </c>
      <c r="AE129" s="1231">
        <f t="shared" si="87"/>
        <v>0</v>
      </c>
      <c r="AF129" s="1232">
        <f t="shared" si="88"/>
        <v>0</v>
      </c>
      <c r="AG129" s="1232">
        <f t="shared" si="89"/>
        <v>0</v>
      </c>
      <c r="AH129" s="1173">
        <f t="shared" ref="AH129:AH171" si="95">IF(AG129&gt;0,AE129/AG129,0)</f>
        <v>0</v>
      </c>
      <c r="AI129" s="1233">
        <f t="shared" ref="AI129:AI171" si="96">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0"/>
        <v>0</v>
      </c>
      <c r="N130" s="298">
        <f t="shared" si="91"/>
        <v>0</v>
      </c>
      <c r="O130" s="344">
        <v>0</v>
      </c>
      <c r="P130" s="345">
        <v>0</v>
      </c>
      <c r="Q130" s="345">
        <v>0</v>
      </c>
      <c r="R130" s="345">
        <v>0</v>
      </c>
      <c r="S130" s="345">
        <v>0</v>
      </c>
      <c r="T130" s="345">
        <v>0</v>
      </c>
      <c r="U130" s="345">
        <v>0</v>
      </c>
      <c r="V130" s="345">
        <v>0</v>
      </c>
      <c r="W130" s="345">
        <v>0</v>
      </c>
      <c r="X130" s="345">
        <v>0</v>
      </c>
      <c r="Y130" s="380">
        <v>0</v>
      </c>
      <c r="Z130" s="296">
        <f t="shared" si="92"/>
        <v>0</v>
      </c>
      <c r="AA130" s="298">
        <f t="shared" si="93"/>
        <v>0</v>
      </c>
      <c r="AB130" s="949">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50">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7">
        <f t="shared" si="94"/>
        <v>0</v>
      </c>
      <c r="AE130" s="1231">
        <f t="shared" si="87"/>
        <v>0</v>
      </c>
      <c r="AF130" s="1232">
        <f t="shared" si="88"/>
        <v>0</v>
      </c>
      <c r="AG130" s="1232">
        <f t="shared" si="89"/>
        <v>0</v>
      </c>
      <c r="AH130" s="1173">
        <f t="shared" si="95"/>
        <v>0</v>
      </c>
      <c r="AI130" s="1233">
        <f t="shared" si="96"/>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0"/>
        <v>0</v>
      </c>
      <c r="N131" s="312">
        <f t="shared" si="91"/>
        <v>0</v>
      </c>
      <c r="O131" s="346">
        <v>0</v>
      </c>
      <c r="P131" s="347">
        <v>0</v>
      </c>
      <c r="Q131" s="347">
        <v>0</v>
      </c>
      <c r="R131" s="347">
        <v>0</v>
      </c>
      <c r="S131" s="347">
        <v>0</v>
      </c>
      <c r="T131" s="347">
        <v>0</v>
      </c>
      <c r="U131" s="347">
        <v>0</v>
      </c>
      <c r="V131" s="347">
        <v>0</v>
      </c>
      <c r="W131" s="347">
        <v>0</v>
      </c>
      <c r="X131" s="347">
        <v>0</v>
      </c>
      <c r="Y131" s="381">
        <v>0</v>
      </c>
      <c r="Z131" s="310">
        <f t="shared" si="92"/>
        <v>0</v>
      </c>
      <c r="AA131" s="312">
        <f t="shared" si="93"/>
        <v>0</v>
      </c>
      <c r="AB131" s="949">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50">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7">
        <f t="shared" si="94"/>
        <v>0</v>
      </c>
      <c r="AE131" s="1231">
        <f t="shared" si="87"/>
        <v>0</v>
      </c>
      <c r="AF131" s="1232">
        <f t="shared" si="88"/>
        <v>0</v>
      </c>
      <c r="AG131" s="1232">
        <f t="shared" si="89"/>
        <v>0</v>
      </c>
      <c r="AH131" s="1173">
        <f t="shared" si="95"/>
        <v>0</v>
      </c>
      <c r="AI131" s="1233">
        <f t="shared" si="96"/>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0"/>
        <v>0</v>
      </c>
      <c r="N132" s="284">
        <f t="shared" si="91"/>
        <v>0</v>
      </c>
      <c r="O132" s="342">
        <v>0</v>
      </c>
      <c r="P132" s="343">
        <v>0</v>
      </c>
      <c r="Q132" s="343">
        <v>0</v>
      </c>
      <c r="R132" s="343">
        <v>0</v>
      </c>
      <c r="S132" s="343">
        <v>0</v>
      </c>
      <c r="T132" s="343">
        <v>0</v>
      </c>
      <c r="U132" s="343">
        <v>0</v>
      </c>
      <c r="V132" s="343">
        <v>0</v>
      </c>
      <c r="W132" s="343">
        <v>0</v>
      </c>
      <c r="X132" s="343">
        <v>0</v>
      </c>
      <c r="Y132" s="379">
        <v>0</v>
      </c>
      <c r="Z132" s="282">
        <f t="shared" si="92"/>
        <v>0</v>
      </c>
      <c r="AA132" s="284">
        <f t="shared" si="93"/>
        <v>0</v>
      </c>
      <c r="AB132" s="949">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50">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7">
        <f t="shared" si="94"/>
        <v>0</v>
      </c>
      <c r="AE132" s="1231">
        <f t="shared" si="87"/>
        <v>0</v>
      </c>
      <c r="AF132" s="1232">
        <f t="shared" si="88"/>
        <v>0</v>
      </c>
      <c r="AG132" s="1232">
        <f t="shared" si="89"/>
        <v>0</v>
      </c>
      <c r="AH132" s="1173">
        <f t="shared" si="95"/>
        <v>0</v>
      </c>
      <c r="AI132" s="1233">
        <f t="shared" si="96"/>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0"/>
        <v>0</v>
      </c>
      <c r="N133" s="298">
        <f t="shared" si="91"/>
        <v>0</v>
      </c>
      <c r="O133" s="344">
        <v>0</v>
      </c>
      <c r="P133" s="345">
        <v>0</v>
      </c>
      <c r="Q133" s="345">
        <v>0</v>
      </c>
      <c r="R133" s="345">
        <v>0</v>
      </c>
      <c r="S133" s="345">
        <v>0</v>
      </c>
      <c r="T133" s="345">
        <v>0</v>
      </c>
      <c r="U133" s="345">
        <v>0</v>
      </c>
      <c r="V133" s="345">
        <v>0</v>
      </c>
      <c r="W133" s="345">
        <v>0</v>
      </c>
      <c r="X133" s="345">
        <v>0</v>
      </c>
      <c r="Y133" s="380">
        <v>0</v>
      </c>
      <c r="Z133" s="296">
        <f t="shared" si="92"/>
        <v>0</v>
      </c>
      <c r="AA133" s="298">
        <f t="shared" si="93"/>
        <v>0</v>
      </c>
      <c r="AB133" s="949">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50">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7">
        <f t="shared" si="94"/>
        <v>0</v>
      </c>
      <c r="AE133" s="1231">
        <f t="shared" si="87"/>
        <v>0</v>
      </c>
      <c r="AF133" s="1232">
        <f t="shared" si="88"/>
        <v>0</v>
      </c>
      <c r="AG133" s="1232">
        <f t="shared" si="89"/>
        <v>0</v>
      </c>
      <c r="AH133" s="1173">
        <f t="shared" si="95"/>
        <v>0</v>
      </c>
      <c r="AI133" s="1233">
        <f t="shared" si="96"/>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0"/>
        <v>0</v>
      </c>
      <c r="N134" s="298">
        <f t="shared" si="91"/>
        <v>0</v>
      </c>
      <c r="O134" s="344">
        <v>0</v>
      </c>
      <c r="P134" s="345">
        <v>0</v>
      </c>
      <c r="Q134" s="345">
        <v>0</v>
      </c>
      <c r="R134" s="345">
        <v>0</v>
      </c>
      <c r="S134" s="345">
        <v>0</v>
      </c>
      <c r="T134" s="345">
        <v>0</v>
      </c>
      <c r="U134" s="345">
        <v>0</v>
      </c>
      <c r="V134" s="345">
        <v>0</v>
      </c>
      <c r="W134" s="345">
        <v>0</v>
      </c>
      <c r="X134" s="345">
        <v>0</v>
      </c>
      <c r="Y134" s="380">
        <v>0</v>
      </c>
      <c r="Z134" s="296">
        <f t="shared" si="92"/>
        <v>0</v>
      </c>
      <c r="AA134" s="298">
        <f t="shared" si="93"/>
        <v>0</v>
      </c>
      <c r="AB134" s="949">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50">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7">
        <f t="shared" si="94"/>
        <v>0</v>
      </c>
      <c r="AE134" s="1231">
        <f t="shared" si="87"/>
        <v>0</v>
      </c>
      <c r="AF134" s="1232">
        <f t="shared" si="88"/>
        <v>0</v>
      </c>
      <c r="AG134" s="1232">
        <f t="shared" si="89"/>
        <v>0</v>
      </c>
      <c r="AH134" s="1173">
        <f t="shared" si="95"/>
        <v>0</v>
      </c>
      <c r="AI134" s="1233">
        <f t="shared" si="96"/>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0"/>
        <v>0</v>
      </c>
      <c r="N135" s="298">
        <f t="shared" si="91"/>
        <v>0</v>
      </c>
      <c r="O135" s="344">
        <v>0</v>
      </c>
      <c r="P135" s="345">
        <v>0</v>
      </c>
      <c r="Q135" s="345">
        <v>0</v>
      </c>
      <c r="R135" s="345">
        <v>0</v>
      </c>
      <c r="S135" s="345">
        <v>0</v>
      </c>
      <c r="T135" s="345">
        <v>0</v>
      </c>
      <c r="U135" s="345">
        <v>0</v>
      </c>
      <c r="V135" s="345">
        <v>0</v>
      </c>
      <c r="W135" s="345">
        <v>0</v>
      </c>
      <c r="X135" s="345">
        <v>0</v>
      </c>
      <c r="Y135" s="380">
        <v>0</v>
      </c>
      <c r="Z135" s="296">
        <f t="shared" si="92"/>
        <v>0</v>
      </c>
      <c r="AA135" s="298">
        <f t="shared" si="93"/>
        <v>0</v>
      </c>
      <c r="AB135" s="949">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50">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7">
        <f t="shared" si="94"/>
        <v>0</v>
      </c>
      <c r="AE135" s="1231">
        <f t="shared" si="87"/>
        <v>0</v>
      </c>
      <c r="AF135" s="1232">
        <f t="shared" si="88"/>
        <v>0</v>
      </c>
      <c r="AG135" s="1232">
        <f t="shared" si="89"/>
        <v>0</v>
      </c>
      <c r="AH135" s="1173">
        <f t="shared" si="95"/>
        <v>0</v>
      </c>
      <c r="AI135" s="1233">
        <f t="shared" si="96"/>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0"/>
        <v>0</v>
      </c>
      <c r="N136" s="312">
        <f t="shared" si="91"/>
        <v>0</v>
      </c>
      <c r="O136" s="346">
        <v>0</v>
      </c>
      <c r="P136" s="347">
        <v>0</v>
      </c>
      <c r="Q136" s="347">
        <v>0</v>
      </c>
      <c r="R136" s="347">
        <v>0</v>
      </c>
      <c r="S136" s="347">
        <v>0</v>
      </c>
      <c r="T136" s="347">
        <v>0</v>
      </c>
      <c r="U136" s="347">
        <v>0</v>
      </c>
      <c r="V136" s="347">
        <v>0</v>
      </c>
      <c r="W136" s="347">
        <v>0</v>
      </c>
      <c r="X136" s="347">
        <v>0</v>
      </c>
      <c r="Y136" s="381">
        <v>0</v>
      </c>
      <c r="Z136" s="310">
        <f t="shared" si="92"/>
        <v>0</v>
      </c>
      <c r="AA136" s="312">
        <f t="shared" si="93"/>
        <v>0</v>
      </c>
      <c r="AB136" s="949">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50">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7">
        <f t="shared" si="94"/>
        <v>0</v>
      </c>
      <c r="AE136" s="1231">
        <f t="shared" si="87"/>
        <v>0</v>
      </c>
      <c r="AF136" s="1232">
        <f t="shared" si="88"/>
        <v>0</v>
      </c>
      <c r="AG136" s="1232">
        <f t="shared" si="89"/>
        <v>0</v>
      </c>
      <c r="AH136" s="1173">
        <f t="shared" si="95"/>
        <v>0</v>
      </c>
      <c r="AI136" s="1233">
        <f t="shared" si="96"/>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0"/>
        <v>0</v>
      </c>
      <c r="N137" s="284">
        <f t="shared" si="91"/>
        <v>0</v>
      </c>
      <c r="O137" s="342">
        <v>0</v>
      </c>
      <c r="P137" s="343">
        <v>0</v>
      </c>
      <c r="Q137" s="343">
        <v>0</v>
      </c>
      <c r="R137" s="343">
        <v>0</v>
      </c>
      <c r="S137" s="343">
        <v>0</v>
      </c>
      <c r="T137" s="343">
        <v>0</v>
      </c>
      <c r="U137" s="343">
        <v>0</v>
      </c>
      <c r="V137" s="343">
        <v>0</v>
      </c>
      <c r="W137" s="343">
        <v>0</v>
      </c>
      <c r="X137" s="343">
        <v>0</v>
      </c>
      <c r="Y137" s="379">
        <v>0</v>
      </c>
      <c r="Z137" s="282">
        <f t="shared" si="92"/>
        <v>0</v>
      </c>
      <c r="AA137" s="284">
        <f t="shared" si="93"/>
        <v>0</v>
      </c>
      <c r="AB137" s="949">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50">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7">
        <f t="shared" si="94"/>
        <v>0</v>
      </c>
      <c r="AE137" s="1231">
        <f t="shared" si="87"/>
        <v>0</v>
      </c>
      <c r="AF137" s="1232">
        <f t="shared" si="88"/>
        <v>0</v>
      </c>
      <c r="AG137" s="1232">
        <f t="shared" si="89"/>
        <v>0</v>
      </c>
      <c r="AH137" s="1173">
        <f t="shared" si="95"/>
        <v>0</v>
      </c>
      <c r="AI137" s="1233">
        <f t="shared" si="96"/>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0"/>
        <v>0</v>
      </c>
      <c r="N138" s="298">
        <f t="shared" si="91"/>
        <v>0</v>
      </c>
      <c r="O138" s="344">
        <v>0</v>
      </c>
      <c r="P138" s="345">
        <v>0</v>
      </c>
      <c r="Q138" s="345">
        <v>0</v>
      </c>
      <c r="R138" s="345">
        <v>0</v>
      </c>
      <c r="S138" s="345">
        <v>0</v>
      </c>
      <c r="T138" s="345">
        <v>0</v>
      </c>
      <c r="U138" s="345">
        <v>0</v>
      </c>
      <c r="V138" s="345">
        <v>0</v>
      </c>
      <c r="W138" s="345">
        <v>0</v>
      </c>
      <c r="X138" s="345">
        <v>0</v>
      </c>
      <c r="Y138" s="380">
        <v>0</v>
      </c>
      <c r="Z138" s="296">
        <f t="shared" si="92"/>
        <v>0</v>
      </c>
      <c r="AA138" s="298">
        <f t="shared" si="93"/>
        <v>0</v>
      </c>
      <c r="AB138" s="949">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50">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7">
        <f t="shared" si="94"/>
        <v>0</v>
      </c>
      <c r="AE138" s="1231">
        <f t="shared" si="87"/>
        <v>0</v>
      </c>
      <c r="AF138" s="1232">
        <f t="shared" si="88"/>
        <v>0</v>
      </c>
      <c r="AG138" s="1232">
        <f t="shared" si="89"/>
        <v>0</v>
      </c>
      <c r="AH138" s="1173">
        <f t="shared" si="95"/>
        <v>0</v>
      </c>
      <c r="AI138" s="1233">
        <f t="shared" si="96"/>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0"/>
        <v>0</v>
      </c>
      <c r="N139" s="298">
        <f t="shared" si="91"/>
        <v>0</v>
      </c>
      <c r="O139" s="344">
        <v>0</v>
      </c>
      <c r="P139" s="345">
        <v>0</v>
      </c>
      <c r="Q139" s="345">
        <v>0</v>
      </c>
      <c r="R139" s="345">
        <v>0</v>
      </c>
      <c r="S139" s="345">
        <v>0</v>
      </c>
      <c r="T139" s="345">
        <v>0</v>
      </c>
      <c r="U139" s="345">
        <v>0</v>
      </c>
      <c r="V139" s="345">
        <v>0</v>
      </c>
      <c r="W139" s="345">
        <v>0</v>
      </c>
      <c r="X139" s="345">
        <v>0</v>
      </c>
      <c r="Y139" s="380">
        <v>0</v>
      </c>
      <c r="Z139" s="296">
        <f t="shared" si="92"/>
        <v>0</v>
      </c>
      <c r="AA139" s="298">
        <f t="shared" si="93"/>
        <v>0</v>
      </c>
      <c r="AB139" s="949">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50">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7">
        <f t="shared" si="94"/>
        <v>0</v>
      </c>
      <c r="AE139" s="1231">
        <f t="shared" si="87"/>
        <v>0</v>
      </c>
      <c r="AF139" s="1232">
        <f t="shared" si="88"/>
        <v>0</v>
      </c>
      <c r="AG139" s="1232">
        <f t="shared" si="89"/>
        <v>0</v>
      </c>
      <c r="AH139" s="1173">
        <f t="shared" si="95"/>
        <v>0</v>
      </c>
      <c r="AI139" s="1233">
        <f t="shared" si="96"/>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0"/>
        <v>0</v>
      </c>
      <c r="N140" s="298">
        <f t="shared" si="91"/>
        <v>0</v>
      </c>
      <c r="O140" s="344">
        <v>0</v>
      </c>
      <c r="P140" s="345">
        <v>0</v>
      </c>
      <c r="Q140" s="345">
        <v>0</v>
      </c>
      <c r="R140" s="345">
        <v>0</v>
      </c>
      <c r="S140" s="345">
        <v>0</v>
      </c>
      <c r="T140" s="345">
        <v>0</v>
      </c>
      <c r="U140" s="345">
        <v>0</v>
      </c>
      <c r="V140" s="345">
        <v>0</v>
      </c>
      <c r="W140" s="345">
        <v>0</v>
      </c>
      <c r="X140" s="345">
        <v>0</v>
      </c>
      <c r="Y140" s="380">
        <v>0</v>
      </c>
      <c r="Z140" s="296">
        <f t="shared" si="92"/>
        <v>0</v>
      </c>
      <c r="AA140" s="298">
        <f t="shared" si="93"/>
        <v>0</v>
      </c>
      <c r="AB140" s="949">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50">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7">
        <f t="shared" si="94"/>
        <v>0</v>
      </c>
      <c r="AE140" s="1231">
        <f t="shared" si="87"/>
        <v>0</v>
      </c>
      <c r="AF140" s="1232">
        <f t="shared" si="88"/>
        <v>0</v>
      </c>
      <c r="AG140" s="1232">
        <f t="shared" si="89"/>
        <v>0</v>
      </c>
      <c r="AH140" s="1173">
        <f t="shared" si="95"/>
        <v>0</v>
      </c>
      <c r="AI140" s="1233">
        <f t="shared" si="96"/>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0"/>
        <v>0</v>
      </c>
      <c r="N141" s="312">
        <f t="shared" si="91"/>
        <v>0</v>
      </c>
      <c r="O141" s="346">
        <v>0</v>
      </c>
      <c r="P141" s="347">
        <v>0</v>
      </c>
      <c r="Q141" s="347">
        <v>0</v>
      </c>
      <c r="R141" s="347">
        <v>0</v>
      </c>
      <c r="S141" s="347">
        <v>0</v>
      </c>
      <c r="T141" s="347">
        <v>0</v>
      </c>
      <c r="U141" s="347">
        <v>0</v>
      </c>
      <c r="V141" s="347">
        <v>0</v>
      </c>
      <c r="W141" s="347">
        <v>0</v>
      </c>
      <c r="X141" s="347">
        <v>0</v>
      </c>
      <c r="Y141" s="381">
        <v>0</v>
      </c>
      <c r="Z141" s="310">
        <f t="shared" si="92"/>
        <v>0</v>
      </c>
      <c r="AA141" s="312">
        <f t="shared" si="93"/>
        <v>0</v>
      </c>
      <c r="AB141" s="949">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50">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7">
        <f t="shared" si="94"/>
        <v>0</v>
      </c>
      <c r="AE141" s="1231">
        <f t="shared" si="87"/>
        <v>0</v>
      </c>
      <c r="AF141" s="1232">
        <f t="shared" si="88"/>
        <v>0</v>
      </c>
      <c r="AG141" s="1232">
        <f t="shared" si="89"/>
        <v>0</v>
      </c>
      <c r="AH141" s="1173">
        <f t="shared" si="95"/>
        <v>0</v>
      </c>
      <c r="AI141" s="1233">
        <f t="shared" si="96"/>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0"/>
        <v>0</v>
      </c>
      <c r="N142" s="284">
        <f t="shared" si="91"/>
        <v>0</v>
      </c>
      <c r="O142" s="342">
        <v>0</v>
      </c>
      <c r="P142" s="343">
        <v>0</v>
      </c>
      <c r="Q142" s="343">
        <v>0</v>
      </c>
      <c r="R142" s="343">
        <v>0</v>
      </c>
      <c r="S142" s="343">
        <v>0</v>
      </c>
      <c r="T142" s="343">
        <v>0</v>
      </c>
      <c r="U142" s="343">
        <v>0</v>
      </c>
      <c r="V142" s="343">
        <v>0</v>
      </c>
      <c r="W142" s="343">
        <v>0</v>
      </c>
      <c r="X142" s="343">
        <v>0</v>
      </c>
      <c r="Y142" s="379">
        <v>0</v>
      </c>
      <c r="Z142" s="282">
        <f t="shared" si="92"/>
        <v>0</v>
      </c>
      <c r="AA142" s="284">
        <f t="shared" si="93"/>
        <v>0</v>
      </c>
      <c r="AB142" s="949">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50">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7">
        <f t="shared" si="94"/>
        <v>0</v>
      </c>
      <c r="AE142" s="1231">
        <f t="shared" si="87"/>
        <v>0</v>
      </c>
      <c r="AF142" s="1232">
        <f t="shared" si="88"/>
        <v>0</v>
      </c>
      <c r="AG142" s="1232">
        <f t="shared" si="89"/>
        <v>0</v>
      </c>
      <c r="AH142" s="1173">
        <f t="shared" si="95"/>
        <v>0</v>
      </c>
      <c r="AI142" s="1233">
        <f t="shared" si="96"/>
        <v>0</v>
      </c>
      <c r="AJ142" s="227"/>
      <c r="AK142" s="227"/>
      <c r="AL142" s="227"/>
      <c r="AM142" s="227"/>
    </row>
    <row r="143" spans="1:39" x14ac:dyDescent="0.2">
      <c r="A143" s="330">
        <v>2022</v>
      </c>
      <c r="B143" s="344">
        <v>1.1724727470236661E-2</v>
      </c>
      <c r="C143" s="345">
        <v>1.1724727470236661E-2</v>
      </c>
      <c r="D143" s="345">
        <v>2.1167740300299713E-2</v>
      </c>
      <c r="E143" s="345">
        <v>2.2704953014126228E-2</v>
      </c>
      <c r="F143" s="345">
        <v>2.0813483197471987E-2</v>
      </c>
      <c r="G143" s="345">
        <v>1.9517408339626154E-2</v>
      </c>
      <c r="H143" s="345">
        <v>1.8127506336638188E-2</v>
      </c>
      <c r="I143" s="345">
        <v>1.7668040996735686E-2</v>
      </c>
      <c r="J143" s="345">
        <v>1.6934873771353477E-2</v>
      </c>
      <c r="K143" s="345">
        <v>1.6579722050724895E-2</v>
      </c>
      <c r="L143" s="380">
        <v>1.6579722050724895E-2</v>
      </c>
      <c r="M143" s="296">
        <f t="shared" si="90"/>
        <v>6.3283231402750514E-3</v>
      </c>
      <c r="N143" s="298">
        <f t="shared" si="91"/>
        <v>5.2676111988416742E-3</v>
      </c>
      <c r="O143" s="344">
        <v>1.1724727470236661E-2</v>
      </c>
      <c r="P143" s="345">
        <v>1.1724727470236661E-2</v>
      </c>
      <c r="Q143" s="345">
        <v>2.2264528028440971E-2</v>
      </c>
      <c r="R143" s="345">
        <v>2.1876721474468206E-2</v>
      </c>
      <c r="S143" s="345">
        <v>2.0535696480103199E-2</v>
      </c>
      <c r="T143" s="345">
        <v>1.9174235473709503E-2</v>
      </c>
      <c r="U143" s="345">
        <v>1.7781699133564571E-2</v>
      </c>
      <c r="V143" s="345">
        <v>1.736922831194538E-2</v>
      </c>
      <c r="W143" s="345">
        <v>1.6774103394114354E-2</v>
      </c>
      <c r="X143" s="345">
        <v>1.6579722050724895E-2</v>
      </c>
      <c r="Y143" s="380">
        <v>1.6325666547008316E-2</v>
      </c>
      <c r="Z143" s="296">
        <f t="shared" si="92"/>
        <v>9.0180078661029062E-3</v>
      </c>
      <c r="AA143" s="298">
        <f t="shared" si="93"/>
        <v>8.0482802862081072E-3</v>
      </c>
      <c r="AB143" s="949">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50">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7">
        <f t="shared" si="94"/>
        <v>0</v>
      </c>
      <c r="AE143" s="1231">
        <f>SUMPRODUCT($B$74:$L$74,B143:L143)</f>
        <v>6.3283231402750514E-3</v>
      </c>
      <c r="AF143" s="1232">
        <f>SUMPRODUCT($O$74:$Y$74,O143:Y143)</f>
        <v>9.0180078661029062E-3</v>
      </c>
      <c r="AG143" s="1232">
        <f>SUM(AE143:AF143)</f>
        <v>1.5346331006377958E-2</v>
      </c>
      <c r="AH143" s="1173">
        <f t="shared" si="95"/>
        <v>0.41236717347260338</v>
      </c>
      <c r="AI143" s="1233">
        <f t="shared" si="96"/>
        <v>0.58763282652739657</v>
      </c>
      <c r="AJ143" s="227"/>
      <c r="AK143" s="227"/>
      <c r="AL143" s="227"/>
      <c r="AM143" s="227"/>
    </row>
    <row r="144" spans="1:39" x14ac:dyDescent="0.2">
      <c r="A144" s="330">
        <v>2023</v>
      </c>
      <c r="B144" s="344">
        <v>2.7265266398469313E-2</v>
      </c>
      <c r="C144" s="345">
        <v>2.7266472403531271E-2</v>
      </c>
      <c r="D144" s="345">
        <v>4.6409463653201345E-2</v>
      </c>
      <c r="E144" s="345">
        <v>5.0648017614443687E-2</v>
      </c>
      <c r="F144" s="345">
        <v>4.8787051130431219E-2</v>
      </c>
      <c r="G144" s="345">
        <v>4.7590792317682165E-2</v>
      </c>
      <c r="H144" s="345">
        <v>4.3856942634221609E-2</v>
      </c>
      <c r="I144" s="345">
        <v>4.2639186493598082E-2</v>
      </c>
      <c r="J144" s="345">
        <v>4.222141468467213E-2</v>
      </c>
      <c r="K144" s="345">
        <v>4.1336245528760709E-2</v>
      </c>
      <c r="L144" s="380">
        <v>4.1336245528760709E-2</v>
      </c>
      <c r="M144" s="296">
        <f t="shared" si="90"/>
        <v>1.4412898156273475E-2</v>
      </c>
      <c r="N144" s="298">
        <f t="shared" si="91"/>
        <v>1.2078294114689045E-2</v>
      </c>
      <c r="O144" s="344">
        <v>2.7265266398469313E-2</v>
      </c>
      <c r="P144" s="345">
        <v>2.7266472403531271E-2</v>
      </c>
      <c r="Q144" s="345">
        <v>4.8520612585390803E-2</v>
      </c>
      <c r="R144" s="345">
        <v>5.0721118144440504E-2</v>
      </c>
      <c r="S144" s="345">
        <v>4.82814081673172E-2</v>
      </c>
      <c r="T144" s="345">
        <v>4.5334184988954029E-2</v>
      </c>
      <c r="U144" s="345">
        <v>4.3856942634221609E-2</v>
      </c>
      <c r="V144" s="345">
        <v>4.222141468467213E-2</v>
      </c>
      <c r="W144" s="345">
        <v>4.1670533702508041E-2</v>
      </c>
      <c r="X144" s="345">
        <v>4.1336245528760709E-2</v>
      </c>
      <c r="Y144" s="380">
        <v>4.0664464885369074E-2</v>
      </c>
      <c r="Z144" s="296">
        <f t="shared" si="92"/>
        <v>2.0806639493221736E-2</v>
      </c>
      <c r="AA144" s="298">
        <f t="shared" si="93"/>
        <v>1.8585126378568729E-2</v>
      </c>
      <c r="AB144" s="949">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50">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7">
        <f t="shared" si="94"/>
        <v>0</v>
      </c>
      <c r="AE144" s="1231">
        <f t="shared" ref="AE144:AE171" si="97">SUMPRODUCT($B$74:$L$74,B144:L144)</f>
        <v>1.4412898156273475E-2</v>
      </c>
      <c r="AF144" s="1232">
        <f t="shared" ref="AF144:AF171" si="98">SUMPRODUCT($O$74:$Y$74,O144:Y144)</f>
        <v>2.0806639493221736E-2</v>
      </c>
      <c r="AG144" s="1232">
        <f t="shared" ref="AG144:AG171" si="99">SUM(AE144:AF144)</f>
        <v>3.521953764949521E-2</v>
      </c>
      <c r="AH144" s="1173">
        <f t="shared" si="95"/>
        <v>0.40923019205165662</v>
      </c>
      <c r="AI144" s="1233">
        <f t="shared" si="96"/>
        <v>0.59076980794834344</v>
      </c>
      <c r="AJ144" s="227"/>
      <c r="AK144" s="227"/>
      <c r="AL144" s="227"/>
      <c r="AM144" s="227"/>
    </row>
    <row r="145" spans="1:39" x14ac:dyDescent="0.2">
      <c r="A145" s="330">
        <v>2024</v>
      </c>
      <c r="B145" s="344">
        <v>4.594827315039024E-2</v>
      </c>
      <c r="C145" s="345">
        <v>4.5928318514083959E-2</v>
      </c>
      <c r="D145" s="345">
        <v>9.2710800782949673E-2</v>
      </c>
      <c r="E145" s="345">
        <v>0.10846765801467829</v>
      </c>
      <c r="F145" s="345">
        <v>0.10150910506604462</v>
      </c>
      <c r="G145" s="345">
        <v>0.10026546833605261</v>
      </c>
      <c r="H145" s="345">
        <v>9.528027593186475E-2</v>
      </c>
      <c r="I145" s="345">
        <v>9.4130053862517382E-2</v>
      </c>
      <c r="J145" s="345">
        <v>9.336028793586458E-2</v>
      </c>
      <c r="K145" s="345">
        <v>9.1730338167748962E-2</v>
      </c>
      <c r="L145" s="380">
        <v>9.1730338167748962E-2</v>
      </c>
      <c r="M145" s="296">
        <f t="shared" si="90"/>
        <v>2.7438441974268556E-2</v>
      </c>
      <c r="N145" s="298">
        <f t="shared" si="91"/>
        <v>2.169741775456473E-2</v>
      </c>
      <c r="O145" s="344">
        <v>4.594827315039024E-2</v>
      </c>
      <c r="P145" s="345">
        <v>4.5911825509836919E-2</v>
      </c>
      <c r="Q145" s="345">
        <v>0.10439874602322083</v>
      </c>
      <c r="R145" s="345">
        <v>0.10343301759297659</v>
      </c>
      <c r="S145" s="345">
        <v>0.10237962525825764</v>
      </c>
      <c r="T145" s="345">
        <v>9.9222741667440703E-2</v>
      </c>
      <c r="U145" s="345">
        <v>9.528027593186475E-2</v>
      </c>
      <c r="V145" s="345">
        <v>9.4130053862517382E-2</v>
      </c>
      <c r="W145" s="345">
        <v>9.2302628361325134E-2</v>
      </c>
      <c r="X145" s="345">
        <v>9.1730338167748962E-2</v>
      </c>
      <c r="Y145" s="380">
        <v>9.1008674492076086E-2</v>
      </c>
      <c r="Z145" s="296">
        <f t="shared" si="92"/>
        <v>3.9616446125677336E-2</v>
      </c>
      <c r="AA145" s="298">
        <f t="shared" si="93"/>
        <v>3.3131802776457733E-2</v>
      </c>
      <c r="AB145" s="949">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50">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7">
        <f t="shared" si="94"/>
        <v>0</v>
      </c>
      <c r="AE145" s="1231">
        <f t="shared" si="97"/>
        <v>2.7438441974268556E-2</v>
      </c>
      <c r="AF145" s="1232">
        <f t="shared" si="98"/>
        <v>3.9616446125677336E-2</v>
      </c>
      <c r="AG145" s="1232">
        <f t="shared" si="99"/>
        <v>6.7054888099945892E-2</v>
      </c>
      <c r="AH145" s="1173">
        <f t="shared" si="95"/>
        <v>0.40919376277790992</v>
      </c>
      <c r="AI145" s="1233">
        <f t="shared" si="96"/>
        <v>0.59080623722209002</v>
      </c>
      <c r="AJ145" s="227"/>
      <c r="AK145" s="227"/>
      <c r="AL145" s="227"/>
      <c r="AM145" s="227"/>
    </row>
    <row r="146" spans="1:39" ht="15" thickBot="1" x14ac:dyDescent="0.25">
      <c r="A146" s="328">
        <v>2025</v>
      </c>
      <c r="B146" s="346">
        <v>2.495710909531201E-2</v>
      </c>
      <c r="C146" s="347">
        <v>3.9094236599609471E-2</v>
      </c>
      <c r="D146" s="347">
        <v>0.17324619073189534</v>
      </c>
      <c r="E146" s="347">
        <v>0.18571783981635356</v>
      </c>
      <c r="F146" s="347">
        <v>0.18283220733097089</v>
      </c>
      <c r="G146" s="347">
        <v>0.17752944836230206</v>
      </c>
      <c r="H146" s="347">
        <v>0.17457862759834106</v>
      </c>
      <c r="I146" s="347">
        <v>0.17413201588770952</v>
      </c>
      <c r="J146" s="347">
        <v>0.17080702596804848</v>
      </c>
      <c r="K146" s="347">
        <v>0.16908274168216397</v>
      </c>
      <c r="L146" s="381">
        <v>0.16908274168216397</v>
      </c>
      <c r="M146" s="310">
        <f t="shared" si="90"/>
        <v>3.8728974977637824E-2</v>
      </c>
      <c r="N146" s="312">
        <f t="shared" si="91"/>
        <v>2.3534760579226374E-2</v>
      </c>
      <c r="O146" s="346">
        <v>2.495710909531201E-2</v>
      </c>
      <c r="P146" s="347">
        <v>5.1671525603713526E-2</v>
      </c>
      <c r="Q146" s="347">
        <v>0.17786433822528794</v>
      </c>
      <c r="R146" s="347">
        <v>0.18610721119879559</v>
      </c>
      <c r="S146" s="347">
        <v>0.1778565102477655</v>
      </c>
      <c r="T146" s="347">
        <v>0.1749732730678806</v>
      </c>
      <c r="U146" s="347">
        <v>0.17457862759834106</v>
      </c>
      <c r="V146" s="347">
        <v>0.17173195514363987</v>
      </c>
      <c r="W146" s="347">
        <v>0.17066265688568732</v>
      </c>
      <c r="X146" s="347">
        <v>0.16908274168216397</v>
      </c>
      <c r="Y146" s="381">
        <v>0.16795050922554305</v>
      </c>
      <c r="Z146" s="310">
        <f t="shared" si="92"/>
        <v>5.5461428746714933E-2</v>
      </c>
      <c r="AA146" s="312">
        <f t="shared" si="93"/>
        <v>3.5438926425065152E-2</v>
      </c>
      <c r="AB146" s="949">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50">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7">
        <f t="shared" si="94"/>
        <v>0</v>
      </c>
      <c r="AE146" s="1231">
        <f t="shared" si="97"/>
        <v>3.8728974977637824E-2</v>
      </c>
      <c r="AF146" s="1232">
        <f t="shared" si="98"/>
        <v>5.5461428746714933E-2</v>
      </c>
      <c r="AG146" s="1232">
        <f t="shared" si="99"/>
        <v>9.419040372435275E-2</v>
      </c>
      <c r="AH146" s="1173">
        <f t="shared" si="95"/>
        <v>0.41117750265704106</v>
      </c>
      <c r="AI146" s="1233">
        <f t="shared" si="96"/>
        <v>0.58882249734295899</v>
      </c>
      <c r="AJ146" s="227"/>
      <c r="AK146" s="227"/>
      <c r="AL146" s="227"/>
      <c r="AM146" s="227"/>
    </row>
    <row r="147" spans="1:39" x14ac:dyDescent="0.2">
      <c r="A147" s="329">
        <v>2026</v>
      </c>
      <c r="B147" s="342">
        <v>2.5242419634509069E-2</v>
      </c>
      <c r="C147" s="343">
        <v>9.5463619457595614E-2</v>
      </c>
      <c r="D147" s="343">
        <v>0.23922898801964351</v>
      </c>
      <c r="E147" s="343">
        <v>0.26322072851153361</v>
      </c>
      <c r="F147" s="343">
        <v>0.25311435927985954</v>
      </c>
      <c r="G147" s="343">
        <v>0.25564580536010417</v>
      </c>
      <c r="H147" s="343">
        <v>0.25101906097783727</v>
      </c>
      <c r="I147" s="343">
        <v>0.25090365907868795</v>
      </c>
      <c r="J147" s="343">
        <v>0.24831298206751579</v>
      </c>
      <c r="K147" s="343">
        <v>0.24537669552713168</v>
      </c>
      <c r="L147" s="379">
        <v>0.24537669552713168</v>
      </c>
      <c r="M147" s="282">
        <f t="shared" si="90"/>
        <v>5.9554174962398669E-2</v>
      </c>
      <c r="N147" s="284">
        <f t="shared" si="91"/>
        <v>3.7007072685139808E-2</v>
      </c>
      <c r="O147" s="342">
        <v>2.5242419634509069E-2</v>
      </c>
      <c r="P147" s="343">
        <v>0.1201656091165391</v>
      </c>
      <c r="Q147" s="343">
        <v>0.25385791426991944</v>
      </c>
      <c r="R147" s="343">
        <v>0.2552411777385063</v>
      </c>
      <c r="S147" s="343">
        <v>0.25938346858659594</v>
      </c>
      <c r="T147" s="343">
        <v>0.25708379185402669</v>
      </c>
      <c r="U147" s="343">
        <v>0.25101906097783727</v>
      </c>
      <c r="V147" s="343">
        <v>0.24798970921456631</v>
      </c>
      <c r="W147" s="343">
        <v>0.24703154440542144</v>
      </c>
      <c r="X147" s="343">
        <v>0.24536562688219932</v>
      </c>
      <c r="Y147" s="379">
        <v>0.2442530088483634</v>
      </c>
      <c r="Z147" s="282">
        <f t="shared" si="92"/>
        <v>9.0150958571798695E-2</v>
      </c>
      <c r="AA147" s="284">
        <f t="shared" si="93"/>
        <v>5.9464226747881384E-2</v>
      </c>
      <c r="AB147" s="949">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50">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7">
        <f t="shared" si="94"/>
        <v>0</v>
      </c>
      <c r="AE147" s="1231">
        <f t="shared" si="97"/>
        <v>5.9554174962398669E-2</v>
      </c>
      <c r="AF147" s="1232">
        <f t="shared" si="98"/>
        <v>9.0150958571798695E-2</v>
      </c>
      <c r="AG147" s="1232">
        <f t="shared" si="99"/>
        <v>0.14970513353419737</v>
      </c>
      <c r="AH147" s="1173">
        <f t="shared" si="95"/>
        <v>0.39780983828984473</v>
      </c>
      <c r="AI147" s="1233">
        <f t="shared" si="96"/>
        <v>0.60219016171015516</v>
      </c>
      <c r="AJ147" s="227"/>
      <c r="AK147" s="227"/>
      <c r="AL147" s="227"/>
      <c r="AM147" s="227"/>
    </row>
    <row r="148" spans="1:39" x14ac:dyDescent="0.2">
      <c r="A148" s="330">
        <v>2027</v>
      </c>
      <c r="B148" s="344">
        <v>1.7077083656995701E-2</v>
      </c>
      <c r="C148" s="345">
        <v>0.17096258774956016</v>
      </c>
      <c r="D148" s="345">
        <v>0.28834259033402143</v>
      </c>
      <c r="E148" s="345">
        <v>0.30731596094158797</v>
      </c>
      <c r="F148" s="345">
        <v>0.30861983375247198</v>
      </c>
      <c r="G148" s="345">
        <v>0.30475218482394711</v>
      </c>
      <c r="H148" s="345">
        <v>0.30428823168284369</v>
      </c>
      <c r="I148" s="345">
        <v>0.30044390406375082</v>
      </c>
      <c r="J148" s="345">
        <v>0.29740555169204397</v>
      </c>
      <c r="K148" s="345">
        <v>0.29516141234800186</v>
      </c>
      <c r="L148" s="380">
        <v>0.29516141234800186</v>
      </c>
      <c r="M148" s="296">
        <f t="shared" si="90"/>
        <v>7.8846918852754466E-2</v>
      </c>
      <c r="N148" s="298">
        <f t="shared" si="91"/>
        <v>5.0167210033733124E-2</v>
      </c>
      <c r="O148" s="344">
        <v>1.7077083656995701E-2</v>
      </c>
      <c r="P148" s="345">
        <v>0.18001385872640133</v>
      </c>
      <c r="Q148" s="345">
        <v>0.30439664314766146</v>
      </c>
      <c r="R148" s="345">
        <v>0.3083125162425483</v>
      </c>
      <c r="S148" s="345">
        <v>0.30484820566206056</v>
      </c>
      <c r="T148" s="345">
        <v>0.3037353477130732</v>
      </c>
      <c r="U148" s="345">
        <v>0.30428823168284369</v>
      </c>
      <c r="V148" s="345">
        <v>0.29894986462669465</v>
      </c>
      <c r="W148" s="345">
        <v>0.29647927611379965</v>
      </c>
      <c r="X148" s="345">
        <v>0.29494793042553458</v>
      </c>
      <c r="Y148" s="380">
        <v>0.29141464857529148</v>
      </c>
      <c r="Z148" s="296">
        <f t="shared" si="92"/>
        <v>0.11636795268195378</v>
      </c>
      <c r="AA148" s="298">
        <f t="shared" si="93"/>
        <v>7.6927502226099551E-2</v>
      </c>
      <c r="AB148" s="949">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50">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7">
        <f t="shared" si="94"/>
        <v>0</v>
      </c>
      <c r="AE148" s="1231">
        <f t="shared" si="97"/>
        <v>7.8846918852754466E-2</v>
      </c>
      <c r="AF148" s="1232">
        <f t="shared" si="98"/>
        <v>0.11636795268195378</v>
      </c>
      <c r="AG148" s="1232">
        <f t="shared" si="99"/>
        <v>0.19521487153470823</v>
      </c>
      <c r="AH148" s="1173">
        <f t="shared" si="95"/>
        <v>0.40389811612654664</v>
      </c>
      <c r="AI148" s="1233">
        <f t="shared" si="96"/>
        <v>0.59610188387345342</v>
      </c>
      <c r="AJ148" s="227"/>
      <c r="AK148" s="227"/>
      <c r="AL148" s="227"/>
      <c r="AM148" s="227"/>
    </row>
    <row r="149" spans="1:39" x14ac:dyDescent="0.2">
      <c r="A149" s="330">
        <v>2028</v>
      </c>
      <c r="B149" s="344">
        <v>1.0807366166846532E-2</v>
      </c>
      <c r="C149" s="345">
        <v>0.20216033207230841</v>
      </c>
      <c r="D149" s="345">
        <v>0.30615000414804638</v>
      </c>
      <c r="E149" s="345">
        <v>0.33320929186558929</v>
      </c>
      <c r="F149" s="345">
        <v>0.32587622294621549</v>
      </c>
      <c r="G149" s="345">
        <v>0.32824815178102634</v>
      </c>
      <c r="H149" s="345">
        <v>0.32468716087025573</v>
      </c>
      <c r="I149" s="345">
        <v>0.32303048547675811</v>
      </c>
      <c r="J149" s="345">
        <v>0.31994572021097578</v>
      </c>
      <c r="K149" s="345">
        <v>0.31445558854275751</v>
      </c>
      <c r="L149" s="380">
        <v>0.31445558854275751</v>
      </c>
      <c r="M149" s="296">
        <f t="shared" si="90"/>
        <v>8.6583760946786464E-2</v>
      </c>
      <c r="N149" s="298">
        <f t="shared" si="91"/>
        <v>5.5093174121125646E-2</v>
      </c>
      <c r="O149" s="344">
        <v>1.0807366166846532E-2</v>
      </c>
      <c r="P149" s="345">
        <v>0.21025775362300952</v>
      </c>
      <c r="Q149" s="345">
        <v>0.32709662231613501</v>
      </c>
      <c r="R149" s="345">
        <v>0.3381402830215271</v>
      </c>
      <c r="S149" s="345">
        <v>0.32935185968143932</v>
      </c>
      <c r="T149" s="345">
        <v>0.32932077061541448</v>
      </c>
      <c r="U149" s="345">
        <v>0.32468716087025573</v>
      </c>
      <c r="V149" s="345">
        <v>0.32103489844914451</v>
      </c>
      <c r="W149" s="345">
        <v>0.31696228724709308</v>
      </c>
      <c r="X149" s="345">
        <v>0.3143118106077894</v>
      </c>
      <c r="Y149" s="380">
        <v>0.30501154510130274</v>
      </c>
      <c r="Z149" s="296">
        <f t="shared" si="92"/>
        <v>0.12912257814218672</v>
      </c>
      <c r="AA149" s="298">
        <f t="shared" si="93"/>
        <v>8.5070623183800043E-2</v>
      </c>
      <c r="AB149" s="949">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50">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7">
        <f t="shared" si="94"/>
        <v>0</v>
      </c>
      <c r="AE149" s="1231">
        <f t="shared" si="97"/>
        <v>8.6583760946786464E-2</v>
      </c>
      <c r="AF149" s="1232">
        <f t="shared" si="98"/>
        <v>0.12912257814218672</v>
      </c>
      <c r="AG149" s="1232">
        <f t="shared" si="99"/>
        <v>0.21570633908897319</v>
      </c>
      <c r="AH149" s="1173">
        <f t="shared" si="95"/>
        <v>0.40139646017112618</v>
      </c>
      <c r="AI149" s="1233">
        <f t="shared" si="96"/>
        <v>0.59860353982887382</v>
      </c>
      <c r="AJ149" s="227"/>
      <c r="AK149" s="227"/>
      <c r="AL149" s="227"/>
      <c r="AM149" s="227"/>
    </row>
    <row r="150" spans="1:39" x14ac:dyDescent="0.2">
      <c r="A150" s="330">
        <v>2029</v>
      </c>
      <c r="B150" s="344">
        <v>4.492807556593848E-3</v>
      </c>
      <c r="C150" s="345">
        <v>0.2146707478864904</v>
      </c>
      <c r="D150" s="345">
        <v>0.31461002486616091</v>
      </c>
      <c r="E150" s="345">
        <v>0.33382458893016742</v>
      </c>
      <c r="F150" s="345">
        <v>0.34266436277667806</v>
      </c>
      <c r="G150" s="345">
        <v>0.33814810953555396</v>
      </c>
      <c r="H150" s="345">
        <v>0.33214854925609061</v>
      </c>
      <c r="I150" s="345">
        <v>0.3297158597418291</v>
      </c>
      <c r="J150" s="345">
        <v>0.32403393924621837</v>
      </c>
      <c r="K150" s="345">
        <v>0.31424527447192396</v>
      </c>
      <c r="L150" s="380">
        <v>0.31424527447192396</v>
      </c>
      <c r="M150" s="296">
        <f t="shared" si="90"/>
        <v>8.9245399666607383E-2</v>
      </c>
      <c r="N150" s="298">
        <f t="shared" si="91"/>
        <v>5.639668451982402E-2</v>
      </c>
      <c r="O150" s="344">
        <v>4.492807556593848E-3</v>
      </c>
      <c r="P150" s="345">
        <v>0.22192161194738289</v>
      </c>
      <c r="Q150" s="345">
        <v>0.31355481654777623</v>
      </c>
      <c r="R150" s="345">
        <v>0.33929263521430814</v>
      </c>
      <c r="S150" s="345">
        <v>0.33562679773650922</v>
      </c>
      <c r="T150" s="345">
        <v>0.33925186695736087</v>
      </c>
      <c r="U150" s="345">
        <v>0.33179195488766156</v>
      </c>
      <c r="V150" s="345">
        <v>0.32721908236156844</v>
      </c>
      <c r="W150" s="345">
        <v>0.31864274081564425</v>
      </c>
      <c r="X150" s="345">
        <v>0.31165524615985363</v>
      </c>
      <c r="Y150" s="380">
        <v>0.30009631595370956</v>
      </c>
      <c r="Z150" s="296">
        <f t="shared" si="92"/>
        <v>0.13096044235632603</v>
      </c>
      <c r="AA150" s="298">
        <f t="shared" si="93"/>
        <v>8.5840012992831255E-2</v>
      </c>
      <c r="AB150" s="949">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50">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7">
        <f t="shared" si="94"/>
        <v>0</v>
      </c>
      <c r="AE150" s="1231">
        <f t="shared" si="97"/>
        <v>8.9245399666607383E-2</v>
      </c>
      <c r="AF150" s="1232">
        <f t="shared" si="98"/>
        <v>0.13096044235632603</v>
      </c>
      <c r="AG150" s="1232">
        <f t="shared" si="99"/>
        <v>0.22020584202293342</v>
      </c>
      <c r="AH150" s="1173">
        <f t="shared" si="95"/>
        <v>0.40528170754576481</v>
      </c>
      <c r="AI150" s="1233">
        <f t="shared" si="96"/>
        <v>0.59471829245423524</v>
      </c>
      <c r="AJ150" s="227"/>
      <c r="AK150" s="227"/>
      <c r="AL150" s="227"/>
      <c r="AM150" s="227"/>
    </row>
    <row r="151" spans="1:39" ht="15" thickBot="1" x14ac:dyDescent="0.25">
      <c r="A151" s="328">
        <v>2030</v>
      </c>
      <c r="B151" s="346">
        <v>1.9319201936431675E-4</v>
      </c>
      <c r="C151" s="347">
        <v>0.21618920809796313</v>
      </c>
      <c r="D151" s="347">
        <v>0.32306171018329766</v>
      </c>
      <c r="E151" s="347">
        <v>0.34295804551542036</v>
      </c>
      <c r="F151" s="347">
        <v>0.33924366481512863</v>
      </c>
      <c r="G151" s="347">
        <v>0.33600381590327477</v>
      </c>
      <c r="H151" s="347">
        <v>0.33023318838451543</v>
      </c>
      <c r="I151" s="347">
        <v>0.32523242146633485</v>
      </c>
      <c r="J151" s="347">
        <v>0.31445893225336352</v>
      </c>
      <c r="K151" s="347">
        <v>0.30101353021996602</v>
      </c>
      <c r="L151" s="381">
        <v>0.30101353021996602</v>
      </c>
      <c r="M151" s="310">
        <f t="shared" si="90"/>
        <v>9.0170355843829708E-2</v>
      </c>
      <c r="N151" s="312">
        <f t="shared" si="91"/>
        <v>5.6456860573250146E-2</v>
      </c>
      <c r="O151" s="346">
        <v>0</v>
      </c>
      <c r="P151" s="347">
        <v>0.22505111799182254</v>
      </c>
      <c r="Q151" s="347">
        <v>0.32145957151522137</v>
      </c>
      <c r="R151" s="347">
        <v>0.33450353261303994</v>
      </c>
      <c r="S151" s="347">
        <v>0.3328659176184689</v>
      </c>
      <c r="T151" s="347">
        <v>0.33705700358804608</v>
      </c>
      <c r="U151" s="347">
        <v>0.3284183179547398</v>
      </c>
      <c r="V151" s="347">
        <v>0.31594007546134478</v>
      </c>
      <c r="W151" s="347">
        <v>0.30488547961304979</v>
      </c>
      <c r="X151" s="347">
        <v>0.29900097131949271</v>
      </c>
      <c r="Y151" s="381">
        <v>0.28824612291750851</v>
      </c>
      <c r="Z151" s="310">
        <f t="shared" si="92"/>
        <v>0.13123720384247037</v>
      </c>
      <c r="AA151" s="312">
        <f t="shared" si="93"/>
        <v>8.5588138421378926E-2</v>
      </c>
      <c r="AB151" s="949">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50">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7">
        <f t="shared" si="94"/>
        <v>0</v>
      </c>
      <c r="AE151" s="1231">
        <f t="shared" si="97"/>
        <v>9.0170355843829708E-2</v>
      </c>
      <c r="AF151" s="1232">
        <f t="shared" si="98"/>
        <v>0.13123720384247037</v>
      </c>
      <c r="AG151" s="1232">
        <f t="shared" si="99"/>
        <v>0.22140755968630008</v>
      </c>
      <c r="AH151" s="1173">
        <f t="shared" si="95"/>
        <v>0.40725960744785328</v>
      </c>
      <c r="AI151" s="1233">
        <f t="shared" si="96"/>
        <v>0.59274039255214672</v>
      </c>
      <c r="AJ151" s="227"/>
      <c r="AK151" s="227"/>
      <c r="AL151" s="227"/>
      <c r="AM151" s="227"/>
    </row>
    <row r="152" spans="1:39" x14ac:dyDescent="0.2">
      <c r="A152" s="329">
        <v>2031</v>
      </c>
      <c r="B152" s="342">
        <v>2.3544368576747604E-4</v>
      </c>
      <c r="C152" s="343">
        <v>0.21454819139874115</v>
      </c>
      <c r="D152" s="343">
        <v>0.32455290948093696</v>
      </c>
      <c r="E152" s="343">
        <v>0.34456498158579513</v>
      </c>
      <c r="F152" s="343">
        <v>0.34084303553158729</v>
      </c>
      <c r="G152" s="343">
        <v>0.33718157671060045</v>
      </c>
      <c r="H152" s="343">
        <v>0.32527338308963671</v>
      </c>
      <c r="I152" s="343">
        <v>0.3173894566702527</v>
      </c>
      <c r="J152" s="343">
        <v>0.3065199567148269</v>
      </c>
      <c r="K152" s="343">
        <v>0.29300404577914152</v>
      </c>
      <c r="L152" s="379">
        <v>0.29300404577914152</v>
      </c>
      <c r="M152" s="282">
        <f t="shared" si="90"/>
        <v>9.0063213327531061E-2</v>
      </c>
      <c r="N152" s="284">
        <f t="shared" si="91"/>
        <v>5.6327341105172062E-2</v>
      </c>
      <c r="O152" s="342">
        <v>0</v>
      </c>
      <c r="P152" s="343">
        <v>0.22016971653035614</v>
      </c>
      <c r="Q152" s="343">
        <v>0.32294900301488216</v>
      </c>
      <c r="R152" s="343">
        <v>0.33607374017387992</v>
      </c>
      <c r="S152" s="343">
        <v>0.34323324752637757</v>
      </c>
      <c r="T152" s="343">
        <v>0.33621474176626404</v>
      </c>
      <c r="U152" s="343">
        <v>0.32292363310616429</v>
      </c>
      <c r="V152" s="343">
        <v>0.30843983824038673</v>
      </c>
      <c r="W152" s="343">
        <v>0.29732527917207008</v>
      </c>
      <c r="X152" s="343">
        <v>0.29082110123355648</v>
      </c>
      <c r="Y152" s="379">
        <v>0.28194838971595182</v>
      </c>
      <c r="Z152" s="282">
        <f t="shared" si="92"/>
        <v>0.12999975693794996</v>
      </c>
      <c r="AA152" s="284">
        <f t="shared" si="93"/>
        <v>8.4437179101287202E-2</v>
      </c>
      <c r="AB152" s="949">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50">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7">
        <f t="shared" si="94"/>
        <v>0</v>
      </c>
      <c r="AE152" s="1231">
        <f t="shared" si="97"/>
        <v>9.0063213327531061E-2</v>
      </c>
      <c r="AF152" s="1232">
        <f t="shared" si="98"/>
        <v>0.12999975693794996</v>
      </c>
      <c r="AG152" s="1232">
        <f t="shared" si="99"/>
        <v>0.22006297026548102</v>
      </c>
      <c r="AH152" s="1173">
        <f t="shared" si="95"/>
        <v>0.40926110021545198</v>
      </c>
      <c r="AI152" s="1233">
        <f t="shared" si="96"/>
        <v>0.59073889978454797</v>
      </c>
      <c r="AJ152" s="227"/>
      <c r="AK152" s="227"/>
      <c r="AL152" s="227"/>
      <c r="AM152" s="227"/>
    </row>
    <row r="153" spans="1:39" x14ac:dyDescent="0.2">
      <c r="A153" s="330">
        <v>2032</v>
      </c>
      <c r="B153" s="344">
        <v>2.3581225936947881E-4</v>
      </c>
      <c r="C153" s="345">
        <v>0.21491894929074154</v>
      </c>
      <c r="D153" s="345">
        <v>0.32518296383986939</v>
      </c>
      <c r="E153" s="345">
        <v>0.34525847490641254</v>
      </c>
      <c r="F153" s="345">
        <v>0.34143267924119131</v>
      </c>
      <c r="G153" s="345">
        <v>0.33632740314005372</v>
      </c>
      <c r="H153" s="345">
        <v>0.31889609299519139</v>
      </c>
      <c r="I153" s="345">
        <v>0.31025099716875676</v>
      </c>
      <c r="J153" s="345">
        <v>0.29788600379987362</v>
      </c>
      <c r="K153" s="345">
        <v>0.28580517104903336</v>
      </c>
      <c r="L153" s="380">
        <v>0.28580517104903336</v>
      </c>
      <c r="M153" s="296">
        <f t="shared" si="90"/>
        <v>9.0097489629832217E-2</v>
      </c>
      <c r="N153" s="298">
        <f t="shared" si="91"/>
        <v>5.6405102920906891E-2</v>
      </c>
      <c r="O153" s="344">
        <v>0</v>
      </c>
      <c r="P153" s="345">
        <v>0.24430420215331045</v>
      </c>
      <c r="Q153" s="345">
        <v>0.32358173320882166</v>
      </c>
      <c r="R153" s="345">
        <v>0.33259896373316938</v>
      </c>
      <c r="S153" s="345">
        <v>0.34309413503977521</v>
      </c>
      <c r="T153" s="345">
        <v>0.33249518455399601</v>
      </c>
      <c r="U153" s="345">
        <v>0.31554986761346754</v>
      </c>
      <c r="V153" s="345">
        <v>0.3000752315079861</v>
      </c>
      <c r="W153" s="345">
        <v>0.28803089852465452</v>
      </c>
      <c r="X153" s="345">
        <v>0.28360445518564642</v>
      </c>
      <c r="Y153" s="380">
        <v>0.27506353736213246</v>
      </c>
      <c r="Z153" s="296">
        <f t="shared" si="92"/>
        <v>0.13595443709378324</v>
      </c>
      <c r="AA153" s="298">
        <f t="shared" si="93"/>
        <v>9.0489321682418258E-2</v>
      </c>
      <c r="AB153" s="949">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50">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7">
        <f t="shared" si="94"/>
        <v>0</v>
      </c>
      <c r="AE153" s="1231">
        <f t="shared" si="97"/>
        <v>9.0097489629832217E-2</v>
      </c>
      <c r="AF153" s="1232">
        <f t="shared" si="98"/>
        <v>0.13595443709378324</v>
      </c>
      <c r="AG153" s="1232">
        <f t="shared" si="99"/>
        <v>0.22605192672361546</v>
      </c>
      <c r="AH153" s="1173">
        <f t="shared" si="95"/>
        <v>0.39856988142370831</v>
      </c>
      <c r="AI153" s="1233">
        <f t="shared" si="96"/>
        <v>0.60143011857629169</v>
      </c>
      <c r="AJ153" s="227"/>
      <c r="AK153" s="227"/>
      <c r="AL153" s="227"/>
      <c r="AM153" s="227"/>
    </row>
    <row r="154" spans="1:39" x14ac:dyDescent="0.2">
      <c r="A154" s="330">
        <v>2033</v>
      </c>
      <c r="B154" s="344">
        <v>3.4542547898983673E-4</v>
      </c>
      <c r="C154" s="345">
        <v>0.2296337671436865</v>
      </c>
      <c r="D154" s="345">
        <v>0.31934543306983804</v>
      </c>
      <c r="E154" s="345">
        <v>0.34114759946002243</v>
      </c>
      <c r="F154" s="345">
        <v>0.34084179345885746</v>
      </c>
      <c r="G154" s="345">
        <v>0.33835974423548643</v>
      </c>
      <c r="H154" s="345">
        <v>0.30927151620551258</v>
      </c>
      <c r="I154" s="345">
        <v>0.29829764809502124</v>
      </c>
      <c r="J154" s="345">
        <v>0.28806779728328397</v>
      </c>
      <c r="K154" s="345">
        <v>0.27829916508354724</v>
      </c>
      <c r="L154" s="380">
        <v>0.27829916508354724</v>
      </c>
      <c r="M154" s="296">
        <f t="shared" si="90"/>
        <v>9.1432697464762458E-2</v>
      </c>
      <c r="N154" s="298">
        <f t="shared" si="91"/>
        <v>5.8100472093868961E-2</v>
      </c>
      <c r="O154" s="344">
        <v>1.9442851345137822E-4</v>
      </c>
      <c r="P154" s="345">
        <v>0.23504270436371702</v>
      </c>
      <c r="Q154" s="345">
        <v>0.32389875410101199</v>
      </c>
      <c r="R154" s="345">
        <v>0.34556894213659917</v>
      </c>
      <c r="S154" s="345">
        <v>0.34040375816432666</v>
      </c>
      <c r="T154" s="345">
        <v>0.32451594031445907</v>
      </c>
      <c r="U154" s="345">
        <v>0.30569672657016922</v>
      </c>
      <c r="V154" s="345">
        <v>0.29037137848758432</v>
      </c>
      <c r="W154" s="345">
        <v>0.28045615315401723</v>
      </c>
      <c r="X154" s="345">
        <v>0.27620787535439162</v>
      </c>
      <c r="Y154" s="380">
        <v>0.27022602055234518</v>
      </c>
      <c r="Z154" s="296">
        <f t="shared" si="92"/>
        <v>0.13371915658308425</v>
      </c>
      <c r="AA154" s="298">
        <f t="shared" si="93"/>
        <v>8.836287523586181E-2</v>
      </c>
      <c r="AB154" s="949">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50">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7">
        <f>AB154*AH154+AC154*AI154</f>
        <v>0</v>
      </c>
      <c r="AE154" s="1231">
        <f t="shared" si="97"/>
        <v>9.1432697464762458E-2</v>
      </c>
      <c r="AF154" s="1232">
        <f t="shared" si="98"/>
        <v>0.13371915658308425</v>
      </c>
      <c r="AG154" s="1232">
        <f t="shared" si="99"/>
        <v>0.22515185404784671</v>
      </c>
      <c r="AH154" s="1173">
        <f t="shared" si="95"/>
        <v>0.40609346901195059</v>
      </c>
      <c r="AI154" s="1233">
        <f t="shared" si="96"/>
        <v>0.59390653098804946</v>
      </c>
      <c r="AJ154" s="227"/>
      <c r="AK154" s="227"/>
      <c r="AL154" s="227"/>
      <c r="AM154" s="227"/>
    </row>
    <row r="155" spans="1:39" x14ac:dyDescent="0.2">
      <c r="A155" s="330">
        <v>2034</v>
      </c>
      <c r="B155" s="344">
        <v>4.1679565126184022E-4</v>
      </c>
      <c r="C155" s="345">
        <v>0.22972289707582189</v>
      </c>
      <c r="D155" s="345">
        <v>0.31424234131848872</v>
      </c>
      <c r="E155" s="345">
        <v>0.33726770355287594</v>
      </c>
      <c r="F155" s="345">
        <v>0.33839439373444347</v>
      </c>
      <c r="G155" s="345">
        <v>0.33187210316796112</v>
      </c>
      <c r="H155" s="345">
        <v>0.29967771258803144</v>
      </c>
      <c r="I155" s="345">
        <v>0.29051798204217333</v>
      </c>
      <c r="J155" s="345">
        <v>0.28026108590259174</v>
      </c>
      <c r="K155" s="345">
        <v>0.27305396973922441</v>
      </c>
      <c r="L155" s="380">
        <v>0.27305396973922441</v>
      </c>
      <c r="M155" s="296">
        <f t="shared" si="90"/>
        <v>9.0605085880864855E-2</v>
      </c>
      <c r="N155" s="298">
        <f t="shared" si="91"/>
        <v>5.7749308763575646E-2</v>
      </c>
      <c r="O155" s="344">
        <v>2.3599816782839795E-4</v>
      </c>
      <c r="P155" s="345">
        <v>0.23513856376103281</v>
      </c>
      <c r="Q155" s="345">
        <v>0.33320954259792529</v>
      </c>
      <c r="R155" s="345">
        <v>0.34481661977874284</v>
      </c>
      <c r="S155" s="345">
        <v>0.33422293015240218</v>
      </c>
      <c r="T155" s="345">
        <v>0.31345889674731992</v>
      </c>
      <c r="U155" s="345">
        <v>0.2959600745104643</v>
      </c>
      <c r="V155" s="345">
        <v>0.28252753009945863</v>
      </c>
      <c r="W155" s="345">
        <v>0.27510341007432643</v>
      </c>
      <c r="X155" s="345">
        <v>0.27109918908606151</v>
      </c>
      <c r="Y155" s="380">
        <v>0.26571002469645538</v>
      </c>
      <c r="Z155" s="296">
        <f t="shared" si="92"/>
        <v>0.13388455783835079</v>
      </c>
      <c r="AA155" s="298">
        <f t="shared" si="93"/>
        <v>8.8680286237083253E-2</v>
      </c>
      <c r="AB155" s="949">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50">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7">
        <f t="shared" ref="AD155:AD171" si="100">AB155*AH155+AC155*AI155</f>
        <v>0</v>
      </c>
      <c r="AE155" s="1231">
        <f t="shared" si="97"/>
        <v>9.0605085880864855E-2</v>
      </c>
      <c r="AF155" s="1232">
        <f t="shared" si="98"/>
        <v>0.13388455783835079</v>
      </c>
      <c r="AG155" s="1232">
        <f t="shared" si="99"/>
        <v>0.22448964371921565</v>
      </c>
      <c r="AH155" s="1173">
        <f t="shared" si="95"/>
        <v>0.4036047471044622</v>
      </c>
      <c r="AI155" s="1233">
        <f t="shared" si="96"/>
        <v>0.59639525289553774</v>
      </c>
      <c r="AJ155" s="227"/>
      <c r="AK155" s="227"/>
      <c r="AL155" s="227"/>
      <c r="AM155" s="227"/>
    </row>
    <row r="156" spans="1:39" ht="15" thickBot="1" x14ac:dyDescent="0.25">
      <c r="A156" s="328">
        <v>2035</v>
      </c>
      <c r="B156" s="346">
        <v>4.1682816396213971E-4</v>
      </c>
      <c r="C156" s="347">
        <v>0.22087128976381679</v>
      </c>
      <c r="D156" s="347">
        <v>0.31439806874388693</v>
      </c>
      <c r="E156" s="347">
        <v>0.33650748871736463</v>
      </c>
      <c r="F156" s="347">
        <v>0.32855952400836869</v>
      </c>
      <c r="G156" s="347">
        <v>0.31711695018608976</v>
      </c>
      <c r="H156" s="347">
        <v>0.28794249102220626</v>
      </c>
      <c r="I156" s="347">
        <v>0.28018608803197248</v>
      </c>
      <c r="J156" s="347">
        <v>0.27483071999345049</v>
      </c>
      <c r="K156" s="347">
        <v>0.26610773521822506</v>
      </c>
      <c r="L156" s="381">
        <v>0.26610773521822506</v>
      </c>
      <c r="M156" s="310">
        <f t="shared" si="90"/>
        <v>8.8838759196662717E-2</v>
      </c>
      <c r="N156" s="312">
        <f t="shared" si="91"/>
        <v>5.6386377711747253E-2</v>
      </c>
      <c r="O156" s="346">
        <v>2.858520980692977E-4</v>
      </c>
      <c r="P156" s="347">
        <v>0.23192234493625882</v>
      </c>
      <c r="Q156" s="347">
        <v>0.33337855866297728</v>
      </c>
      <c r="R156" s="347">
        <v>0.33727533993598835</v>
      </c>
      <c r="S156" s="347">
        <v>0.32388057522108327</v>
      </c>
      <c r="T156" s="347">
        <v>0.30213146352251602</v>
      </c>
      <c r="U156" s="347">
        <v>0.28553590474229029</v>
      </c>
      <c r="V156" s="347">
        <v>0.27483071999345049</v>
      </c>
      <c r="W156" s="347">
        <v>0.26808783242087902</v>
      </c>
      <c r="X156" s="347">
        <v>0.26633506116785882</v>
      </c>
      <c r="Y156" s="381">
        <v>0.26303342057679868</v>
      </c>
      <c r="Z156" s="310">
        <f t="shared" si="92"/>
        <v>0.13189860790134653</v>
      </c>
      <c r="AA156" s="312">
        <f t="shared" si="93"/>
        <v>8.7546428480452965E-2</v>
      </c>
      <c r="AB156" s="949">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50">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7">
        <f t="shared" si="100"/>
        <v>0</v>
      </c>
      <c r="AE156" s="1231">
        <f t="shared" si="97"/>
        <v>8.8838759196662717E-2</v>
      </c>
      <c r="AF156" s="1232">
        <f t="shared" si="98"/>
        <v>0.13189860790134653</v>
      </c>
      <c r="AG156" s="1232">
        <f t="shared" si="99"/>
        <v>0.22073736709800923</v>
      </c>
      <c r="AH156" s="1173">
        <f t="shared" si="95"/>
        <v>0.40246361712386269</v>
      </c>
      <c r="AI156" s="1233">
        <f t="shared" si="96"/>
        <v>0.59753638287613731</v>
      </c>
      <c r="AJ156" s="227"/>
      <c r="AK156" s="227"/>
      <c r="AL156" s="227"/>
      <c r="AM156" s="227"/>
    </row>
    <row r="157" spans="1:39" x14ac:dyDescent="0.2">
      <c r="A157" s="329">
        <v>2036</v>
      </c>
      <c r="B157" s="342">
        <v>5.0185906708058079E-4</v>
      </c>
      <c r="C157" s="343">
        <v>0.24772201137993452</v>
      </c>
      <c r="D157" s="343">
        <v>0.34137977860739427</v>
      </c>
      <c r="E157" s="343">
        <v>0.33562422008758186</v>
      </c>
      <c r="F157" s="343">
        <v>0.32494292926950408</v>
      </c>
      <c r="G157" s="343">
        <v>0.31540854048691325</v>
      </c>
      <c r="H157" s="343">
        <v>0.28694703274689187</v>
      </c>
      <c r="I157" s="343">
        <v>0.28034377671582406</v>
      </c>
      <c r="J157" s="343">
        <v>0.27269068742339264</v>
      </c>
      <c r="K157" s="343">
        <v>0.26648268048984852</v>
      </c>
      <c r="L157" s="379">
        <v>0.26648268048984852</v>
      </c>
      <c r="M157" s="282">
        <f t="shared" si="90"/>
        <v>9.515859244062197E-2</v>
      </c>
      <c r="N157" s="284">
        <f t="shared" si="91"/>
        <v>6.1529415776785605E-2</v>
      </c>
      <c r="O157" s="342">
        <v>3.4553558529680511E-4</v>
      </c>
      <c r="P157" s="343">
        <v>0.25312246534635691</v>
      </c>
      <c r="Q157" s="343">
        <v>0.33888598478637394</v>
      </c>
      <c r="R157" s="343">
        <v>0.33527534684407456</v>
      </c>
      <c r="S157" s="343">
        <v>0.32023081985881208</v>
      </c>
      <c r="T157" s="343">
        <v>0.29942725044535073</v>
      </c>
      <c r="U157" s="343">
        <v>0.28454755842179447</v>
      </c>
      <c r="V157" s="343">
        <v>0.27498507537570593</v>
      </c>
      <c r="W157" s="343">
        <v>0.26823702159253476</v>
      </c>
      <c r="X157" s="343">
        <v>0.26648268048984852</v>
      </c>
      <c r="Y157" s="379">
        <v>0.26188018260621365</v>
      </c>
      <c r="Z157" s="282">
        <f t="shared" si="92"/>
        <v>0.13786361888868789</v>
      </c>
      <c r="AA157" s="284">
        <f t="shared" si="93"/>
        <v>9.3173784585746475E-2</v>
      </c>
      <c r="AB157" s="949">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50">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7">
        <f t="shared" si="100"/>
        <v>0</v>
      </c>
      <c r="AE157" s="1231">
        <f t="shared" si="97"/>
        <v>9.515859244062197E-2</v>
      </c>
      <c r="AF157" s="1232">
        <f t="shared" si="98"/>
        <v>0.13786361888868789</v>
      </c>
      <c r="AG157" s="1232">
        <f t="shared" si="99"/>
        <v>0.23302221132930986</v>
      </c>
      <c r="AH157" s="1173">
        <f t="shared" si="95"/>
        <v>0.40836704749206365</v>
      </c>
      <c r="AI157" s="1233">
        <f t="shared" si="96"/>
        <v>0.59163295250793635</v>
      </c>
      <c r="AJ157" s="227"/>
      <c r="AK157" s="227"/>
      <c r="AL157" s="227"/>
      <c r="AM157" s="227"/>
    </row>
    <row r="158" spans="1:39" x14ac:dyDescent="0.2">
      <c r="A158" s="330">
        <v>2037</v>
      </c>
      <c r="B158" s="344">
        <v>6.0302013086080343E-4</v>
      </c>
      <c r="C158" s="345">
        <v>0.24772462668613623</v>
      </c>
      <c r="D158" s="345">
        <v>0.34138338269831514</v>
      </c>
      <c r="E158" s="345">
        <v>0.33458034294327199</v>
      </c>
      <c r="F158" s="345">
        <v>0.33062614138063451</v>
      </c>
      <c r="G158" s="345">
        <v>0.31125323197154564</v>
      </c>
      <c r="H158" s="345">
        <v>0.28695838072748231</v>
      </c>
      <c r="I158" s="345">
        <v>0.27808841391071293</v>
      </c>
      <c r="J158" s="345">
        <v>0.27070577392970002</v>
      </c>
      <c r="K158" s="345">
        <v>0.26649560778711362</v>
      </c>
      <c r="L158" s="380">
        <v>0.26649560778711362</v>
      </c>
      <c r="M158" s="296">
        <f t="shared" si="90"/>
        <v>9.523710850908354E-2</v>
      </c>
      <c r="N158" s="298">
        <f t="shared" si="91"/>
        <v>6.1565195264393059E-2</v>
      </c>
      <c r="O158" s="344">
        <v>3.4553923326233752E-4</v>
      </c>
      <c r="P158" s="345">
        <v>0.25312513766743855</v>
      </c>
      <c r="Q158" s="345">
        <v>0.33355177411764753</v>
      </c>
      <c r="R158" s="345">
        <v>0.33237959861141197</v>
      </c>
      <c r="S158" s="345">
        <v>0.31817564968291084</v>
      </c>
      <c r="T158" s="345">
        <v>0.29917624414805188</v>
      </c>
      <c r="U158" s="345">
        <v>0.28333143703699981</v>
      </c>
      <c r="V158" s="345">
        <v>0.2728991147126319</v>
      </c>
      <c r="W158" s="345">
        <v>0.26824977145127421</v>
      </c>
      <c r="X158" s="345">
        <v>0.26487902861747298</v>
      </c>
      <c r="Y158" s="380">
        <v>0.26189351811560618</v>
      </c>
      <c r="Z158" s="296">
        <f t="shared" si="92"/>
        <v>0.13713872999312318</v>
      </c>
      <c r="AA158" s="298">
        <f t="shared" si="93"/>
        <v>9.283587658895387E-2</v>
      </c>
      <c r="AB158" s="949">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50">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7">
        <f t="shared" si="100"/>
        <v>0</v>
      </c>
      <c r="AE158" s="1231">
        <f t="shared" si="97"/>
        <v>9.523710850908354E-2</v>
      </c>
      <c r="AF158" s="1232">
        <f t="shared" si="98"/>
        <v>0.13713872999312318</v>
      </c>
      <c r="AG158" s="1232">
        <f t="shared" si="99"/>
        <v>0.23237583850220672</v>
      </c>
      <c r="AH158" s="1173">
        <f t="shared" si="95"/>
        <v>0.4098408385438882</v>
      </c>
      <c r="AI158" s="1233">
        <f t="shared" si="96"/>
        <v>0.5901591614561118</v>
      </c>
      <c r="AJ158" s="227"/>
      <c r="AK158" s="227"/>
      <c r="AL158" s="227"/>
      <c r="AM158" s="227"/>
    </row>
    <row r="159" spans="1:39" x14ac:dyDescent="0.2">
      <c r="A159" s="330">
        <v>2038</v>
      </c>
      <c r="B159" s="344">
        <v>7.2311901233120565E-4</v>
      </c>
      <c r="C159" s="345">
        <v>0.23833533340780572</v>
      </c>
      <c r="D159" s="345">
        <v>0.32975628688504072</v>
      </c>
      <c r="E159" s="345">
        <v>0.33250261952732463</v>
      </c>
      <c r="F159" s="345">
        <v>0.32712693260552073</v>
      </c>
      <c r="G159" s="345">
        <v>0.306659012155721</v>
      </c>
      <c r="H159" s="345">
        <v>0.28334109168805582</v>
      </c>
      <c r="I159" s="345">
        <v>0.27590248772911974</v>
      </c>
      <c r="J159" s="345">
        <v>0.27071657634945329</v>
      </c>
      <c r="K159" s="345">
        <v>0.26489035433193242</v>
      </c>
      <c r="L159" s="380">
        <v>0.26489035433193242</v>
      </c>
      <c r="M159" s="296">
        <f t="shared" si="90"/>
        <v>9.2568098341745758E-2</v>
      </c>
      <c r="N159" s="298">
        <f t="shared" si="91"/>
        <v>5.9593724940658191E-2</v>
      </c>
      <c r="O159" s="344">
        <v>4.168461457219052E-4</v>
      </c>
      <c r="P159" s="345">
        <v>0.24983305551005919</v>
      </c>
      <c r="Q159" s="345">
        <v>0.33346353428880116</v>
      </c>
      <c r="R159" s="345">
        <v>0.32999862192449436</v>
      </c>
      <c r="S159" s="345">
        <v>0.31157021695273085</v>
      </c>
      <c r="T159" s="345">
        <v>0.29530303063539914</v>
      </c>
      <c r="U159" s="345">
        <v>0.28100655529163132</v>
      </c>
      <c r="V159" s="345">
        <v>0.27290970974707957</v>
      </c>
      <c r="W159" s="345">
        <v>0.26650676211784335</v>
      </c>
      <c r="X159" s="345">
        <v>0.26489035433193242</v>
      </c>
      <c r="Y159" s="380">
        <v>0.26190511166853947</v>
      </c>
      <c r="Z159" s="296">
        <f t="shared" si="92"/>
        <v>0.1359074023851301</v>
      </c>
      <c r="AA159" s="298">
        <f t="shared" si="93"/>
        <v>9.1899367511623545E-2</v>
      </c>
      <c r="AB159" s="949">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50">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7">
        <f t="shared" si="100"/>
        <v>0</v>
      </c>
      <c r="AE159" s="1231">
        <f t="shared" si="97"/>
        <v>9.2568098341745758E-2</v>
      </c>
      <c r="AF159" s="1232">
        <f t="shared" si="98"/>
        <v>0.1359074023851301</v>
      </c>
      <c r="AG159" s="1232">
        <f t="shared" si="99"/>
        <v>0.22847550072687586</v>
      </c>
      <c r="AH159" s="1173">
        <f t="shared" si="95"/>
        <v>0.40515546764203614</v>
      </c>
      <c r="AI159" s="1233">
        <f t="shared" si="96"/>
        <v>0.59484453235796386</v>
      </c>
      <c r="AJ159" s="227"/>
      <c r="AK159" s="227"/>
      <c r="AL159" s="227"/>
      <c r="AM159" s="227"/>
    </row>
    <row r="160" spans="1:39" x14ac:dyDescent="0.2">
      <c r="A160" s="330">
        <v>2039</v>
      </c>
      <c r="B160" s="344">
        <v>8.653964606104937E-4</v>
      </c>
      <c r="C160" s="345">
        <v>0.23833567394121086</v>
      </c>
      <c r="D160" s="345">
        <v>0.32975675804065852</v>
      </c>
      <c r="E160" s="345">
        <v>0.34205688836804649</v>
      </c>
      <c r="F160" s="345">
        <v>0.32024884222775546</v>
      </c>
      <c r="G160" s="345">
        <v>0.30190253772555675</v>
      </c>
      <c r="H160" s="345">
        <v>0.28101580155799305</v>
      </c>
      <c r="I160" s="345">
        <v>0.27501729557671345</v>
      </c>
      <c r="J160" s="345">
        <v>0.26884088823046542</v>
      </c>
      <c r="K160" s="345">
        <v>0.26467657350974899</v>
      </c>
      <c r="L160" s="380">
        <v>0.26467657350974899</v>
      </c>
      <c r="M160" s="296">
        <f t="shared" si="90"/>
        <v>9.2830037537424123E-2</v>
      </c>
      <c r="N160" s="298">
        <f t="shared" si="91"/>
        <v>5.973156863515202E-2</v>
      </c>
      <c r="O160" s="344">
        <v>5.0186703166370792E-4</v>
      </c>
      <c r="P160" s="345">
        <v>0.24323616450269184</v>
      </c>
      <c r="Q160" s="345">
        <v>0.33312718809518588</v>
      </c>
      <c r="R160" s="345">
        <v>0.32545168198757307</v>
      </c>
      <c r="S160" s="345">
        <v>0.30693625574915911</v>
      </c>
      <c r="T160" s="345">
        <v>0.2928277485676381</v>
      </c>
      <c r="U160" s="345">
        <v>0.27873888557536103</v>
      </c>
      <c r="V160" s="345">
        <v>0.27091955759028691</v>
      </c>
      <c r="W160" s="345">
        <v>0.26651726063612841</v>
      </c>
      <c r="X160" s="345">
        <v>0.26321396201130282</v>
      </c>
      <c r="Y160" s="380">
        <v>0.26079728716607314</v>
      </c>
      <c r="Z160" s="296">
        <f t="shared" si="92"/>
        <v>0.13364570096616329</v>
      </c>
      <c r="AA160" s="298">
        <f t="shared" si="93"/>
        <v>9.0066450028720782E-2</v>
      </c>
      <c r="AB160" s="949">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50">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7">
        <f t="shared" si="100"/>
        <v>0</v>
      </c>
      <c r="AE160" s="1231">
        <f t="shared" si="97"/>
        <v>9.2830037537424123E-2</v>
      </c>
      <c r="AF160" s="1232">
        <f t="shared" si="98"/>
        <v>0.13364570096616329</v>
      </c>
      <c r="AG160" s="1232">
        <f t="shared" si="99"/>
        <v>0.22647573850358743</v>
      </c>
      <c r="AH160" s="1173">
        <f t="shared" si="95"/>
        <v>0.40988954556805063</v>
      </c>
      <c r="AI160" s="1233">
        <f t="shared" si="96"/>
        <v>0.59011045443194932</v>
      </c>
      <c r="AJ160" s="227"/>
      <c r="AK160" s="227"/>
      <c r="AL160" s="227"/>
      <c r="AM160" s="227"/>
    </row>
    <row r="161" spans="1:39" ht="15" thickBot="1" x14ac:dyDescent="0.25">
      <c r="A161" s="328">
        <v>2040</v>
      </c>
      <c r="B161" s="346">
        <v>8.6539691548557954E-4</v>
      </c>
      <c r="C161" s="347">
        <v>0.23833579921669451</v>
      </c>
      <c r="D161" s="347">
        <v>0.32967826677820228</v>
      </c>
      <c r="E161" s="347">
        <v>0.33739032446719958</v>
      </c>
      <c r="F161" s="347">
        <v>0.31380115263736358</v>
      </c>
      <c r="G161" s="347">
        <v>0.29945951684916633</v>
      </c>
      <c r="H161" s="347">
        <v>0.27874816680163417</v>
      </c>
      <c r="I161" s="347">
        <v>0.27292932179865625</v>
      </c>
      <c r="J161" s="347">
        <v>0.26885100542164048</v>
      </c>
      <c r="K161" s="347">
        <v>0.26322454931038908</v>
      </c>
      <c r="L161" s="381">
        <v>0.26322454931038908</v>
      </c>
      <c r="M161" s="310">
        <f t="shared" si="90"/>
        <v>9.2435762401860064E-2</v>
      </c>
      <c r="N161" s="312">
        <f t="shared" si="91"/>
        <v>5.9595810585454642E-2</v>
      </c>
      <c r="O161" s="346">
        <v>5.0186729545818778E-4</v>
      </c>
      <c r="P161" s="347">
        <v>0.24323629235400193</v>
      </c>
      <c r="Q161" s="347">
        <v>0.3320725282125106</v>
      </c>
      <c r="R161" s="347">
        <v>0.31875407835735026</v>
      </c>
      <c r="S161" s="347">
        <v>0.30452530906354236</v>
      </c>
      <c r="T161" s="347">
        <v>0.29035743296627631</v>
      </c>
      <c r="U161" s="347">
        <v>0.27654266805890232</v>
      </c>
      <c r="V161" s="347">
        <v>0.26904084906692516</v>
      </c>
      <c r="W161" s="347">
        <v>0.26491147528364978</v>
      </c>
      <c r="X161" s="347">
        <v>0.26322454931038908</v>
      </c>
      <c r="Y161" s="381">
        <v>0.26080812993417646</v>
      </c>
      <c r="Z161" s="310">
        <f t="shared" si="92"/>
        <v>0.13300193210692379</v>
      </c>
      <c r="AA161" s="312">
        <f t="shared" si="93"/>
        <v>8.9828752421899097E-2</v>
      </c>
      <c r="AB161" s="949">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50">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7">
        <f t="shared" si="100"/>
        <v>0</v>
      </c>
      <c r="AE161" s="1231">
        <f t="shared" si="97"/>
        <v>9.2435762401860064E-2</v>
      </c>
      <c r="AF161" s="1232">
        <f t="shared" si="98"/>
        <v>0.13300193210692379</v>
      </c>
      <c r="AG161" s="1232">
        <f t="shared" si="99"/>
        <v>0.22543769450878387</v>
      </c>
      <c r="AH161" s="1173">
        <f t="shared" si="95"/>
        <v>0.41002797958554543</v>
      </c>
      <c r="AI161" s="1233">
        <f t="shared" si="96"/>
        <v>0.58997202041445451</v>
      </c>
      <c r="AJ161" s="227"/>
      <c r="AK161" s="227"/>
      <c r="AL161" s="227"/>
      <c r="AM161" s="227"/>
    </row>
    <row r="162" spans="1:39" x14ac:dyDescent="0.2">
      <c r="A162" s="329">
        <v>2041</v>
      </c>
      <c r="B162" s="342">
        <v>8.653970828248923E-4</v>
      </c>
      <c r="C162" s="343">
        <v>0.23833584530300256</v>
      </c>
      <c r="D162" s="343">
        <v>0.32876100408139525</v>
      </c>
      <c r="E162" s="343">
        <v>0.32728332639604613</v>
      </c>
      <c r="F162" s="343">
        <v>0.30665185020027702</v>
      </c>
      <c r="G162" s="343">
        <v>0.29197605426008538</v>
      </c>
      <c r="H162" s="343">
        <v>0.27655212628572723</v>
      </c>
      <c r="I162" s="343">
        <v>0.27093931131447607</v>
      </c>
      <c r="J162" s="343">
        <v>0.26653771751454119</v>
      </c>
      <c r="K162" s="343">
        <v>0.26323505468415509</v>
      </c>
      <c r="L162" s="379">
        <v>0.26323505468415509</v>
      </c>
      <c r="M162" s="282">
        <f t="shared" si="90"/>
        <v>9.1709313601355175E-2</v>
      </c>
      <c r="N162" s="284">
        <f t="shared" si="91"/>
        <v>5.9317914016277583E-2</v>
      </c>
      <c r="O162" s="342">
        <v>6.0302376808315562E-4</v>
      </c>
      <c r="P162" s="343">
        <v>0.26807129781587186</v>
      </c>
      <c r="Q162" s="343">
        <v>0.32268902137134703</v>
      </c>
      <c r="R162" s="343">
        <v>0.30396150227053853</v>
      </c>
      <c r="S162" s="343">
        <v>0.29700660330656276</v>
      </c>
      <c r="T162" s="343">
        <v>0.28547648621908089</v>
      </c>
      <c r="U162" s="343">
        <v>0.27443186421463994</v>
      </c>
      <c r="V162" s="343">
        <v>0.2690508981062904</v>
      </c>
      <c r="W162" s="343">
        <v>0.26492183979638362</v>
      </c>
      <c r="X162" s="343">
        <v>0.26323505468415509</v>
      </c>
      <c r="Y162" s="379">
        <v>0.2608188917447718</v>
      </c>
      <c r="Z162" s="282">
        <f t="shared" si="92"/>
        <v>0.13782744539052508</v>
      </c>
      <c r="AA162" s="284">
        <f t="shared" si="93"/>
        <v>9.5382773498396675E-2</v>
      </c>
      <c r="AB162" s="949">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50">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7">
        <f t="shared" si="100"/>
        <v>0</v>
      </c>
      <c r="AE162" s="1231">
        <f t="shared" si="97"/>
        <v>9.1709313601355175E-2</v>
      </c>
      <c r="AF162" s="1232">
        <f t="shared" si="98"/>
        <v>0.13782744539052508</v>
      </c>
      <c r="AG162" s="1232">
        <f t="shared" si="99"/>
        <v>0.22953675899188025</v>
      </c>
      <c r="AH162" s="1173">
        <f t="shared" si="95"/>
        <v>0.39954085787453042</v>
      </c>
      <c r="AI162" s="1233">
        <f t="shared" si="96"/>
        <v>0.60045914212546958</v>
      </c>
      <c r="AJ162" s="227"/>
      <c r="AK162" s="227"/>
      <c r="AL162" s="227"/>
      <c r="AM162" s="227"/>
    </row>
    <row r="163" spans="1:39" x14ac:dyDescent="0.2">
      <c r="A163" s="330">
        <v>2042</v>
      </c>
      <c r="B163" s="344">
        <v>1.231970677484342E-3</v>
      </c>
      <c r="C163" s="345">
        <v>0.25312668244274933</v>
      </c>
      <c r="D163" s="345">
        <v>0.31674512353463996</v>
      </c>
      <c r="E163" s="345">
        <v>0.30440183974290885</v>
      </c>
      <c r="F163" s="345">
        <v>0.2990304437522075</v>
      </c>
      <c r="G163" s="345">
        <v>0.2869962703347384</v>
      </c>
      <c r="H163" s="345">
        <v>0.27242030993668576</v>
      </c>
      <c r="I163" s="345">
        <v>0.26906091949265737</v>
      </c>
      <c r="J163" s="345">
        <v>0.26493217736298774</v>
      </c>
      <c r="K163" s="345">
        <v>0.26194804741797884</v>
      </c>
      <c r="L163" s="380">
        <v>0.26194804741797884</v>
      </c>
      <c r="M163" s="296">
        <f t="shared" si="90"/>
        <v>9.162683314072935E-2</v>
      </c>
      <c r="N163" s="298">
        <f t="shared" si="91"/>
        <v>6.0396410417217515E-2</v>
      </c>
      <c r="O163" s="344">
        <v>7.2312061688163069E-4</v>
      </c>
      <c r="P163" s="345">
        <v>0.26439979582223061</v>
      </c>
      <c r="Q163" s="345">
        <v>0.32134332219082806</v>
      </c>
      <c r="R163" s="345">
        <v>0.28074868481495757</v>
      </c>
      <c r="S163" s="345">
        <v>0.28709249251765401</v>
      </c>
      <c r="T163" s="345">
        <v>0.28077724165313545</v>
      </c>
      <c r="U163" s="345">
        <v>0.27242030993668576</v>
      </c>
      <c r="V163" s="345">
        <v>0.26729749813947185</v>
      </c>
      <c r="W163" s="345">
        <v>0.26346756632030333</v>
      </c>
      <c r="X163" s="345">
        <v>0.26194804741797884</v>
      </c>
      <c r="Y163" s="380">
        <v>0.25990588810102055</v>
      </c>
      <c r="Z163" s="296">
        <f t="shared" si="92"/>
        <v>0.13505415085819075</v>
      </c>
      <c r="AA163" s="298">
        <f t="shared" si="93"/>
        <v>9.3805142488750326E-2</v>
      </c>
      <c r="AB163" s="949">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50">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7">
        <f t="shared" si="100"/>
        <v>0</v>
      </c>
      <c r="AE163" s="1231">
        <f t="shared" si="97"/>
        <v>9.162683314072935E-2</v>
      </c>
      <c r="AF163" s="1232">
        <f t="shared" si="98"/>
        <v>0.13505415085819075</v>
      </c>
      <c r="AG163" s="1232">
        <f t="shared" si="99"/>
        <v>0.22668098399892012</v>
      </c>
      <c r="AH163" s="1173">
        <f t="shared" si="95"/>
        <v>0.40421049672682668</v>
      </c>
      <c r="AI163" s="1233">
        <f t="shared" si="96"/>
        <v>0.59578950327317326</v>
      </c>
      <c r="AJ163" s="227"/>
      <c r="AK163" s="227"/>
      <c r="AL163" s="227"/>
      <c r="AM163" s="227"/>
    </row>
    <row r="164" spans="1:39" x14ac:dyDescent="0.2">
      <c r="A164" s="330">
        <v>2043</v>
      </c>
      <c r="B164" s="344">
        <v>1.231970709724272E-3</v>
      </c>
      <c r="C164" s="345">
        <v>0.25248443630546702</v>
      </c>
      <c r="D164" s="345">
        <v>0.29660798637821834</v>
      </c>
      <c r="E164" s="345">
        <v>0.27284414970389992</v>
      </c>
      <c r="F164" s="345">
        <v>0.29124080857043638</v>
      </c>
      <c r="G164" s="345">
        <v>0.28214650507567907</v>
      </c>
      <c r="H164" s="345">
        <v>0.27052173917051509</v>
      </c>
      <c r="I164" s="345">
        <v>0.2673077030990233</v>
      </c>
      <c r="J164" s="345">
        <v>0.26347804925022855</v>
      </c>
      <c r="K164" s="345">
        <v>0.26084034963557734</v>
      </c>
      <c r="L164" s="380">
        <v>0.26084034963557734</v>
      </c>
      <c r="M164" s="296">
        <f t="shared" si="90"/>
        <v>8.8107759385679524E-2</v>
      </c>
      <c r="N164" s="298">
        <f t="shared" si="91"/>
        <v>5.8671659261861783E-2</v>
      </c>
      <c r="O164" s="344">
        <v>8.6539716703252297E-4</v>
      </c>
      <c r="P164" s="345">
        <v>0.25532253467665855</v>
      </c>
      <c r="Q164" s="345">
        <v>0.29535676213187101</v>
      </c>
      <c r="R164" s="345">
        <v>0.2585796229651412</v>
      </c>
      <c r="S164" s="345">
        <v>0.28212621716398317</v>
      </c>
      <c r="T164" s="345">
        <v>0.27853549501199343</v>
      </c>
      <c r="U164" s="345">
        <v>0.27052173917051509</v>
      </c>
      <c r="V164" s="345">
        <v>0.26568281725233517</v>
      </c>
      <c r="W164" s="345">
        <v>0.26217851800590319</v>
      </c>
      <c r="X164" s="345">
        <v>0.26084034963557734</v>
      </c>
      <c r="Y164" s="380">
        <v>0.25991670690596697</v>
      </c>
      <c r="Z164" s="296">
        <f t="shared" si="92"/>
        <v>0.12893400952830472</v>
      </c>
      <c r="AA164" s="298">
        <f t="shared" si="93"/>
        <v>8.9758045604685921E-2</v>
      </c>
      <c r="AB164" s="949">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50">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7">
        <f t="shared" si="100"/>
        <v>0</v>
      </c>
      <c r="AE164" s="1231">
        <f t="shared" si="97"/>
        <v>8.8107759385679524E-2</v>
      </c>
      <c r="AF164" s="1232">
        <f t="shared" si="98"/>
        <v>0.12893400952830472</v>
      </c>
      <c r="AG164" s="1232">
        <f t="shared" si="99"/>
        <v>0.21704176891398425</v>
      </c>
      <c r="AH164" s="1173">
        <f t="shared" si="95"/>
        <v>0.40594840258880072</v>
      </c>
      <c r="AI164" s="1233">
        <f t="shared" si="96"/>
        <v>0.59405159741119928</v>
      </c>
      <c r="AJ164" s="227"/>
      <c r="AK164" s="227"/>
      <c r="AL164" s="227"/>
      <c r="AM164" s="227"/>
    </row>
    <row r="165" spans="1:39" x14ac:dyDescent="0.2">
      <c r="A165" s="330">
        <v>2044</v>
      </c>
      <c r="B165" s="344">
        <v>1.4654654266585319E-3</v>
      </c>
      <c r="C165" s="345">
        <v>0.2432121333934868</v>
      </c>
      <c r="D165" s="345">
        <v>0.28432503954869393</v>
      </c>
      <c r="E165" s="345">
        <v>0.25445619973677913</v>
      </c>
      <c r="F165" s="345">
        <v>0.28613220111180221</v>
      </c>
      <c r="G165" s="345">
        <v>0.27753844665996741</v>
      </c>
      <c r="H165" s="345">
        <v>0.26874983495828686</v>
      </c>
      <c r="I165" s="345">
        <v>0.2656932090741766</v>
      </c>
      <c r="J165" s="345">
        <v>0.26218914843696961</v>
      </c>
      <c r="K165" s="345">
        <v>0.2608510805817455</v>
      </c>
      <c r="L165" s="380">
        <v>0.2608510805817455</v>
      </c>
      <c r="M165" s="296">
        <f t="shared" si="90"/>
        <v>8.4666108711735494E-2</v>
      </c>
      <c r="N165" s="298">
        <f t="shared" si="91"/>
        <v>5.6412540021415901E-2</v>
      </c>
      <c r="O165" s="344">
        <v>1.0335849496781264E-3</v>
      </c>
      <c r="P165" s="345">
        <v>0.24165165563201846</v>
      </c>
      <c r="Q165" s="345">
        <v>0.27064117318020003</v>
      </c>
      <c r="R165" s="345">
        <v>0.25100598619887282</v>
      </c>
      <c r="S165" s="345">
        <v>0.27734951610049396</v>
      </c>
      <c r="T165" s="345">
        <v>0.27431905292624859</v>
      </c>
      <c r="U165" s="345">
        <v>0.26874983495828686</v>
      </c>
      <c r="V165" s="345">
        <v>0.26403822963579998</v>
      </c>
      <c r="W165" s="345">
        <v>0.26106909100823616</v>
      </c>
      <c r="X165" s="345">
        <v>0.2608510805817455</v>
      </c>
      <c r="Y165" s="380">
        <v>0.25921673301425413</v>
      </c>
      <c r="Z165" s="296">
        <f t="shared" si="92"/>
        <v>0.12254209295957712</v>
      </c>
      <c r="AA165" s="298">
        <f t="shared" si="93"/>
        <v>8.4929536055604021E-2</v>
      </c>
      <c r="AB165" s="949">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50">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7">
        <f t="shared" si="100"/>
        <v>0</v>
      </c>
      <c r="AE165" s="1231">
        <f t="shared" si="97"/>
        <v>8.4666108711735494E-2</v>
      </c>
      <c r="AF165" s="1232">
        <f t="shared" si="98"/>
        <v>0.12254209295957712</v>
      </c>
      <c r="AG165" s="1232">
        <f t="shared" si="99"/>
        <v>0.2072082016713126</v>
      </c>
      <c r="AH165" s="1173">
        <f t="shared" si="95"/>
        <v>0.40860404187107657</v>
      </c>
      <c r="AI165" s="1233">
        <f t="shared" si="96"/>
        <v>0.59139595812892343</v>
      </c>
      <c r="AJ165" s="227"/>
      <c r="AK165" s="227"/>
      <c r="AL165" s="227"/>
      <c r="AM165" s="227"/>
    </row>
    <row r="166" spans="1:39" ht="15" thickBot="1" x14ac:dyDescent="0.25">
      <c r="A166" s="328">
        <v>2045</v>
      </c>
      <c r="B166" s="346">
        <v>1.7396792313087751E-3</v>
      </c>
      <c r="C166" s="347">
        <v>0.24097173787599713</v>
      </c>
      <c r="D166" s="347">
        <v>0.2576434590696195</v>
      </c>
      <c r="E166" s="347">
        <v>0.23862133085301993</v>
      </c>
      <c r="F166" s="347">
        <v>0.2794368552842858</v>
      </c>
      <c r="G166" s="347">
        <v>0.27536535111164062</v>
      </c>
      <c r="H166" s="347">
        <v>0.26653885595422178</v>
      </c>
      <c r="I166" s="347">
        <v>0.26423103449372903</v>
      </c>
      <c r="J166" s="347">
        <v>0.26219978288871998</v>
      </c>
      <c r="K166" s="347">
        <v>0.25993836631974626</v>
      </c>
      <c r="L166" s="381">
        <v>0.25993836631974626</v>
      </c>
      <c r="M166" s="310">
        <f t="shared" si="90"/>
        <v>8.107778142262545E-2</v>
      </c>
      <c r="N166" s="312">
        <f t="shared" si="91"/>
        <v>5.4455873068819244E-2</v>
      </c>
      <c r="O166" s="346">
        <v>1.2319707259478801E-3</v>
      </c>
      <c r="P166" s="347">
        <v>0.243819054191907</v>
      </c>
      <c r="Q166" s="347">
        <v>0.24763433248591427</v>
      </c>
      <c r="R166" s="347">
        <v>0.23790980512279114</v>
      </c>
      <c r="S166" s="347">
        <v>0.27868538183422542</v>
      </c>
      <c r="T166" s="347">
        <v>0.27238217953990534</v>
      </c>
      <c r="U166" s="347">
        <v>0.26653885595422178</v>
      </c>
      <c r="V166" s="347">
        <v>0.26274410241733537</v>
      </c>
      <c r="W166" s="347">
        <v>0.26107984400015249</v>
      </c>
      <c r="X166" s="347">
        <v>0.25993836631974626</v>
      </c>
      <c r="Y166" s="381">
        <v>0.25922763861153608</v>
      </c>
      <c r="Z166" s="310">
        <f t="shared" si="92"/>
        <v>0.12036666605131027</v>
      </c>
      <c r="AA166" s="312">
        <f t="shared" si="93"/>
        <v>8.4156323090025881E-2</v>
      </c>
      <c r="AB166" s="949">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50">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7">
        <f t="shared" si="100"/>
        <v>0</v>
      </c>
      <c r="AE166" s="1231">
        <f t="shared" si="97"/>
        <v>8.107778142262545E-2</v>
      </c>
      <c r="AF166" s="1232">
        <f t="shared" si="98"/>
        <v>0.12036666605131027</v>
      </c>
      <c r="AG166" s="1232">
        <f t="shared" si="99"/>
        <v>0.20144444747393572</v>
      </c>
      <c r="AH166" s="1173">
        <f t="shared" si="95"/>
        <v>0.40248208595134327</v>
      </c>
      <c r="AI166" s="1233">
        <f t="shared" si="96"/>
        <v>0.59751791404865673</v>
      </c>
      <c r="AJ166" s="227"/>
      <c r="AK166" s="227"/>
      <c r="AL166" s="227"/>
      <c r="AM166" s="227"/>
    </row>
    <row r="167" spans="1:39" x14ac:dyDescent="0.2">
      <c r="A167" s="329">
        <v>2046</v>
      </c>
      <c r="B167" s="342">
        <v>1.7396792335753991E-3</v>
      </c>
      <c r="C167" s="343">
        <v>0.22555057444044818</v>
      </c>
      <c r="D167" s="343">
        <v>0.24571794043687997</v>
      </c>
      <c r="E167" s="343">
        <v>0.23304677331839105</v>
      </c>
      <c r="F167" s="343">
        <v>0.27712595710222909</v>
      </c>
      <c r="G167" s="343">
        <v>0.27329527095712797</v>
      </c>
      <c r="H167" s="343">
        <v>0.26654932197480014</v>
      </c>
      <c r="I167" s="343">
        <v>0.26424159492707117</v>
      </c>
      <c r="J167" s="343">
        <v>0.26109060209767609</v>
      </c>
      <c r="K167" s="343">
        <v>0.25994920326836757</v>
      </c>
      <c r="L167" s="379">
        <v>0.25994920326836757</v>
      </c>
      <c r="M167" s="282">
        <f t="shared" si="90"/>
        <v>7.7392624418819389E-2</v>
      </c>
      <c r="N167" s="284">
        <f t="shared" si="91"/>
        <v>5.1554523525900342E-2</v>
      </c>
      <c r="O167" s="342">
        <v>1.2319707275530117E-3</v>
      </c>
      <c r="P167" s="343">
        <v>0.22591141115274552</v>
      </c>
      <c r="Q167" s="343">
        <v>0.23835209381953587</v>
      </c>
      <c r="R167" s="343">
        <v>0.23256373616418294</v>
      </c>
      <c r="S167" s="343">
        <v>0.27869559206139699</v>
      </c>
      <c r="T167" s="343">
        <v>0.27057484845929647</v>
      </c>
      <c r="U167" s="343">
        <v>0.26506766535361403</v>
      </c>
      <c r="V167" s="343">
        <v>0.26275478611665537</v>
      </c>
      <c r="W167" s="343">
        <v>0.26109060209767609</v>
      </c>
      <c r="X167" s="343">
        <v>0.25994920326836757</v>
      </c>
      <c r="Y167" s="379">
        <v>0.25923854941860897</v>
      </c>
      <c r="Z167" s="282">
        <f t="shared" si="92"/>
        <v>0.11438739062651396</v>
      </c>
      <c r="AA167" s="284">
        <f t="shared" si="93"/>
        <v>7.9005036937945736E-2</v>
      </c>
      <c r="AB167" s="949">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50">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7">
        <f t="shared" si="100"/>
        <v>0</v>
      </c>
      <c r="AE167" s="1231">
        <f t="shared" si="97"/>
        <v>7.7392624418819389E-2</v>
      </c>
      <c r="AF167" s="1232">
        <f t="shared" si="98"/>
        <v>0.11438739062651396</v>
      </c>
      <c r="AG167" s="1232">
        <f t="shared" si="99"/>
        <v>0.19178001504533335</v>
      </c>
      <c r="AH167" s="1173">
        <f t="shared" si="95"/>
        <v>0.40354895373496119</v>
      </c>
      <c r="AI167" s="1233">
        <f t="shared" si="96"/>
        <v>0.59645104626503875</v>
      </c>
      <c r="AJ167" s="227"/>
      <c r="AK167" s="227"/>
      <c r="AL167" s="227"/>
      <c r="AM167" s="227"/>
    </row>
    <row r="168" spans="1:39" x14ac:dyDescent="0.2">
      <c r="A168" s="330">
        <v>2047</v>
      </c>
      <c r="B168" s="344">
        <v>2.0610027603521993E-3</v>
      </c>
      <c r="C168" s="345">
        <v>0.21119578221160962</v>
      </c>
      <c r="D168" s="345">
        <v>0.23357394525675734</v>
      </c>
      <c r="E168" s="345">
        <v>0.22943564425346591</v>
      </c>
      <c r="F168" s="345">
        <v>0.27490673405015081</v>
      </c>
      <c r="G168" s="345">
        <v>0.27134219349435629</v>
      </c>
      <c r="H168" s="345">
        <v>0.26507828991574406</v>
      </c>
      <c r="I168" s="345">
        <v>0.26294573449154207</v>
      </c>
      <c r="J168" s="345">
        <v>0.26110135820393859</v>
      </c>
      <c r="K168" s="345">
        <v>0.25996003822560598</v>
      </c>
      <c r="L168" s="380">
        <v>0.25996003822560598</v>
      </c>
      <c r="M168" s="296">
        <f t="shared" si="90"/>
        <v>7.3941553140029079E-2</v>
      </c>
      <c r="N168" s="298">
        <f t="shared" si="91"/>
        <v>4.887648487533431E-2</v>
      </c>
      <c r="O168" s="344">
        <v>1.4654654337580382E-3</v>
      </c>
      <c r="P168" s="345">
        <v>0.20565009136580728</v>
      </c>
      <c r="Q168" s="345">
        <v>0.22904180765287374</v>
      </c>
      <c r="R168" s="345">
        <v>0.23081117350359082</v>
      </c>
      <c r="S168" s="345">
        <v>0.27657572526303775</v>
      </c>
      <c r="T168" s="345">
        <v>0.27058538559216389</v>
      </c>
      <c r="U168" s="345">
        <v>0.26507828991574406</v>
      </c>
      <c r="V168" s="345">
        <v>0.26164112199161943</v>
      </c>
      <c r="W168" s="345">
        <v>0.26017656117117594</v>
      </c>
      <c r="X168" s="345">
        <v>0.25996003822560598</v>
      </c>
      <c r="Y168" s="380">
        <v>0.25924945823266971</v>
      </c>
      <c r="Z168" s="296">
        <f t="shared" si="92"/>
        <v>0.10800013456307962</v>
      </c>
      <c r="AA168" s="298">
        <f t="shared" si="93"/>
        <v>7.3390972188952922E-2</v>
      </c>
      <c r="AB168" s="949">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50">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7">
        <f t="shared" si="100"/>
        <v>0</v>
      </c>
      <c r="AE168" s="1231">
        <f t="shared" si="97"/>
        <v>7.3941553140029079E-2</v>
      </c>
      <c r="AF168" s="1232">
        <f t="shared" si="98"/>
        <v>0.10800013456307962</v>
      </c>
      <c r="AG168" s="1232">
        <f t="shared" si="99"/>
        <v>0.1819416877031087</v>
      </c>
      <c r="AH168" s="1173">
        <f t="shared" si="95"/>
        <v>0.40640248023139391</v>
      </c>
      <c r="AI168" s="1233">
        <f t="shared" si="96"/>
        <v>0.59359751976860609</v>
      </c>
      <c r="AJ168" s="227"/>
      <c r="AK168" s="227"/>
      <c r="AL168" s="227"/>
      <c r="AM168" s="227"/>
    </row>
    <row r="169" spans="1:39" x14ac:dyDescent="0.2">
      <c r="A169" s="330">
        <v>2048</v>
      </c>
      <c r="B169" s="344">
        <v>2.4366945834965489E-3</v>
      </c>
      <c r="C169" s="345">
        <v>0.19772052244206231</v>
      </c>
      <c r="D169" s="345">
        <v>0.22667953638060082</v>
      </c>
      <c r="E169" s="345">
        <v>0.2259878317719474</v>
      </c>
      <c r="F169" s="345">
        <v>0.27491692478860158</v>
      </c>
      <c r="G169" s="345">
        <v>0.27135262971087171</v>
      </c>
      <c r="H169" s="345">
        <v>0.26508892731573275</v>
      </c>
      <c r="I169" s="345">
        <v>0.26295644573193866</v>
      </c>
      <c r="J169" s="345">
        <v>0.2611121273310224</v>
      </c>
      <c r="K169" s="345">
        <v>0.25997088630963056</v>
      </c>
      <c r="L169" s="380">
        <v>0.25997088630963056</v>
      </c>
      <c r="M169" s="296">
        <f t="shared" si="90"/>
        <v>7.1171426290893694E-2</v>
      </c>
      <c r="N169" s="298">
        <f t="shared" si="91"/>
        <v>4.6620942931233061E-2</v>
      </c>
      <c r="O169" s="344">
        <v>1.4654654337580382E-3</v>
      </c>
      <c r="P169" s="345">
        <v>0.19840359774631305</v>
      </c>
      <c r="Q169" s="345">
        <v>0.22239128895136406</v>
      </c>
      <c r="R169" s="345">
        <v>0.22753349615624396</v>
      </c>
      <c r="S169" s="345">
        <v>0.27658618735912271</v>
      </c>
      <c r="T169" s="345">
        <v>0.26892163001353869</v>
      </c>
      <c r="U169" s="345">
        <v>0.26508892731573275</v>
      </c>
      <c r="V169" s="345">
        <v>0.261651935690769</v>
      </c>
      <c r="W169" s="345">
        <v>0.26018742733402833</v>
      </c>
      <c r="X169" s="345">
        <v>0.25997088630963056</v>
      </c>
      <c r="Y169" s="380">
        <v>0.25878647381959796</v>
      </c>
      <c r="Z169" s="296">
        <f t="shared" si="92"/>
        <v>0.10527412715354703</v>
      </c>
      <c r="AA169" s="298">
        <f t="shared" si="93"/>
        <v>7.1146495729743728E-2</v>
      </c>
      <c r="AB169" s="949">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50">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7">
        <f t="shared" si="100"/>
        <v>0</v>
      </c>
      <c r="AE169" s="1231">
        <f t="shared" si="97"/>
        <v>7.1171426290893694E-2</v>
      </c>
      <c r="AF169" s="1232">
        <f t="shared" si="98"/>
        <v>0.10527412715354703</v>
      </c>
      <c r="AG169" s="1232">
        <f t="shared" si="99"/>
        <v>0.17644555344444074</v>
      </c>
      <c r="AH169" s="1173">
        <f t="shared" si="95"/>
        <v>0.40336197144976049</v>
      </c>
      <c r="AI169" s="1233">
        <f t="shared" si="96"/>
        <v>0.5966380285502394</v>
      </c>
      <c r="AJ169" s="227"/>
      <c r="AK169" s="227"/>
      <c r="AL169" s="227"/>
      <c r="AM169" s="227"/>
    </row>
    <row r="170" spans="1:39" x14ac:dyDescent="0.2">
      <c r="A170" s="330">
        <v>2049</v>
      </c>
      <c r="B170" s="344">
        <v>2.4366945834965489E-3</v>
      </c>
      <c r="C170" s="345">
        <v>0.18867075100623007</v>
      </c>
      <c r="D170" s="345">
        <v>0.2242861566594527</v>
      </c>
      <c r="E170" s="345">
        <v>0.22580617852011886</v>
      </c>
      <c r="F170" s="345">
        <v>0.27082318551381224</v>
      </c>
      <c r="G170" s="345">
        <v>0.27333958855215545</v>
      </c>
      <c r="H170" s="345">
        <v>0.26509957030599363</v>
      </c>
      <c r="I170" s="345">
        <v>0.2629671626144105</v>
      </c>
      <c r="J170" s="345">
        <v>0.26112290214165379</v>
      </c>
      <c r="K170" s="345">
        <v>0.25927130809435339</v>
      </c>
      <c r="L170" s="380">
        <v>0.25927130809435339</v>
      </c>
      <c r="M170" s="296">
        <f t="shared" si="90"/>
        <v>6.9500419564425236E-2</v>
      </c>
      <c r="N170" s="298">
        <f t="shared" si="91"/>
        <v>4.5188596012073541E-2</v>
      </c>
      <c r="O170" s="344">
        <v>1.7396792335753991E-3</v>
      </c>
      <c r="P170" s="345">
        <v>0.18878687790688259</v>
      </c>
      <c r="Q170" s="345">
        <v>0.22019782006242405</v>
      </c>
      <c r="R170" s="345">
        <v>0.22598260823371974</v>
      </c>
      <c r="S170" s="345">
        <v>0.27458672900048292</v>
      </c>
      <c r="T170" s="345">
        <v>0.26893236806936766</v>
      </c>
      <c r="U170" s="345">
        <v>0.2637852716765014</v>
      </c>
      <c r="V170" s="345">
        <v>0.26112290214165379</v>
      </c>
      <c r="W170" s="345">
        <v>0.26019829924294008</v>
      </c>
      <c r="X170" s="345">
        <v>0.25927130809435339</v>
      </c>
      <c r="Y170" s="380">
        <v>0.25879745068619014</v>
      </c>
      <c r="Z170" s="296">
        <f t="shared" si="92"/>
        <v>0.10236288784817538</v>
      </c>
      <c r="AA170" s="298">
        <f t="shared" si="93"/>
        <v>6.8603278164858658E-2</v>
      </c>
      <c r="AB170" s="949">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50">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7">
        <f t="shared" si="100"/>
        <v>0</v>
      </c>
      <c r="AE170" s="1231">
        <f t="shared" si="97"/>
        <v>6.9500419564425236E-2</v>
      </c>
      <c r="AF170" s="1232">
        <f t="shared" si="98"/>
        <v>0.10236288784817538</v>
      </c>
      <c r="AG170" s="1232">
        <f t="shared" si="99"/>
        <v>0.17186330741260061</v>
      </c>
      <c r="AH170" s="1173">
        <f t="shared" si="95"/>
        <v>0.4043935881995579</v>
      </c>
      <c r="AI170" s="1233">
        <f t="shared" si="96"/>
        <v>0.59560641180044216</v>
      </c>
      <c r="AJ170" s="227"/>
      <c r="AK170" s="227"/>
      <c r="AL170" s="227"/>
      <c r="AM170" s="227"/>
    </row>
    <row r="171" spans="1:39" ht="15" thickBot="1" x14ac:dyDescent="0.25">
      <c r="A171" s="328">
        <v>2050</v>
      </c>
      <c r="B171" s="346">
        <v>2.8749747875978326E-3</v>
      </c>
      <c r="C171" s="347">
        <v>0.20671675981383653</v>
      </c>
      <c r="D171" s="347">
        <v>0.22197366180289713</v>
      </c>
      <c r="E171" s="347">
        <v>0.2241428002758695</v>
      </c>
      <c r="F171" s="347">
        <v>0.27083347526085993</v>
      </c>
      <c r="G171" s="347">
        <v>0.27177793488276925</v>
      </c>
      <c r="H171" s="347">
        <v>0.26379606102104264</v>
      </c>
      <c r="I171" s="347">
        <v>0.26297788513678244</v>
      </c>
      <c r="J171" s="347">
        <v>0.26113368263366321</v>
      </c>
      <c r="K171" s="347">
        <v>0.25928224169840075</v>
      </c>
      <c r="L171" s="381">
        <v>0.25928224169840075</v>
      </c>
      <c r="M171" s="310">
        <f t="shared" si="90"/>
        <v>7.1948232001837004E-2</v>
      </c>
      <c r="N171" s="312">
        <f t="shared" si="91"/>
        <v>4.7663693940840086E-2</v>
      </c>
      <c r="O171" s="346">
        <v>2.0610027603521993E-3</v>
      </c>
      <c r="P171" s="347">
        <v>0.20346999477028765</v>
      </c>
      <c r="Q171" s="347">
        <v>0.21609902320881857</v>
      </c>
      <c r="R171" s="347">
        <v>0.22426770671970936</v>
      </c>
      <c r="S171" s="347">
        <v>0.27459742580640972</v>
      </c>
      <c r="T171" s="347">
        <v>0.26761779723507861</v>
      </c>
      <c r="U171" s="347">
        <v>0.26379606102104264</v>
      </c>
      <c r="V171" s="347">
        <v>0.26113368263366321</v>
      </c>
      <c r="W171" s="347">
        <v>0.25999259968274446</v>
      </c>
      <c r="X171" s="347">
        <v>0.25928224169840075</v>
      </c>
      <c r="Y171" s="381">
        <v>0.25880843336600245</v>
      </c>
      <c r="Z171" s="310">
        <f t="shared" si="92"/>
        <v>0.10590271406119083</v>
      </c>
      <c r="AA171" s="312">
        <f t="shared" si="93"/>
        <v>7.221816485130074E-2</v>
      </c>
      <c r="AB171" s="951">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2">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8">
        <f t="shared" si="100"/>
        <v>0</v>
      </c>
      <c r="AE171" s="1234">
        <f t="shared" si="97"/>
        <v>7.1948232001837004E-2</v>
      </c>
      <c r="AF171" s="1235">
        <f t="shared" si="98"/>
        <v>0.10590271406119083</v>
      </c>
      <c r="AG171" s="1235">
        <f t="shared" si="99"/>
        <v>0.17785094606302781</v>
      </c>
      <c r="AH171" s="1236">
        <f t="shared" si="95"/>
        <v>0.40454230688398807</v>
      </c>
      <c r="AI171" s="1237">
        <f t="shared" si="96"/>
        <v>0.59545769311601204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5"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7"/>
      <c r="AC176" s="955"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10">
        <v>1.1022999100839563E-4</v>
      </c>
      <c r="Z177" s="1215"/>
      <c r="AA177" s="1216"/>
      <c r="AI177" s="227"/>
      <c r="AJ177" s="227"/>
      <c r="AK177" s="227"/>
      <c r="AL177" s="227"/>
      <c r="AM177" s="227"/>
    </row>
    <row r="178" spans="1:39" x14ac:dyDescent="0.2">
      <c r="A178" s="331" t="s">
        <v>125</v>
      </c>
      <c r="B178" s="924">
        <f t="array" ref="B178:L178">TRANSPOSE(Cls3CentVMTShr)</f>
        <v>7.4407503791532936E-2</v>
      </c>
      <c r="C178" s="925">
        <v>0.15052192967997111</v>
      </c>
      <c r="D178" s="925">
        <v>8.9028098283245441E-2</v>
      </c>
      <c r="E178" s="925">
        <v>4.5356257743642811E-2</v>
      </c>
      <c r="F178" s="925">
        <v>2.1016507050137231E-2</v>
      </c>
      <c r="G178" s="925">
        <v>4.9007047894213725E-4</v>
      </c>
      <c r="H178" s="925">
        <v>1.4797621296467818E-2</v>
      </c>
      <c r="I178" s="925">
        <v>0</v>
      </c>
      <c r="J178" s="925">
        <v>0</v>
      </c>
      <c r="K178" s="925">
        <v>3.7103078033661591E-3</v>
      </c>
      <c r="L178" s="1211">
        <v>0</v>
      </c>
      <c r="M178" s="1212"/>
      <c r="N178" s="1213"/>
      <c r="O178" s="924">
        <f t="array" ref="O178:Y178">TRANSPOSE(Cls3NCentVMTShr)</f>
        <v>0.11481596497083862</v>
      </c>
      <c r="P178" s="925">
        <v>0.26987209279577573</v>
      </c>
      <c r="Q178" s="925">
        <v>8.3836105982992667E-2</v>
      </c>
      <c r="R178" s="925">
        <v>5.9842896537765707E-2</v>
      </c>
      <c r="S178" s="925">
        <v>1.6413649143963899E-2</v>
      </c>
      <c r="T178" s="925">
        <v>1.0165768727376887E-2</v>
      </c>
      <c r="U178" s="925">
        <v>2.0700108148562976E-2</v>
      </c>
      <c r="V178" s="925">
        <v>2.0956833812228508E-2</v>
      </c>
      <c r="W178" s="925">
        <v>3.1584958359553582E-3</v>
      </c>
      <c r="X178" s="925">
        <v>0</v>
      </c>
      <c r="Y178" s="926">
        <v>9.0978791723388369E-4</v>
      </c>
      <c r="Z178" s="1212"/>
      <c r="AA178" s="1213"/>
      <c r="AB178" s="1550" t="str">
        <f>"% of miles on f2 for Tech "&amp; RIGHT(O173)&amp;" adopters"</f>
        <v>% of miles on f2 for Tech  adopters</v>
      </c>
      <c r="AC178" s="1551"/>
      <c r="AD178" s="1552"/>
      <c r="AE178" s="1238" t="s">
        <v>298</v>
      </c>
      <c r="AF178" s="1239"/>
      <c r="AG178" s="1239"/>
      <c r="AH178" s="1229" t="s">
        <v>297</v>
      </c>
      <c r="AI178" s="1230"/>
      <c r="AJ178" s="227"/>
      <c r="AK178" s="227"/>
      <c r="AL178" s="227"/>
      <c r="AM178" s="227"/>
    </row>
    <row r="179" spans="1:39" ht="15" thickBot="1" x14ac:dyDescent="0.25">
      <c r="A179" s="943" t="s">
        <v>266</v>
      </c>
      <c r="B179" s="934">
        <f t="array" ref="B179:L179">TRANSPOSE(Cls3CentVMT/OPDAYS_Cls3)</f>
        <v>49.202805162026571</v>
      </c>
      <c r="C179" s="935">
        <v>115.99623692884222</v>
      </c>
      <c r="D179" s="935">
        <v>190.94140758026836</v>
      </c>
      <c r="E179" s="935">
        <v>282.72824571583544</v>
      </c>
      <c r="F179" s="935">
        <v>349.10577157713089</v>
      </c>
      <c r="G179" s="935">
        <v>408.92399999999998</v>
      </c>
      <c r="H179" s="935">
        <v>540.31926836851005</v>
      </c>
      <c r="I179" s="935">
        <v>600</v>
      </c>
      <c r="J179" s="935">
        <v>680</v>
      </c>
      <c r="K179" s="935">
        <v>800.00000000000011</v>
      </c>
      <c r="L179" s="936">
        <v>800</v>
      </c>
      <c r="M179" s="932"/>
      <c r="N179" s="933"/>
      <c r="O179" s="934">
        <f t="array" ref="O179:Y179">TRANSPOSE(Cls3NCentVMT/OPDAYS_Cls3)</f>
        <v>45.820527909508108</v>
      </c>
      <c r="P179" s="935">
        <v>114.90604343518244</v>
      </c>
      <c r="Q179" s="935">
        <v>196.29405935940918</v>
      </c>
      <c r="R179" s="935">
        <v>286.46435582159182</v>
      </c>
      <c r="S179" s="935">
        <v>352.24339419308075</v>
      </c>
      <c r="T179" s="935">
        <v>427.07804424634116</v>
      </c>
      <c r="U179" s="935">
        <v>519.59880241076587</v>
      </c>
      <c r="V179" s="935">
        <v>608.4346682070543</v>
      </c>
      <c r="W179" s="935">
        <v>703.2</v>
      </c>
      <c r="X179" s="935">
        <v>760</v>
      </c>
      <c r="Y179" s="1214">
        <v>900</v>
      </c>
      <c r="Z179" s="944"/>
      <c r="AA179" s="933"/>
      <c r="AB179" s="946" t="s">
        <v>186</v>
      </c>
      <c r="AC179" s="947" t="s">
        <v>15</v>
      </c>
      <c r="AD179" s="948" t="s">
        <v>18</v>
      </c>
      <c r="AE179" s="330" t="s">
        <v>186</v>
      </c>
      <c r="AF179" s="1240" t="s">
        <v>15</v>
      </c>
      <c r="AG179" s="1240" t="s">
        <v>18</v>
      </c>
      <c r="AH179" s="1241" t="s">
        <v>186</v>
      </c>
      <c r="AI179" s="1242"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9">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50">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7">
        <f>AB180*AH180+AC180*AI180</f>
        <v>0</v>
      </c>
      <c r="AE180" s="1231">
        <f t="shared" ref="AE180:AE194" si="101">SUMPRODUCT($B$74:$L$74,B180:L180)</f>
        <v>0</v>
      </c>
      <c r="AF180" s="1232">
        <f t="shared" ref="AF180:AF194" si="102">SUMPRODUCT($O$74:$Y$74,O180:Y180)</f>
        <v>0</v>
      </c>
      <c r="AG180" s="1232">
        <f t="shared" ref="AG180:AG194" si="103">SUM(AE180:AF180)</f>
        <v>0</v>
      </c>
      <c r="AH180" s="1173">
        <f>IF(AG180&gt;0,AE180/AG180,0)</f>
        <v>0</v>
      </c>
      <c r="AI180" s="1233">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4">SUMPRODUCT(B181:L181,$B$178:$L$178)</f>
        <v>0</v>
      </c>
      <c r="N181" s="298">
        <f t="shared" ref="N181:N223" si="105">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106">SUMPRODUCT(O181:Y181,$O$178:$Y$178)</f>
        <v>0</v>
      </c>
      <c r="AA181" s="298">
        <f t="shared" ref="AA181:AA223" si="107">SUMPRODUCT(O181:Y181,$O$177:$Y$177)</f>
        <v>0</v>
      </c>
      <c r="AB181" s="949">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50">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7">
        <f t="shared" ref="AD181:AD205" si="108">AB181*AH181+AC181*AI181</f>
        <v>0</v>
      </c>
      <c r="AE181" s="1231">
        <f t="shared" si="101"/>
        <v>0</v>
      </c>
      <c r="AF181" s="1232">
        <f t="shared" si="102"/>
        <v>0</v>
      </c>
      <c r="AG181" s="1232">
        <f t="shared" si="103"/>
        <v>0</v>
      </c>
      <c r="AH181" s="1173">
        <f t="shared" ref="AH181:AH223" si="109">IF(AG181&gt;0,AE181/AG181,0)</f>
        <v>0</v>
      </c>
      <c r="AI181" s="1233">
        <f t="shared" ref="AI181:AI223" si="110">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4"/>
        <v>0</v>
      </c>
      <c r="N182" s="298">
        <f t="shared" si="105"/>
        <v>0</v>
      </c>
      <c r="O182" s="344">
        <v>0</v>
      </c>
      <c r="P182" s="345">
        <v>0</v>
      </c>
      <c r="Q182" s="345">
        <v>0</v>
      </c>
      <c r="R182" s="345">
        <v>0</v>
      </c>
      <c r="S182" s="345">
        <v>0</v>
      </c>
      <c r="T182" s="345">
        <v>0</v>
      </c>
      <c r="U182" s="345">
        <v>0</v>
      </c>
      <c r="V182" s="345">
        <v>0</v>
      </c>
      <c r="W182" s="345">
        <v>0</v>
      </c>
      <c r="X182" s="345">
        <v>0</v>
      </c>
      <c r="Y182" s="380">
        <v>0</v>
      </c>
      <c r="Z182" s="296">
        <f t="shared" si="106"/>
        <v>0</v>
      </c>
      <c r="AA182" s="298">
        <f t="shared" si="107"/>
        <v>0</v>
      </c>
      <c r="AB182" s="949">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50">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7">
        <f t="shared" si="108"/>
        <v>0</v>
      </c>
      <c r="AE182" s="1231">
        <f t="shared" si="101"/>
        <v>0</v>
      </c>
      <c r="AF182" s="1232">
        <f t="shared" si="102"/>
        <v>0</v>
      </c>
      <c r="AG182" s="1232">
        <f t="shared" si="103"/>
        <v>0</v>
      </c>
      <c r="AH182" s="1173">
        <f t="shared" si="109"/>
        <v>0</v>
      </c>
      <c r="AI182" s="1233">
        <f t="shared" si="110"/>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4"/>
        <v>0</v>
      </c>
      <c r="N183" s="312">
        <f t="shared" si="105"/>
        <v>0</v>
      </c>
      <c r="O183" s="346">
        <v>0</v>
      </c>
      <c r="P183" s="347">
        <v>0</v>
      </c>
      <c r="Q183" s="347">
        <v>0</v>
      </c>
      <c r="R183" s="347">
        <v>0</v>
      </c>
      <c r="S183" s="347">
        <v>0</v>
      </c>
      <c r="T183" s="347">
        <v>0</v>
      </c>
      <c r="U183" s="347">
        <v>0</v>
      </c>
      <c r="V183" s="347">
        <v>0</v>
      </c>
      <c r="W183" s="347">
        <v>0</v>
      </c>
      <c r="X183" s="347">
        <v>0</v>
      </c>
      <c r="Y183" s="381">
        <v>0</v>
      </c>
      <c r="Z183" s="310">
        <f t="shared" si="106"/>
        <v>0</v>
      </c>
      <c r="AA183" s="312">
        <f t="shared" si="107"/>
        <v>0</v>
      </c>
      <c r="AB183" s="949">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50">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7">
        <f t="shared" si="108"/>
        <v>0</v>
      </c>
      <c r="AE183" s="1231">
        <f t="shared" si="101"/>
        <v>0</v>
      </c>
      <c r="AF183" s="1232">
        <f t="shared" si="102"/>
        <v>0</v>
      </c>
      <c r="AG183" s="1232">
        <f t="shared" si="103"/>
        <v>0</v>
      </c>
      <c r="AH183" s="1173">
        <f t="shared" si="109"/>
        <v>0</v>
      </c>
      <c r="AI183" s="1233">
        <f t="shared" si="110"/>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4"/>
        <v>0</v>
      </c>
      <c r="N184" s="284">
        <f t="shared" si="105"/>
        <v>0</v>
      </c>
      <c r="O184" s="342">
        <v>0</v>
      </c>
      <c r="P184" s="343">
        <v>0</v>
      </c>
      <c r="Q184" s="343">
        <v>0</v>
      </c>
      <c r="R184" s="343">
        <v>0</v>
      </c>
      <c r="S184" s="343">
        <v>0</v>
      </c>
      <c r="T184" s="343">
        <v>0</v>
      </c>
      <c r="U184" s="343">
        <v>0</v>
      </c>
      <c r="V184" s="343">
        <v>0</v>
      </c>
      <c r="W184" s="343">
        <v>0</v>
      </c>
      <c r="X184" s="343">
        <v>0</v>
      </c>
      <c r="Y184" s="379">
        <v>0</v>
      </c>
      <c r="Z184" s="282">
        <f t="shared" si="106"/>
        <v>0</v>
      </c>
      <c r="AA184" s="284">
        <f t="shared" si="107"/>
        <v>0</v>
      </c>
      <c r="AB184" s="949">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50">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7">
        <f t="shared" si="108"/>
        <v>0</v>
      </c>
      <c r="AE184" s="1231">
        <f t="shared" si="101"/>
        <v>0</v>
      </c>
      <c r="AF184" s="1232">
        <f t="shared" si="102"/>
        <v>0</v>
      </c>
      <c r="AG184" s="1232">
        <f t="shared" si="103"/>
        <v>0</v>
      </c>
      <c r="AH184" s="1173">
        <f t="shared" si="109"/>
        <v>0</v>
      </c>
      <c r="AI184" s="1233">
        <f t="shared" si="110"/>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4"/>
        <v>0</v>
      </c>
      <c r="N185" s="298">
        <f t="shared" si="105"/>
        <v>0</v>
      </c>
      <c r="O185" s="344">
        <v>0</v>
      </c>
      <c r="P185" s="345">
        <v>0</v>
      </c>
      <c r="Q185" s="345">
        <v>0</v>
      </c>
      <c r="R185" s="345">
        <v>0</v>
      </c>
      <c r="S185" s="345">
        <v>0</v>
      </c>
      <c r="T185" s="345">
        <v>0</v>
      </c>
      <c r="U185" s="345">
        <v>0</v>
      </c>
      <c r="V185" s="345">
        <v>0</v>
      </c>
      <c r="W185" s="345">
        <v>0</v>
      </c>
      <c r="X185" s="345">
        <v>0</v>
      </c>
      <c r="Y185" s="380">
        <v>0</v>
      </c>
      <c r="Z185" s="296">
        <f t="shared" si="106"/>
        <v>0</v>
      </c>
      <c r="AA185" s="298">
        <f t="shared" si="107"/>
        <v>0</v>
      </c>
      <c r="AB185" s="949">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50">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7">
        <f t="shared" si="108"/>
        <v>0</v>
      </c>
      <c r="AE185" s="1231">
        <f t="shared" si="101"/>
        <v>0</v>
      </c>
      <c r="AF185" s="1232">
        <f t="shared" si="102"/>
        <v>0</v>
      </c>
      <c r="AG185" s="1232">
        <f t="shared" si="103"/>
        <v>0</v>
      </c>
      <c r="AH185" s="1173">
        <f t="shared" si="109"/>
        <v>0</v>
      </c>
      <c r="AI185" s="1233">
        <f t="shared" si="110"/>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4"/>
        <v>0</v>
      </c>
      <c r="N186" s="298">
        <f t="shared" si="105"/>
        <v>0</v>
      </c>
      <c r="O186" s="344">
        <v>0</v>
      </c>
      <c r="P186" s="345">
        <v>0</v>
      </c>
      <c r="Q186" s="345">
        <v>0</v>
      </c>
      <c r="R186" s="345">
        <v>0</v>
      </c>
      <c r="S186" s="345">
        <v>0</v>
      </c>
      <c r="T186" s="345">
        <v>0</v>
      </c>
      <c r="U186" s="345">
        <v>0</v>
      </c>
      <c r="V186" s="345">
        <v>0</v>
      </c>
      <c r="W186" s="345">
        <v>0</v>
      </c>
      <c r="X186" s="345">
        <v>0</v>
      </c>
      <c r="Y186" s="380">
        <v>0</v>
      </c>
      <c r="Z186" s="296">
        <f t="shared" si="106"/>
        <v>0</v>
      </c>
      <c r="AA186" s="298">
        <f t="shared" si="107"/>
        <v>0</v>
      </c>
      <c r="AB186" s="949">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50">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7">
        <f t="shared" si="108"/>
        <v>0</v>
      </c>
      <c r="AE186" s="1231">
        <f t="shared" si="101"/>
        <v>0</v>
      </c>
      <c r="AF186" s="1232">
        <f t="shared" si="102"/>
        <v>0</v>
      </c>
      <c r="AG186" s="1232">
        <f t="shared" si="103"/>
        <v>0</v>
      </c>
      <c r="AH186" s="1173">
        <f t="shared" si="109"/>
        <v>0</v>
      </c>
      <c r="AI186" s="1233">
        <f t="shared" si="110"/>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4"/>
        <v>0</v>
      </c>
      <c r="N187" s="298">
        <f t="shared" si="105"/>
        <v>0</v>
      </c>
      <c r="O187" s="344">
        <v>0</v>
      </c>
      <c r="P187" s="345">
        <v>0</v>
      </c>
      <c r="Q187" s="345">
        <v>0</v>
      </c>
      <c r="R187" s="345">
        <v>0</v>
      </c>
      <c r="S187" s="345">
        <v>0</v>
      </c>
      <c r="T187" s="345">
        <v>0</v>
      </c>
      <c r="U187" s="345">
        <v>0</v>
      </c>
      <c r="V187" s="345">
        <v>0</v>
      </c>
      <c r="W187" s="345">
        <v>0</v>
      </c>
      <c r="X187" s="345">
        <v>0</v>
      </c>
      <c r="Y187" s="380">
        <v>0</v>
      </c>
      <c r="Z187" s="296">
        <f t="shared" si="106"/>
        <v>0</v>
      </c>
      <c r="AA187" s="298">
        <f t="shared" si="107"/>
        <v>0</v>
      </c>
      <c r="AB187" s="949">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50">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7">
        <f t="shared" si="108"/>
        <v>0</v>
      </c>
      <c r="AE187" s="1231">
        <f t="shared" si="101"/>
        <v>0</v>
      </c>
      <c r="AF187" s="1232">
        <f t="shared" si="102"/>
        <v>0</v>
      </c>
      <c r="AG187" s="1232">
        <f t="shared" si="103"/>
        <v>0</v>
      </c>
      <c r="AH187" s="1173">
        <f t="shared" si="109"/>
        <v>0</v>
      </c>
      <c r="AI187" s="1233">
        <f t="shared" si="110"/>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4"/>
        <v>0</v>
      </c>
      <c r="N188" s="312">
        <f t="shared" si="105"/>
        <v>0</v>
      </c>
      <c r="O188" s="346">
        <v>0</v>
      </c>
      <c r="P188" s="347">
        <v>0</v>
      </c>
      <c r="Q188" s="347">
        <v>0</v>
      </c>
      <c r="R188" s="347">
        <v>0</v>
      </c>
      <c r="S188" s="347">
        <v>0</v>
      </c>
      <c r="T188" s="347">
        <v>0</v>
      </c>
      <c r="U188" s="347">
        <v>0</v>
      </c>
      <c r="V188" s="347">
        <v>0</v>
      </c>
      <c r="W188" s="347">
        <v>0</v>
      </c>
      <c r="X188" s="347">
        <v>0</v>
      </c>
      <c r="Y188" s="381">
        <v>0</v>
      </c>
      <c r="Z188" s="310">
        <f t="shared" si="106"/>
        <v>0</v>
      </c>
      <c r="AA188" s="312">
        <f t="shared" si="107"/>
        <v>0</v>
      </c>
      <c r="AB188" s="949">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50">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7">
        <f t="shared" si="108"/>
        <v>0</v>
      </c>
      <c r="AE188" s="1231">
        <f t="shared" si="101"/>
        <v>0</v>
      </c>
      <c r="AF188" s="1232">
        <f t="shared" si="102"/>
        <v>0</v>
      </c>
      <c r="AG188" s="1232">
        <f t="shared" si="103"/>
        <v>0</v>
      </c>
      <c r="AH188" s="1173">
        <f t="shared" si="109"/>
        <v>0</v>
      </c>
      <c r="AI188" s="1233">
        <f t="shared" si="110"/>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4"/>
        <v>0</v>
      </c>
      <c r="N189" s="284">
        <f t="shared" si="105"/>
        <v>0</v>
      </c>
      <c r="O189" s="342">
        <v>0</v>
      </c>
      <c r="P189" s="343">
        <v>0</v>
      </c>
      <c r="Q189" s="343">
        <v>0</v>
      </c>
      <c r="R189" s="343">
        <v>0</v>
      </c>
      <c r="S189" s="343">
        <v>0</v>
      </c>
      <c r="T189" s="343">
        <v>0</v>
      </c>
      <c r="U189" s="343">
        <v>0</v>
      </c>
      <c r="V189" s="343">
        <v>0</v>
      </c>
      <c r="W189" s="343">
        <v>0</v>
      </c>
      <c r="X189" s="343">
        <v>0</v>
      </c>
      <c r="Y189" s="379">
        <v>0</v>
      </c>
      <c r="Z189" s="282">
        <f t="shared" si="106"/>
        <v>0</v>
      </c>
      <c r="AA189" s="284">
        <f t="shared" si="107"/>
        <v>0</v>
      </c>
      <c r="AB189" s="949">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50">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7">
        <f t="shared" si="108"/>
        <v>0</v>
      </c>
      <c r="AE189" s="1231">
        <f t="shared" si="101"/>
        <v>0</v>
      </c>
      <c r="AF189" s="1232">
        <f t="shared" si="102"/>
        <v>0</v>
      </c>
      <c r="AG189" s="1232">
        <f t="shared" si="103"/>
        <v>0</v>
      </c>
      <c r="AH189" s="1173">
        <f t="shared" si="109"/>
        <v>0</v>
      </c>
      <c r="AI189" s="1233">
        <f t="shared" si="110"/>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4"/>
        <v>0</v>
      </c>
      <c r="N190" s="298">
        <f t="shared" si="105"/>
        <v>0</v>
      </c>
      <c r="O190" s="344">
        <v>0</v>
      </c>
      <c r="P190" s="345">
        <v>0</v>
      </c>
      <c r="Q190" s="345">
        <v>0</v>
      </c>
      <c r="R190" s="345">
        <v>0</v>
      </c>
      <c r="S190" s="345">
        <v>0</v>
      </c>
      <c r="T190" s="345">
        <v>0</v>
      </c>
      <c r="U190" s="345">
        <v>0</v>
      </c>
      <c r="V190" s="345">
        <v>0</v>
      </c>
      <c r="W190" s="345">
        <v>0</v>
      </c>
      <c r="X190" s="345">
        <v>0</v>
      </c>
      <c r="Y190" s="380">
        <v>0</v>
      </c>
      <c r="Z190" s="296">
        <f t="shared" si="106"/>
        <v>0</v>
      </c>
      <c r="AA190" s="298">
        <f t="shared" si="107"/>
        <v>0</v>
      </c>
      <c r="AB190" s="949">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50">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7">
        <f t="shared" si="108"/>
        <v>0</v>
      </c>
      <c r="AE190" s="1231">
        <f t="shared" si="101"/>
        <v>0</v>
      </c>
      <c r="AF190" s="1232">
        <f t="shared" si="102"/>
        <v>0</v>
      </c>
      <c r="AG190" s="1232">
        <f t="shared" si="103"/>
        <v>0</v>
      </c>
      <c r="AH190" s="1173">
        <f t="shared" si="109"/>
        <v>0</v>
      </c>
      <c r="AI190" s="1233">
        <f t="shared" si="110"/>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4"/>
        <v>0</v>
      </c>
      <c r="N191" s="298">
        <f t="shared" si="105"/>
        <v>0</v>
      </c>
      <c r="O191" s="344">
        <v>0</v>
      </c>
      <c r="P191" s="345">
        <v>0</v>
      </c>
      <c r="Q191" s="345">
        <v>0</v>
      </c>
      <c r="R191" s="345">
        <v>0</v>
      </c>
      <c r="S191" s="345">
        <v>0</v>
      </c>
      <c r="T191" s="345">
        <v>0</v>
      </c>
      <c r="U191" s="345">
        <v>0</v>
      </c>
      <c r="V191" s="345">
        <v>0</v>
      </c>
      <c r="W191" s="345">
        <v>0</v>
      </c>
      <c r="X191" s="345">
        <v>0</v>
      </c>
      <c r="Y191" s="380">
        <v>0</v>
      </c>
      <c r="Z191" s="296">
        <f t="shared" si="106"/>
        <v>0</v>
      </c>
      <c r="AA191" s="298">
        <f t="shared" si="107"/>
        <v>0</v>
      </c>
      <c r="AB191" s="949">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50">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7">
        <f t="shared" si="108"/>
        <v>0</v>
      </c>
      <c r="AE191" s="1231">
        <f t="shared" si="101"/>
        <v>0</v>
      </c>
      <c r="AF191" s="1232">
        <f t="shared" si="102"/>
        <v>0</v>
      </c>
      <c r="AG191" s="1232">
        <f t="shared" si="103"/>
        <v>0</v>
      </c>
      <c r="AH191" s="1173">
        <f t="shared" si="109"/>
        <v>0</v>
      </c>
      <c r="AI191" s="1233">
        <f t="shared" si="110"/>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4"/>
        <v>0</v>
      </c>
      <c r="N192" s="298">
        <f t="shared" si="105"/>
        <v>0</v>
      </c>
      <c r="O192" s="344">
        <v>0</v>
      </c>
      <c r="P192" s="345">
        <v>0</v>
      </c>
      <c r="Q192" s="345">
        <v>0</v>
      </c>
      <c r="R192" s="345">
        <v>0</v>
      </c>
      <c r="S192" s="345">
        <v>0</v>
      </c>
      <c r="T192" s="345">
        <v>0</v>
      </c>
      <c r="U192" s="345">
        <v>0</v>
      </c>
      <c r="V192" s="345">
        <v>0</v>
      </c>
      <c r="W192" s="345">
        <v>0</v>
      </c>
      <c r="X192" s="345">
        <v>0</v>
      </c>
      <c r="Y192" s="380">
        <v>0</v>
      </c>
      <c r="Z192" s="296">
        <f t="shared" si="106"/>
        <v>0</v>
      </c>
      <c r="AA192" s="298">
        <f t="shared" si="107"/>
        <v>0</v>
      </c>
      <c r="AB192" s="949">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50">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7">
        <f t="shared" si="108"/>
        <v>0</v>
      </c>
      <c r="AE192" s="1231">
        <f t="shared" si="101"/>
        <v>0</v>
      </c>
      <c r="AF192" s="1232">
        <f t="shared" si="102"/>
        <v>0</v>
      </c>
      <c r="AG192" s="1232">
        <f t="shared" si="103"/>
        <v>0</v>
      </c>
      <c r="AH192" s="1173">
        <f t="shared" si="109"/>
        <v>0</v>
      </c>
      <c r="AI192" s="1233">
        <f t="shared" si="110"/>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4"/>
        <v>0</v>
      </c>
      <c r="N193" s="312">
        <f t="shared" si="105"/>
        <v>0</v>
      </c>
      <c r="O193" s="346">
        <v>0</v>
      </c>
      <c r="P193" s="347">
        <v>0</v>
      </c>
      <c r="Q193" s="347">
        <v>0</v>
      </c>
      <c r="R193" s="347">
        <v>0</v>
      </c>
      <c r="S193" s="347">
        <v>0</v>
      </c>
      <c r="T193" s="347">
        <v>0</v>
      </c>
      <c r="U193" s="347">
        <v>0</v>
      </c>
      <c r="V193" s="347">
        <v>0</v>
      </c>
      <c r="W193" s="347">
        <v>0</v>
      </c>
      <c r="X193" s="347">
        <v>0</v>
      </c>
      <c r="Y193" s="381">
        <v>0</v>
      </c>
      <c r="Z193" s="310">
        <f t="shared" si="106"/>
        <v>0</v>
      </c>
      <c r="AA193" s="312">
        <f t="shared" si="107"/>
        <v>0</v>
      </c>
      <c r="AB193" s="949">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50">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7">
        <f t="shared" si="108"/>
        <v>0</v>
      </c>
      <c r="AE193" s="1231">
        <f t="shared" si="101"/>
        <v>0</v>
      </c>
      <c r="AF193" s="1232">
        <f t="shared" si="102"/>
        <v>0</v>
      </c>
      <c r="AG193" s="1232">
        <f t="shared" si="103"/>
        <v>0</v>
      </c>
      <c r="AH193" s="1173">
        <f t="shared" si="109"/>
        <v>0</v>
      </c>
      <c r="AI193" s="1233">
        <f t="shared" si="110"/>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104"/>
        <v>0</v>
      </c>
      <c r="N194" s="284">
        <f t="shared" si="105"/>
        <v>0</v>
      </c>
      <c r="O194" s="342">
        <v>0</v>
      </c>
      <c r="P194" s="343">
        <v>0</v>
      </c>
      <c r="Q194" s="343">
        <v>0</v>
      </c>
      <c r="R194" s="343">
        <v>0</v>
      </c>
      <c r="S194" s="343">
        <v>0</v>
      </c>
      <c r="T194" s="343">
        <v>0</v>
      </c>
      <c r="U194" s="343">
        <v>0</v>
      </c>
      <c r="V194" s="343">
        <v>0</v>
      </c>
      <c r="W194" s="343">
        <v>0</v>
      </c>
      <c r="X194" s="343">
        <v>0</v>
      </c>
      <c r="Y194" s="379">
        <v>0</v>
      </c>
      <c r="Z194" s="282">
        <f t="shared" si="106"/>
        <v>0</v>
      </c>
      <c r="AA194" s="284">
        <f t="shared" si="107"/>
        <v>0</v>
      </c>
      <c r="AB194" s="949">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50">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7">
        <f t="shared" si="108"/>
        <v>0</v>
      </c>
      <c r="AE194" s="1231">
        <f t="shared" si="101"/>
        <v>0</v>
      </c>
      <c r="AF194" s="1232">
        <f t="shared" si="102"/>
        <v>0</v>
      </c>
      <c r="AG194" s="1232">
        <f t="shared" si="103"/>
        <v>0</v>
      </c>
      <c r="AH194" s="1173">
        <f t="shared" si="109"/>
        <v>0</v>
      </c>
      <c r="AI194" s="1233">
        <f t="shared" si="110"/>
        <v>0</v>
      </c>
      <c r="AJ194" s="227"/>
      <c r="AK194" s="227"/>
      <c r="AL194" s="227"/>
      <c r="AM194" s="227"/>
    </row>
    <row r="195" spans="1:39" x14ac:dyDescent="0.2">
      <c r="A195" s="330">
        <v>2022</v>
      </c>
      <c r="B195" s="344">
        <v>0</v>
      </c>
      <c r="C195" s="345">
        <v>0</v>
      </c>
      <c r="D195" s="345">
        <v>2.7250213030939504E-4</v>
      </c>
      <c r="E195" s="345">
        <v>4.0032061474236866E-3</v>
      </c>
      <c r="F195" s="345">
        <v>7.0647034306077217E-3</v>
      </c>
      <c r="G195" s="345">
        <v>9.3069655644467952E-3</v>
      </c>
      <c r="H195" s="345">
        <v>1.1913907283552775E-2</v>
      </c>
      <c r="I195" s="345">
        <v>1.2687157803448222E-2</v>
      </c>
      <c r="J195" s="345">
        <v>1.365737981435261E-2</v>
      </c>
      <c r="K195" s="345">
        <v>1.4229907541410422E-2</v>
      </c>
      <c r="L195" s="380">
        <v>1.4229907541410422E-2</v>
      </c>
      <c r="M195" s="296">
        <f t="shared" si="104"/>
        <v>5.8796207992654252E-4</v>
      </c>
      <c r="N195" s="298">
        <f t="shared" si="105"/>
        <v>1.7425259348695883E-4</v>
      </c>
      <c r="O195" s="344">
        <v>0</v>
      </c>
      <c r="P195" s="345">
        <v>0</v>
      </c>
      <c r="Q195" s="345">
        <v>5.6036945027803883E-4</v>
      </c>
      <c r="R195" s="345">
        <v>4.6587547500151743E-3</v>
      </c>
      <c r="S195" s="345">
        <v>7.9693399964099448E-3</v>
      </c>
      <c r="T195" s="345">
        <v>1.022848492722909E-2</v>
      </c>
      <c r="U195" s="345">
        <v>1.2253069365080901E-2</v>
      </c>
      <c r="V195" s="345">
        <v>1.3002805672681826E-2</v>
      </c>
      <c r="W195" s="345">
        <v>1.3977223941981807E-2</v>
      </c>
      <c r="X195" s="345">
        <v>1.4229907541410422E-2</v>
      </c>
      <c r="Y195" s="380">
        <v>1.4722085649601493E-2</v>
      </c>
      <c r="Z195" s="296">
        <f t="shared" si="106"/>
        <v>1.144237411778395E-3</v>
      </c>
      <c r="AA195" s="298">
        <f t="shared" si="107"/>
        <v>3.0979943930656804E-4</v>
      </c>
      <c r="AB195" s="949">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50">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7">
        <f t="shared" si="108"/>
        <v>0</v>
      </c>
      <c r="AE195" s="1231">
        <f>SUMPRODUCT($B$74:$L$74,B195:L195)</f>
        <v>5.8796207992654252E-4</v>
      </c>
      <c r="AF195" s="1232">
        <f>SUMPRODUCT($O$74:$Y$74,O195:Y195)</f>
        <v>1.144237411778395E-3</v>
      </c>
      <c r="AG195" s="1232">
        <f>SUM(AE195:AF195)</f>
        <v>1.7321994917049374E-3</v>
      </c>
      <c r="AH195" s="1173">
        <f t="shared" si="109"/>
        <v>0.33943092740884828</v>
      </c>
      <c r="AI195" s="1233">
        <f t="shared" si="110"/>
        <v>0.66056907259115172</v>
      </c>
      <c r="AJ195" s="227"/>
      <c r="AK195" s="227"/>
      <c r="AL195" s="227"/>
      <c r="AM195" s="227"/>
    </row>
    <row r="196" spans="1:39" x14ac:dyDescent="0.2">
      <c r="A196" s="330">
        <v>2023</v>
      </c>
      <c r="B196" s="344">
        <v>0</v>
      </c>
      <c r="C196" s="345">
        <v>0</v>
      </c>
      <c r="D196" s="345">
        <v>2.2834235407492159E-3</v>
      </c>
      <c r="E196" s="345">
        <v>1.4960280683265893E-2</v>
      </c>
      <c r="F196" s="345">
        <v>2.2700498086809014E-2</v>
      </c>
      <c r="G196" s="345">
        <v>2.7402480074126725E-2</v>
      </c>
      <c r="H196" s="345">
        <v>3.3133368686644515E-2</v>
      </c>
      <c r="I196" s="345">
        <v>3.4702840638694013E-2</v>
      </c>
      <c r="J196" s="345">
        <v>3.5388440780075574E-2</v>
      </c>
      <c r="K196" s="345">
        <v>3.6640079922235134E-2</v>
      </c>
      <c r="L196" s="380">
        <v>3.6640079922235134E-2</v>
      </c>
      <c r="M196" s="296">
        <f t="shared" si="104"/>
        <v>1.9985865431653635E-3</v>
      </c>
      <c r="N196" s="298">
        <f t="shared" si="105"/>
        <v>6.4787768712249187E-4</v>
      </c>
      <c r="O196" s="344">
        <v>0</v>
      </c>
      <c r="P196" s="345">
        <v>0</v>
      </c>
      <c r="Q196" s="345">
        <v>4.2093947287843818E-3</v>
      </c>
      <c r="R196" s="345">
        <v>1.7151465613179831E-2</v>
      </c>
      <c r="S196" s="345">
        <v>2.5077072460837006E-2</v>
      </c>
      <c r="T196" s="345">
        <v>2.9092822004838925E-2</v>
      </c>
      <c r="U196" s="345">
        <v>3.3133368686644515E-2</v>
      </c>
      <c r="V196" s="345">
        <v>3.5388440780075574E-2</v>
      </c>
      <c r="W196" s="345">
        <v>3.5975010951778782E-2</v>
      </c>
      <c r="X196" s="345">
        <v>3.6640079922235134E-2</v>
      </c>
      <c r="Y196" s="380">
        <v>3.7617813669498401E-2</v>
      </c>
      <c r="Z196" s="296">
        <f t="shared" si="106"/>
        <v>3.6619949559056489E-3</v>
      </c>
      <c r="AA196" s="298">
        <f t="shared" si="107"/>
        <v>1.0882950070818613E-3</v>
      </c>
      <c r="AB196" s="949">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50">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7">
        <f t="shared" si="108"/>
        <v>0</v>
      </c>
      <c r="AE196" s="1231">
        <f t="shared" ref="AE196:AE223" si="111">SUMPRODUCT($B$74:$L$74,B196:L196)</f>
        <v>1.9985865431653635E-3</v>
      </c>
      <c r="AF196" s="1232">
        <f t="shared" ref="AF196:AF223" si="112">SUMPRODUCT($O$74:$Y$74,O196:Y196)</f>
        <v>3.6619949559056489E-3</v>
      </c>
      <c r="AG196" s="1232">
        <f t="shared" ref="AG196:AG223" si="113">SUM(AE196:AF196)</f>
        <v>5.6605814990710124E-3</v>
      </c>
      <c r="AH196" s="1173">
        <f t="shared" si="109"/>
        <v>0.35307088918220891</v>
      </c>
      <c r="AI196" s="1233">
        <f t="shared" si="110"/>
        <v>0.64692911081779103</v>
      </c>
      <c r="AJ196" s="227"/>
      <c r="AK196" s="227"/>
      <c r="AL196" s="227"/>
      <c r="AM196" s="227"/>
    </row>
    <row r="197" spans="1:39" x14ac:dyDescent="0.2">
      <c r="A197" s="330">
        <v>2024</v>
      </c>
      <c r="B197" s="344">
        <v>0</v>
      </c>
      <c r="C197" s="345">
        <v>5.1141716530740934E-5</v>
      </c>
      <c r="D197" s="345">
        <v>1.3235693708928247E-2</v>
      </c>
      <c r="E197" s="345">
        <v>4.7766740297846E-2</v>
      </c>
      <c r="F197" s="345">
        <v>6.2350591979091312E-2</v>
      </c>
      <c r="G197" s="345">
        <v>6.9149953538416672E-2</v>
      </c>
      <c r="H197" s="345">
        <v>7.8637745173457355E-2</v>
      </c>
      <c r="I197" s="345">
        <v>8.2009085360883346E-2</v>
      </c>
      <c r="J197" s="345">
        <v>8.3238779350409506E-2</v>
      </c>
      <c r="K197" s="345">
        <v>8.5355128425110838E-2</v>
      </c>
      <c r="L197" s="380">
        <v>8.5355128425110838E-2</v>
      </c>
      <c r="M197" s="296">
        <f t="shared" si="104"/>
        <v>6.1771925532436755E-3</v>
      </c>
      <c r="N197" s="298">
        <f t="shared" si="105"/>
        <v>2.2121198258042364E-3</v>
      </c>
      <c r="O197" s="344">
        <v>0</v>
      </c>
      <c r="P197" s="345">
        <v>8.9218262561464282E-5</v>
      </c>
      <c r="Q197" s="345">
        <v>1.8545014431019975E-2</v>
      </c>
      <c r="R197" s="345">
        <v>5.2389585187305743E-2</v>
      </c>
      <c r="S197" s="345">
        <v>6.4962744822830237E-2</v>
      </c>
      <c r="T197" s="345">
        <v>7.3817234252642971E-2</v>
      </c>
      <c r="U197" s="345">
        <v>7.8637745173457355E-2</v>
      </c>
      <c r="V197" s="345">
        <v>8.2009085360883346E-2</v>
      </c>
      <c r="W197" s="345">
        <v>8.4216591812777131E-2</v>
      </c>
      <c r="X197" s="345">
        <v>8.5355128425110838E-2</v>
      </c>
      <c r="Y197" s="380">
        <v>8.6055140914455361E-2</v>
      </c>
      <c r="Z197" s="296">
        <f t="shared" si="106"/>
        <v>1.0221398757635787E-2</v>
      </c>
      <c r="AA197" s="298">
        <f t="shared" si="107"/>
        <v>3.3019914916024586E-3</v>
      </c>
      <c r="AB197" s="949">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50">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7">
        <f t="shared" si="108"/>
        <v>0</v>
      </c>
      <c r="AE197" s="1231">
        <f t="shared" si="111"/>
        <v>6.1771925532436755E-3</v>
      </c>
      <c r="AF197" s="1232">
        <f t="shared" si="112"/>
        <v>1.0221398757635787E-2</v>
      </c>
      <c r="AG197" s="1232">
        <f t="shared" si="113"/>
        <v>1.6398591310879462E-2</v>
      </c>
      <c r="AH197" s="1173">
        <f t="shared" si="109"/>
        <v>0.37669043859550827</v>
      </c>
      <c r="AI197" s="1233">
        <f t="shared" si="110"/>
        <v>0.62330956140449179</v>
      </c>
      <c r="AJ197" s="227"/>
      <c r="AK197" s="227"/>
      <c r="AL197" s="227"/>
      <c r="AM197" s="227"/>
    </row>
    <row r="198" spans="1:39" ht="15" thickBot="1" x14ac:dyDescent="0.25">
      <c r="A198" s="328">
        <v>2025</v>
      </c>
      <c r="B198" s="346">
        <v>0</v>
      </c>
      <c r="C198" s="347">
        <v>6.0747721986965475E-4</v>
      </c>
      <c r="D198" s="347">
        <v>4.4430165246877554E-2</v>
      </c>
      <c r="E198" s="347">
        <v>0.10444254387752784</v>
      </c>
      <c r="F198" s="347">
        <v>0.12589562508306684</v>
      </c>
      <c r="G198" s="347">
        <v>0.13767549244811988</v>
      </c>
      <c r="H198" s="347">
        <v>0.15423672035581332</v>
      </c>
      <c r="I198" s="347">
        <v>0.15667332223100286</v>
      </c>
      <c r="J198" s="347">
        <v>0.15726867553221047</v>
      </c>
      <c r="K198" s="347">
        <v>0.16081352215621803</v>
      </c>
      <c r="L198" s="381">
        <v>0.16081352215621803</v>
      </c>
      <c r="M198" s="310">
        <f t="shared" si="104"/>
        <v>1.4376455931862032E-2</v>
      </c>
      <c r="N198" s="312">
        <f t="shared" si="105"/>
        <v>5.5583263212206765E-3</v>
      </c>
      <c r="O198" s="346">
        <v>0</v>
      </c>
      <c r="P198" s="347">
        <v>1.0800489743013773E-3</v>
      </c>
      <c r="Q198" s="347">
        <v>5.9703215082517469E-2</v>
      </c>
      <c r="R198" s="347">
        <v>0.1147165584591036</v>
      </c>
      <c r="S198" s="347">
        <v>0.12876345742875478</v>
      </c>
      <c r="T198" s="347">
        <v>0.14418392425477075</v>
      </c>
      <c r="U198" s="347">
        <v>0.15423672035581332</v>
      </c>
      <c r="V198" s="347">
        <v>0.15812029381654011</v>
      </c>
      <c r="W198" s="347">
        <v>0.15972922324303487</v>
      </c>
      <c r="X198" s="347">
        <v>0.16081352215621803</v>
      </c>
      <c r="Y198" s="381">
        <v>0.16170840294695274</v>
      </c>
      <c r="Z198" s="310">
        <f t="shared" si="106"/>
        <v>2.289899187352442E-2</v>
      </c>
      <c r="AA198" s="312">
        <f t="shared" si="107"/>
        <v>8.0587797709761565E-3</v>
      </c>
      <c r="AB198" s="949">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50">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7">
        <f t="shared" si="108"/>
        <v>0</v>
      </c>
      <c r="AE198" s="1231">
        <f t="shared" si="111"/>
        <v>1.4376455931862032E-2</v>
      </c>
      <c r="AF198" s="1232">
        <f t="shared" si="112"/>
        <v>2.289899187352442E-2</v>
      </c>
      <c r="AG198" s="1232">
        <f t="shared" si="113"/>
        <v>3.7275447805386455E-2</v>
      </c>
      <c r="AH198" s="1173">
        <f t="shared" si="109"/>
        <v>0.38568164242911052</v>
      </c>
      <c r="AI198" s="1233">
        <f t="shared" si="110"/>
        <v>0.61431835757088937</v>
      </c>
      <c r="AJ198" s="227"/>
      <c r="AK198" s="227"/>
      <c r="AL198" s="227"/>
      <c r="AM198" s="227"/>
    </row>
    <row r="199" spans="1:39" x14ac:dyDescent="0.2">
      <c r="A199" s="329">
        <v>2026</v>
      </c>
      <c r="B199" s="342">
        <v>0</v>
      </c>
      <c r="C199" s="343">
        <v>2.9169067895216329E-3</v>
      </c>
      <c r="D199" s="343">
        <v>7.742266465521612E-2</v>
      </c>
      <c r="E199" s="343">
        <v>0.16249002823187458</v>
      </c>
      <c r="F199" s="343">
        <v>0.19241496645633238</v>
      </c>
      <c r="G199" s="343">
        <v>0.21097330970114819</v>
      </c>
      <c r="H199" s="343">
        <v>0.22803454258553377</v>
      </c>
      <c r="I199" s="343">
        <v>0.23135943360982178</v>
      </c>
      <c r="J199" s="343">
        <v>0.23274964213761828</v>
      </c>
      <c r="K199" s="343">
        <v>0.2366073849977566</v>
      </c>
      <c r="L199" s="379">
        <v>0.2366073849977566</v>
      </c>
      <c r="M199" s="282">
        <f t="shared" si="104"/>
        <v>2.3101327958783349E-2</v>
      </c>
      <c r="N199" s="284">
        <f t="shared" si="105"/>
        <v>9.2829477719940327E-3</v>
      </c>
      <c r="O199" s="342">
        <v>0</v>
      </c>
      <c r="P199" s="343">
        <v>4.8257445589209042E-3</v>
      </c>
      <c r="Q199" s="343">
        <v>9.6642513141667497E-2</v>
      </c>
      <c r="R199" s="343">
        <v>0.16701521231092031</v>
      </c>
      <c r="S199" s="343">
        <v>0.20145230812613762</v>
      </c>
      <c r="T199" s="343">
        <v>0.21637331262938833</v>
      </c>
      <c r="U199" s="343">
        <v>0.22803454258553377</v>
      </c>
      <c r="V199" s="343">
        <v>0.23320986014476777</v>
      </c>
      <c r="W199" s="343">
        <v>0.23529863910941012</v>
      </c>
      <c r="X199" s="343">
        <v>0.2365967119257793</v>
      </c>
      <c r="Y199" s="379">
        <v>0.23744809987341536</v>
      </c>
      <c r="Z199" s="282">
        <f t="shared" si="106"/>
        <v>3.5472205547591291E-2</v>
      </c>
      <c r="AA199" s="284">
        <f t="shared" si="107"/>
        <v>1.3134446852394305E-2</v>
      </c>
      <c r="AB199" s="949">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50">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7">
        <f t="shared" si="108"/>
        <v>0</v>
      </c>
      <c r="AE199" s="1231">
        <f t="shared" si="111"/>
        <v>2.3101327958783349E-2</v>
      </c>
      <c r="AF199" s="1232">
        <f t="shared" si="112"/>
        <v>3.5472205547591291E-2</v>
      </c>
      <c r="AG199" s="1232">
        <f t="shared" si="113"/>
        <v>5.8573533506374641E-2</v>
      </c>
      <c r="AH199" s="1173">
        <f t="shared" si="109"/>
        <v>0.39439874250149515</v>
      </c>
      <c r="AI199" s="1233">
        <f t="shared" si="110"/>
        <v>0.60560125749850491</v>
      </c>
      <c r="AJ199" s="227"/>
      <c r="AK199" s="227"/>
      <c r="AL199" s="227"/>
      <c r="AM199" s="227"/>
    </row>
    <row r="200" spans="1:39" x14ac:dyDescent="0.2">
      <c r="A200" s="330">
        <v>2027</v>
      </c>
      <c r="B200" s="344">
        <v>0</v>
      </c>
      <c r="C200" s="345">
        <v>7.9618322653728472E-3</v>
      </c>
      <c r="D200" s="345">
        <v>0.10605011056021668</v>
      </c>
      <c r="E200" s="345">
        <v>0.20138286868633909</v>
      </c>
      <c r="F200" s="345">
        <v>0.24004126316258528</v>
      </c>
      <c r="G200" s="345">
        <v>0.25186498165041354</v>
      </c>
      <c r="H200" s="345">
        <v>0.27458538430273954</v>
      </c>
      <c r="I200" s="345">
        <v>0.27744425129037964</v>
      </c>
      <c r="J200" s="345">
        <v>0.28369271883510044</v>
      </c>
      <c r="K200" s="345">
        <v>0.28502744403396529</v>
      </c>
      <c r="L200" s="380">
        <v>0.28502744403396529</v>
      </c>
      <c r="M200" s="296">
        <f t="shared" si="104"/>
        <v>3.0062853891564208E-2</v>
      </c>
      <c r="N200" s="298">
        <f t="shared" si="105"/>
        <v>1.2614162368264089E-2</v>
      </c>
      <c r="O200" s="344">
        <v>0</v>
      </c>
      <c r="P200" s="345">
        <v>1.0248828647921048E-2</v>
      </c>
      <c r="Q200" s="345">
        <v>0.13051858335086361</v>
      </c>
      <c r="R200" s="345">
        <v>0.21861423590355172</v>
      </c>
      <c r="S200" s="345">
        <v>0.24718739372554144</v>
      </c>
      <c r="T200" s="345">
        <v>0.26451641888742766</v>
      </c>
      <c r="U200" s="345">
        <v>0.27458538430273954</v>
      </c>
      <c r="V200" s="345">
        <v>0.28062093921854236</v>
      </c>
      <c r="W200" s="345">
        <v>0.28280915215086178</v>
      </c>
      <c r="X200" s="345">
        <v>0.28482129172488035</v>
      </c>
      <c r="Y200" s="380">
        <v>0.28370845019822699</v>
      </c>
      <c r="Z200" s="296">
        <f t="shared" si="106"/>
        <v>4.625305120371917E-2</v>
      </c>
      <c r="AA200" s="298">
        <f t="shared" si="107"/>
        <v>1.8042416093259663E-2</v>
      </c>
      <c r="AB200" s="949">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50">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7">
        <f t="shared" si="108"/>
        <v>0</v>
      </c>
      <c r="AE200" s="1231">
        <f t="shared" si="111"/>
        <v>3.0062853891564208E-2</v>
      </c>
      <c r="AF200" s="1232">
        <f t="shared" si="112"/>
        <v>4.625305120371917E-2</v>
      </c>
      <c r="AG200" s="1232">
        <f t="shared" si="113"/>
        <v>7.6315905095283382E-2</v>
      </c>
      <c r="AH200" s="1173">
        <f t="shared" si="109"/>
        <v>0.39392645417792743</v>
      </c>
      <c r="AI200" s="1233">
        <f t="shared" si="110"/>
        <v>0.60607354582207251</v>
      </c>
      <c r="AJ200" s="227"/>
      <c r="AK200" s="227"/>
      <c r="AL200" s="227"/>
      <c r="AM200" s="227"/>
    </row>
    <row r="201" spans="1:39" x14ac:dyDescent="0.2">
      <c r="A201" s="330">
        <v>2028</v>
      </c>
      <c r="B201" s="344">
        <v>0</v>
      </c>
      <c r="C201" s="345">
        <v>1.6045363583005168E-2</v>
      </c>
      <c r="D201" s="345">
        <v>0.13782977269106469</v>
      </c>
      <c r="E201" s="345">
        <v>0.23660568806709489</v>
      </c>
      <c r="F201" s="345">
        <v>0.26461602610987778</v>
      </c>
      <c r="G201" s="345">
        <v>0.28627299460384859</v>
      </c>
      <c r="H201" s="345">
        <v>0.30026052749763699</v>
      </c>
      <c r="I201" s="345">
        <v>0.30365890149364411</v>
      </c>
      <c r="J201" s="345">
        <v>0.305630165861074</v>
      </c>
      <c r="K201" s="345">
        <v>0.30657801210484331</v>
      </c>
      <c r="L201" s="380">
        <v>0.30657801210484331</v>
      </c>
      <c r="M201" s="296">
        <f t="shared" si="104"/>
        <v>3.6699689098743299E-2</v>
      </c>
      <c r="N201" s="298">
        <f t="shared" si="105"/>
        <v>1.624330620618912E-2</v>
      </c>
      <c r="O201" s="344">
        <v>0</v>
      </c>
      <c r="P201" s="345">
        <v>2.0065708079234128E-2</v>
      </c>
      <c r="Q201" s="345">
        <v>0.15685748810969502</v>
      </c>
      <c r="R201" s="345">
        <v>0.2458761497813656</v>
      </c>
      <c r="S201" s="345">
        <v>0.27258495072124483</v>
      </c>
      <c r="T201" s="345">
        <v>0.29222169743734233</v>
      </c>
      <c r="U201" s="345">
        <v>0.30026052749763699</v>
      </c>
      <c r="V201" s="345">
        <v>0.30667061023821485</v>
      </c>
      <c r="W201" s="345">
        <v>0.30651764800389414</v>
      </c>
      <c r="X201" s="345">
        <v>0.30395451068991042</v>
      </c>
      <c r="Y201" s="380">
        <v>0.29834696033611313</v>
      </c>
      <c r="Z201" s="296">
        <f t="shared" si="106"/>
        <v>5.4606046139292611E-2</v>
      </c>
      <c r="AA201" s="298">
        <f t="shared" si="107"/>
        <v>2.2827798182204064E-2</v>
      </c>
      <c r="AB201" s="949">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50">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7">
        <f t="shared" si="108"/>
        <v>0</v>
      </c>
      <c r="AE201" s="1231">
        <f t="shared" si="111"/>
        <v>3.6699689098743299E-2</v>
      </c>
      <c r="AF201" s="1232">
        <f t="shared" si="112"/>
        <v>5.4606046139292611E-2</v>
      </c>
      <c r="AG201" s="1232">
        <f t="shared" si="113"/>
        <v>9.1305735238035909E-2</v>
      </c>
      <c r="AH201" s="1173">
        <f t="shared" si="109"/>
        <v>0.40194286813491464</v>
      </c>
      <c r="AI201" s="1233">
        <f t="shared" si="110"/>
        <v>0.59805713186508536</v>
      </c>
      <c r="AJ201" s="227"/>
      <c r="AK201" s="227"/>
      <c r="AL201" s="227"/>
      <c r="AM201" s="227"/>
    </row>
    <row r="202" spans="1:39" x14ac:dyDescent="0.2">
      <c r="A202" s="330">
        <v>2029</v>
      </c>
      <c r="B202" s="344">
        <v>0</v>
      </c>
      <c r="C202" s="345">
        <v>2.3351942735075033E-2</v>
      </c>
      <c r="D202" s="345">
        <v>0.15795717288259289</v>
      </c>
      <c r="E202" s="345">
        <v>0.24957493336201977</v>
      </c>
      <c r="F202" s="345">
        <v>0.28400130246331673</v>
      </c>
      <c r="G202" s="345">
        <v>0.29532124606991372</v>
      </c>
      <c r="H202" s="345">
        <v>0.31369540411898306</v>
      </c>
      <c r="I202" s="345">
        <v>0.31540559028221171</v>
      </c>
      <c r="J202" s="345">
        <v>0.31379645256624417</v>
      </c>
      <c r="K202" s="345">
        <v>0.30680333690284051</v>
      </c>
      <c r="L202" s="380">
        <v>0.30680333690284051</v>
      </c>
      <c r="M202" s="296">
        <f t="shared" si="104"/>
        <v>4.0791115405691247E-2</v>
      </c>
      <c r="N202" s="298">
        <f t="shared" si="105"/>
        <v>1.869607115467882E-2</v>
      </c>
      <c r="O202" s="344">
        <v>0</v>
      </c>
      <c r="P202" s="345">
        <v>2.8719956247262014E-2</v>
      </c>
      <c r="Q202" s="345">
        <v>0.17406547225219651</v>
      </c>
      <c r="R202" s="345">
        <v>0.25903535611168144</v>
      </c>
      <c r="S202" s="345">
        <v>0.28828734524609911</v>
      </c>
      <c r="T202" s="345">
        <v>0.30145689339108717</v>
      </c>
      <c r="U202" s="345">
        <v>0.31335862102972539</v>
      </c>
      <c r="V202" s="345">
        <v>0.31301717759244602</v>
      </c>
      <c r="W202" s="345">
        <v>0.30857558296681192</v>
      </c>
      <c r="X202" s="345">
        <v>0.30427464548448468</v>
      </c>
      <c r="Y202" s="380">
        <v>0.29395147243730235</v>
      </c>
      <c r="Z202" s="296">
        <f t="shared" si="106"/>
        <v>5.9929974997115054E-2</v>
      </c>
      <c r="AA202" s="298">
        <f t="shared" si="107"/>
        <v>2.6330380840736838E-2</v>
      </c>
      <c r="AB202" s="949">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50">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7">
        <f t="shared" si="108"/>
        <v>0</v>
      </c>
      <c r="AE202" s="1231">
        <f t="shared" si="111"/>
        <v>4.0791115405691247E-2</v>
      </c>
      <c r="AF202" s="1232">
        <f t="shared" si="112"/>
        <v>5.9929974997115054E-2</v>
      </c>
      <c r="AG202" s="1232">
        <f t="shared" si="113"/>
        <v>0.1007210904028063</v>
      </c>
      <c r="AH202" s="1173">
        <f t="shared" si="109"/>
        <v>0.40499080423532352</v>
      </c>
      <c r="AI202" s="1233">
        <f t="shared" si="110"/>
        <v>0.59500919576467648</v>
      </c>
      <c r="AJ202" s="227"/>
      <c r="AK202" s="227"/>
      <c r="AL202" s="227"/>
      <c r="AM202" s="227"/>
    </row>
    <row r="203" spans="1:39" ht="15" thickBot="1" x14ac:dyDescent="0.25">
      <c r="A203" s="328">
        <v>2030</v>
      </c>
      <c r="B203" s="346">
        <v>0</v>
      </c>
      <c r="C203" s="347">
        <v>3.1680719450423368E-2</v>
      </c>
      <c r="D203" s="347">
        <v>0.1795905130684162</v>
      </c>
      <c r="E203" s="347">
        <v>0.2621949697431834</v>
      </c>
      <c r="F203" s="347">
        <v>0.29179607304471156</v>
      </c>
      <c r="G203" s="347">
        <v>0.30267315934148281</v>
      </c>
      <c r="H203" s="347">
        <v>0.31231673862175818</v>
      </c>
      <c r="I203" s="347">
        <v>0.31154596334642332</v>
      </c>
      <c r="J203" s="347">
        <v>0.30494408354213781</v>
      </c>
      <c r="K203" s="347">
        <v>0.29429039468378987</v>
      </c>
      <c r="L203" s="381">
        <v>0.29429039468378987</v>
      </c>
      <c r="M203" s="310">
        <f t="shared" si="104"/>
        <v>4.4643745677311032E-2</v>
      </c>
      <c r="N203" s="312">
        <f t="shared" si="105"/>
        <v>2.1236945783557091E-2</v>
      </c>
      <c r="O203" s="346">
        <v>0</v>
      </c>
      <c r="P203" s="347">
        <v>4.3598790422806205E-2</v>
      </c>
      <c r="Q203" s="347">
        <v>0.19614808288771912</v>
      </c>
      <c r="R203" s="347">
        <v>0.26736960242918928</v>
      </c>
      <c r="S203" s="347">
        <v>0.2958238675822803</v>
      </c>
      <c r="T203" s="347">
        <v>0.3079346696246042</v>
      </c>
      <c r="U203" s="347">
        <v>0.31060033205335297</v>
      </c>
      <c r="V203" s="347">
        <v>0.30638041055284143</v>
      </c>
      <c r="W203" s="347">
        <v>0.29807586410854831</v>
      </c>
      <c r="X203" s="347">
        <v>0.29232278627525138</v>
      </c>
      <c r="Y203" s="381">
        <v>0.2827334532513463</v>
      </c>
      <c r="Z203" s="310">
        <f t="shared" si="106"/>
        <v>6.6245424207980977E-2</v>
      </c>
      <c r="AA203" s="312">
        <f t="shared" si="107"/>
        <v>3.1371020783190137E-2</v>
      </c>
      <c r="AB203" s="949">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50">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7">
        <f t="shared" si="108"/>
        <v>0</v>
      </c>
      <c r="AE203" s="1231">
        <f t="shared" si="111"/>
        <v>4.4643745677311032E-2</v>
      </c>
      <c r="AF203" s="1232">
        <f t="shared" si="112"/>
        <v>6.6245424207980977E-2</v>
      </c>
      <c r="AG203" s="1232">
        <f t="shared" si="113"/>
        <v>0.11088916988529202</v>
      </c>
      <c r="AH203" s="1173">
        <f t="shared" si="109"/>
        <v>0.402597888716204</v>
      </c>
      <c r="AI203" s="1233">
        <f t="shared" si="110"/>
        <v>0.59740211128379594</v>
      </c>
      <c r="AJ203" s="227"/>
      <c r="AK203" s="227"/>
      <c r="AL203" s="227"/>
      <c r="AM203" s="227"/>
    </row>
    <row r="204" spans="1:39" x14ac:dyDescent="0.2">
      <c r="A204" s="329">
        <v>2031</v>
      </c>
      <c r="B204" s="342">
        <v>0</v>
      </c>
      <c r="C204" s="343">
        <v>3.5419929817577848E-2</v>
      </c>
      <c r="D204" s="343">
        <v>0.18014777902448575</v>
      </c>
      <c r="E204" s="343">
        <v>0.26302679896467152</v>
      </c>
      <c r="F204" s="343">
        <v>0.29273026320361795</v>
      </c>
      <c r="G204" s="343">
        <v>0.30327669567717735</v>
      </c>
      <c r="H204" s="343">
        <v>0.30716276757699174</v>
      </c>
      <c r="I204" s="343">
        <v>0.30357520282289169</v>
      </c>
      <c r="J204" s="343">
        <v>0.29679770188622479</v>
      </c>
      <c r="K204" s="343">
        <v>0.28602842158987035</v>
      </c>
      <c r="L204" s="379">
        <v>0.28602842158987035</v>
      </c>
      <c r="M204" s="282">
        <f t="shared" si="104"/>
        <v>4.5206928040596776E-2</v>
      </c>
      <c r="N204" s="284">
        <f t="shared" si="105"/>
        <v>2.1795571661547226E-2</v>
      </c>
      <c r="O204" s="342">
        <v>0</v>
      </c>
      <c r="P204" s="343">
        <v>4.2588892950448737E-2</v>
      </c>
      <c r="Q204" s="343">
        <v>0.19676015522811088</v>
      </c>
      <c r="R204" s="343">
        <v>0.26822015120753495</v>
      </c>
      <c r="S204" s="343">
        <v>0.29972386691453101</v>
      </c>
      <c r="T204" s="343">
        <v>0.30670262002659943</v>
      </c>
      <c r="U204" s="343">
        <v>0.30494384729159452</v>
      </c>
      <c r="V204" s="343">
        <v>0.29865668826605818</v>
      </c>
      <c r="W204" s="343">
        <v>0.29024677824571132</v>
      </c>
      <c r="X204" s="343">
        <v>0.28389744697779096</v>
      </c>
      <c r="Y204" s="379">
        <v>0.27613969684666456</v>
      </c>
      <c r="Z204" s="282">
        <f t="shared" si="106"/>
        <v>6.5816900951486915E-2</v>
      </c>
      <c r="AA204" s="284">
        <f t="shared" si="107"/>
        <v>3.1118737157126552E-2</v>
      </c>
      <c r="AB204" s="949">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50">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7">
        <f t="shared" si="108"/>
        <v>0</v>
      </c>
      <c r="AE204" s="1231">
        <f t="shared" si="111"/>
        <v>4.5206928040596776E-2</v>
      </c>
      <c r="AF204" s="1232">
        <f t="shared" si="112"/>
        <v>6.5816900951486915E-2</v>
      </c>
      <c r="AG204" s="1232">
        <f t="shared" si="113"/>
        <v>0.11102382899208368</v>
      </c>
      <c r="AH204" s="1173">
        <f t="shared" si="109"/>
        <v>0.40718220990036436</v>
      </c>
      <c r="AI204" s="1233">
        <f t="shared" si="110"/>
        <v>0.59281779009963576</v>
      </c>
      <c r="AJ204" s="227"/>
      <c r="AK204" s="227"/>
      <c r="AL204" s="227"/>
      <c r="AM204" s="227"/>
    </row>
    <row r="205" spans="1:39" x14ac:dyDescent="0.2">
      <c r="A205" s="330">
        <v>2032</v>
      </c>
      <c r="B205" s="344">
        <v>0</v>
      </c>
      <c r="C205" s="345">
        <v>3.5426234790087142E-2</v>
      </c>
      <c r="D205" s="345">
        <v>0.18021819681369769</v>
      </c>
      <c r="E205" s="345">
        <v>0.26314835485418087</v>
      </c>
      <c r="F205" s="345">
        <v>0.29278291760110148</v>
      </c>
      <c r="G205" s="345">
        <v>0.30204030904098961</v>
      </c>
      <c r="H205" s="345">
        <v>0.30067456629487588</v>
      </c>
      <c r="I205" s="345">
        <v>0.29628825313967511</v>
      </c>
      <c r="J205" s="345">
        <v>0.28799127205171754</v>
      </c>
      <c r="K205" s="345">
        <v>0.27856920453933348</v>
      </c>
      <c r="L205" s="380">
        <v>0.27856920453933348</v>
      </c>
      <c r="M205" s="296">
        <f t="shared" si="104"/>
        <v>4.5096474317566512E-2</v>
      </c>
      <c r="N205" s="298">
        <f t="shared" si="105"/>
        <v>2.1779205990625369E-2</v>
      </c>
      <c r="O205" s="344">
        <v>0</v>
      </c>
      <c r="P205" s="345">
        <v>4.3829797452055036E-2</v>
      </c>
      <c r="Q205" s="345">
        <v>0.19684058846835123</v>
      </c>
      <c r="R205" s="345">
        <v>0.2763031078082484</v>
      </c>
      <c r="S205" s="345">
        <v>0.29913878214171219</v>
      </c>
      <c r="T205" s="345">
        <v>0.30284021346446582</v>
      </c>
      <c r="U205" s="345">
        <v>0.29654584562687769</v>
      </c>
      <c r="V205" s="345">
        <v>0.29010778126808795</v>
      </c>
      <c r="W205" s="345">
        <v>0.28073858142684527</v>
      </c>
      <c r="X205" s="345">
        <v>0.27642420602432893</v>
      </c>
      <c r="Y205" s="380">
        <v>0.26897981988135972</v>
      </c>
      <c r="Z205" s="296">
        <f t="shared" si="106"/>
        <v>6.6203826347966052E-2</v>
      </c>
      <c r="AA205" s="298">
        <f t="shared" si="107"/>
        <v>3.1537374567318387E-2</v>
      </c>
      <c r="AB205" s="949">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50">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7">
        <f t="shared" si="108"/>
        <v>0</v>
      </c>
      <c r="AE205" s="1231">
        <f t="shared" si="111"/>
        <v>4.5096474317566512E-2</v>
      </c>
      <c r="AF205" s="1232">
        <f t="shared" si="112"/>
        <v>6.6203826347966052E-2</v>
      </c>
      <c r="AG205" s="1232">
        <f t="shared" si="113"/>
        <v>0.11130030066553256</v>
      </c>
      <c r="AH205" s="1173">
        <f t="shared" si="109"/>
        <v>0.40517836922188993</v>
      </c>
      <c r="AI205" s="1233">
        <f t="shared" si="110"/>
        <v>0.59482163077811012</v>
      </c>
      <c r="AJ205" s="227"/>
      <c r="AK205" s="227"/>
      <c r="AL205" s="227"/>
      <c r="AM205" s="227"/>
    </row>
    <row r="206" spans="1:39" x14ac:dyDescent="0.2">
      <c r="A206" s="330">
        <v>2033</v>
      </c>
      <c r="B206" s="344">
        <v>0</v>
      </c>
      <c r="C206" s="345">
        <v>3.942139903755372E-2</v>
      </c>
      <c r="D206" s="345">
        <v>0.17670178473838172</v>
      </c>
      <c r="E206" s="345">
        <v>0.27141632397617282</v>
      </c>
      <c r="F206" s="345">
        <v>0.29181180801619983</v>
      </c>
      <c r="G206" s="345">
        <v>0.29968343015475885</v>
      </c>
      <c r="H206" s="345">
        <v>0.29018378213037477</v>
      </c>
      <c r="I206" s="345">
        <v>0.28442020689311137</v>
      </c>
      <c r="J206" s="345">
        <v>0.27805666587274208</v>
      </c>
      <c r="K206" s="345">
        <v>0.27082222178008053</v>
      </c>
      <c r="L206" s="380">
        <v>0.27082222178008053</v>
      </c>
      <c r="M206" s="296">
        <f t="shared" si="104"/>
        <v>4.5554232098195951E-2</v>
      </c>
      <c r="N206" s="298">
        <f t="shared" si="105"/>
        <v>2.2268443014553933E-2</v>
      </c>
      <c r="O206" s="344">
        <v>0</v>
      </c>
      <c r="P206" s="345">
        <v>4.7184407636874176E-2</v>
      </c>
      <c r="Q206" s="345">
        <v>0.19672035825186104</v>
      </c>
      <c r="R206" s="345">
        <v>0.28008437360841393</v>
      </c>
      <c r="S206" s="345">
        <v>0.29632148714804635</v>
      </c>
      <c r="T206" s="345">
        <v>0.29510297613084946</v>
      </c>
      <c r="U206" s="345">
        <v>0.29147506449644583</v>
      </c>
      <c r="V206" s="345">
        <v>0.28028019142914079</v>
      </c>
      <c r="W206" s="345">
        <v>0.272921258984962</v>
      </c>
      <c r="X206" s="345">
        <v>0.26878711782759201</v>
      </c>
      <c r="Y206" s="380">
        <v>0.26382941330231968</v>
      </c>
      <c r="Z206" s="296">
        <f t="shared" si="106"/>
        <v>6.6860149584180184E-2</v>
      </c>
      <c r="AA206" s="298">
        <f t="shared" si="107"/>
        <v>3.2379307214754995E-2</v>
      </c>
      <c r="AB206" s="949">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50">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7">
        <f>AB206*AH206+AC206*AI206</f>
        <v>0</v>
      </c>
      <c r="AE206" s="1231">
        <f t="shared" si="111"/>
        <v>4.5554232098195951E-2</v>
      </c>
      <c r="AF206" s="1232">
        <f t="shared" si="112"/>
        <v>6.6860149584180184E-2</v>
      </c>
      <c r="AG206" s="1232">
        <f t="shared" si="113"/>
        <v>0.11241438168237614</v>
      </c>
      <c r="AH206" s="1173">
        <f t="shared" si="109"/>
        <v>0.40523491226334574</v>
      </c>
      <c r="AI206" s="1233">
        <f t="shared" si="110"/>
        <v>0.59476508773665426</v>
      </c>
      <c r="AJ206" s="227"/>
      <c r="AK206" s="227"/>
      <c r="AL206" s="227"/>
      <c r="AM206" s="227"/>
    </row>
    <row r="207" spans="1:39" x14ac:dyDescent="0.2">
      <c r="A207" s="330">
        <v>2034</v>
      </c>
      <c r="B207" s="344">
        <v>0</v>
      </c>
      <c r="C207" s="345">
        <v>3.9372402007088879E-2</v>
      </c>
      <c r="D207" s="345">
        <v>0.18593624769910902</v>
      </c>
      <c r="E207" s="345">
        <v>0.26789199946003972</v>
      </c>
      <c r="F207" s="345">
        <v>0.28924410904614917</v>
      </c>
      <c r="G207" s="345">
        <v>0.29345812215956019</v>
      </c>
      <c r="H207" s="345">
        <v>0.2807236500467799</v>
      </c>
      <c r="I207" s="345">
        <v>0.27655083956875964</v>
      </c>
      <c r="J207" s="345">
        <v>0.27008019787485055</v>
      </c>
      <c r="K207" s="345">
        <v>0.26528471735066206</v>
      </c>
      <c r="L207" s="380">
        <v>0.26528471735066206</v>
      </c>
      <c r="M207" s="296">
        <f t="shared" si="104"/>
        <v>4.5991585274495719E-2</v>
      </c>
      <c r="N207" s="298">
        <f t="shared" si="105"/>
        <v>2.262064232036862E-2</v>
      </c>
      <c r="O207" s="344">
        <v>0</v>
      </c>
      <c r="P207" s="345">
        <v>4.7126689886378789E-2</v>
      </c>
      <c r="Q207" s="345">
        <v>0.20712093072792845</v>
      </c>
      <c r="R207" s="345">
        <v>0.27901895620992723</v>
      </c>
      <c r="S207" s="345">
        <v>0.29046672253041433</v>
      </c>
      <c r="T207" s="345">
        <v>0.29122561620631315</v>
      </c>
      <c r="U207" s="345">
        <v>0.28173129425365495</v>
      </c>
      <c r="V207" s="345">
        <v>0.27226431021849173</v>
      </c>
      <c r="W207" s="345">
        <v>0.26727584460123394</v>
      </c>
      <c r="X207" s="345">
        <v>0.26338555641353262</v>
      </c>
      <c r="Y207" s="380">
        <v>0.2589973552856536</v>
      </c>
      <c r="Z207" s="296">
        <f t="shared" si="106"/>
        <v>6.7125332856769956E-2</v>
      </c>
      <c r="AA207" s="298">
        <f t="shared" si="107"/>
        <v>3.2709086344708163E-2</v>
      </c>
      <c r="AB207" s="949">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50">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7">
        <f t="shared" ref="AD207:AD223" si="114">AB207*AH207+AC207*AI207</f>
        <v>0</v>
      </c>
      <c r="AE207" s="1231">
        <f t="shared" si="111"/>
        <v>4.5991585274495719E-2</v>
      </c>
      <c r="AF207" s="1232">
        <f t="shared" si="112"/>
        <v>6.7125332856769956E-2</v>
      </c>
      <c r="AG207" s="1232">
        <f t="shared" si="113"/>
        <v>0.11311691813126568</v>
      </c>
      <c r="AH207" s="1173">
        <f t="shared" si="109"/>
        <v>0.40658449712292488</v>
      </c>
      <c r="AI207" s="1233">
        <f t="shared" si="110"/>
        <v>0.59341550287707512</v>
      </c>
      <c r="AJ207" s="227"/>
      <c r="AK207" s="227"/>
      <c r="AL207" s="227"/>
      <c r="AM207" s="227"/>
    </row>
    <row r="208" spans="1:39" ht="15" thickBot="1" x14ac:dyDescent="0.25">
      <c r="A208" s="328">
        <v>2035</v>
      </c>
      <c r="B208" s="346">
        <v>0</v>
      </c>
      <c r="C208" s="347">
        <v>4.2450175555197874E-2</v>
      </c>
      <c r="D208" s="347">
        <v>0.18571736840880801</v>
      </c>
      <c r="E208" s="347">
        <v>0.26684127845948707</v>
      </c>
      <c r="F208" s="347">
        <v>0.28036817512921314</v>
      </c>
      <c r="G208" s="347">
        <v>0.28742308453854604</v>
      </c>
      <c r="H208" s="347">
        <v>0.27364090046770317</v>
      </c>
      <c r="I208" s="347">
        <v>0.26626974419582705</v>
      </c>
      <c r="J208" s="347">
        <v>0.26440429730871129</v>
      </c>
      <c r="K208" s="347">
        <v>0.25895134996845331</v>
      </c>
      <c r="L208" s="381">
        <v>0.25895134996845331</v>
      </c>
      <c r="M208" s="310">
        <f t="shared" si="104"/>
        <v>4.606990919864036E-2</v>
      </c>
      <c r="N208" s="312">
        <f t="shared" si="105"/>
        <v>2.294322991596618E-2</v>
      </c>
      <c r="O208" s="346">
        <v>0</v>
      </c>
      <c r="P208" s="347">
        <v>5.1889859111965989E-2</v>
      </c>
      <c r="Q208" s="347">
        <v>0.20687952681995897</v>
      </c>
      <c r="R208" s="347">
        <v>0.2724604058803835</v>
      </c>
      <c r="S208" s="347">
        <v>0.28100777417345585</v>
      </c>
      <c r="T208" s="347">
        <v>0.28023231697535889</v>
      </c>
      <c r="U208" s="347">
        <v>0.27135384504093518</v>
      </c>
      <c r="V208" s="347">
        <v>0.26440429730871129</v>
      </c>
      <c r="W208" s="347">
        <v>0.2600244169080097</v>
      </c>
      <c r="X208" s="347">
        <v>0.25832436465676029</v>
      </c>
      <c r="Y208" s="381">
        <v>0.2559597122921855</v>
      </c>
      <c r="Z208" s="310">
        <f t="shared" si="106"/>
        <v>6.7325844574075172E-2</v>
      </c>
      <c r="AA208" s="312">
        <f t="shared" si="107"/>
        <v>3.3613226397325245E-2</v>
      </c>
      <c r="AB208" s="949">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50">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7">
        <f t="shared" si="114"/>
        <v>0</v>
      </c>
      <c r="AE208" s="1231">
        <f t="shared" si="111"/>
        <v>4.606990919864036E-2</v>
      </c>
      <c r="AF208" s="1232">
        <f t="shared" si="112"/>
        <v>6.7325844574075172E-2</v>
      </c>
      <c r="AG208" s="1232">
        <f t="shared" si="113"/>
        <v>0.11339575377271553</v>
      </c>
      <c r="AH208" s="1173">
        <f t="shared" si="109"/>
        <v>0.40627543506594133</v>
      </c>
      <c r="AI208" s="1233">
        <f t="shared" si="110"/>
        <v>0.59372456493405867</v>
      </c>
      <c r="AJ208" s="227"/>
      <c r="AK208" s="227"/>
      <c r="AL208" s="227"/>
      <c r="AM208" s="227"/>
    </row>
    <row r="209" spans="1:39" x14ac:dyDescent="0.2">
      <c r="A209" s="329">
        <v>2036</v>
      </c>
      <c r="B209" s="342">
        <v>0</v>
      </c>
      <c r="C209" s="343">
        <v>3.9299183938832236E-2</v>
      </c>
      <c r="D209" s="343">
        <v>0.18025518118389722</v>
      </c>
      <c r="E209" s="343">
        <v>0.2656423302611684</v>
      </c>
      <c r="F209" s="343">
        <v>0.27676263303228077</v>
      </c>
      <c r="G209" s="343">
        <v>0.27791234235721479</v>
      </c>
      <c r="H209" s="343">
        <v>0.26784607979835184</v>
      </c>
      <c r="I209" s="343">
        <v>0.26592053842230889</v>
      </c>
      <c r="J209" s="343">
        <v>0.26185402190725054</v>
      </c>
      <c r="K209" s="343">
        <v>0.25798337756155409</v>
      </c>
      <c r="L209" s="379">
        <v>0.25798337756155409</v>
      </c>
      <c r="M209" s="282">
        <f t="shared" si="104"/>
        <v>4.4885170043338127E-2</v>
      </c>
      <c r="N209" s="284">
        <f t="shared" si="105"/>
        <v>2.2155970165734139E-2</v>
      </c>
      <c r="O209" s="342">
        <v>0</v>
      </c>
      <c r="P209" s="343">
        <v>4.7076062889733282E-2</v>
      </c>
      <c r="Q209" s="343">
        <v>0.19698477592534233</v>
      </c>
      <c r="R209" s="343">
        <v>0.27033740417423163</v>
      </c>
      <c r="S209" s="343">
        <v>0.27732068774802521</v>
      </c>
      <c r="T209" s="343">
        <v>0.27088142181525304</v>
      </c>
      <c r="U209" s="343">
        <v>0.26560632918862503</v>
      </c>
      <c r="V209" s="343">
        <v>0.26405723140738263</v>
      </c>
      <c r="W209" s="343">
        <v>0.25968176502236057</v>
      </c>
      <c r="X209" s="343">
        <v>0.25798337756155409</v>
      </c>
      <c r="Y209" s="379">
        <v>0.25436012162902916</v>
      </c>
      <c r="Z209" s="282">
        <f t="shared" si="106"/>
        <v>6.4785788621663315E-2</v>
      </c>
      <c r="AA209" s="284">
        <f t="shared" si="107"/>
        <v>3.1801589352249832E-2</v>
      </c>
      <c r="AB209" s="949">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50">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7">
        <f t="shared" si="114"/>
        <v>0</v>
      </c>
      <c r="AE209" s="1231">
        <f t="shared" si="111"/>
        <v>4.4885170043338127E-2</v>
      </c>
      <c r="AF209" s="1232">
        <f t="shared" si="112"/>
        <v>6.4785788621663315E-2</v>
      </c>
      <c r="AG209" s="1232">
        <f t="shared" si="113"/>
        <v>0.10967095866500144</v>
      </c>
      <c r="AH209" s="1173">
        <f t="shared" si="109"/>
        <v>0.4092712472810911</v>
      </c>
      <c r="AI209" s="1233">
        <f t="shared" si="110"/>
        <v>0.5907287527189089</v>
      </c>
      <c r="AJ209" s="227"/>
      <c r="AK209" s="227"/>
      <c r="AL209" s="227"/>
      <c r="AM209" s="227"/>
    </row>
    <row r="210" spans="1:39" x14ac:dyDescent="0.2">
      <c r="A210" s="330">
        <v>2037</v>
      </c>
      <c r="B210" s="344">
        <v>0</v>
      </c>
      <c r="C210" s="345">
        <v>3.9299598836963025E-2</v>
      </c>
      <c r="D210" s="345">
        <v>0.18025708421419559</v>
      </c>
      <c r="E210" s="345">
        <v>0.26481611468873889</v>
      </c>
      <c r="F210" s="345">
        <v>0.27711507100219407</v>
      </c>
      <c r="G210" s="345">
        <v>0.27425102259415463</v>
      </c>
      <c r="H210" s="345">
        <v>0.26785667238781224</v>
      </c>
      <c r="I210" s="345">
        <v>0.26378121042117147</v>
      </c>
      <c r="J210" s="345">
        <v>0.25994798842157307</v>
      </c>
      <c r="K210" s="345">
        <v>0.25799589255053973</v>
      </c>
      <c r="L210" s="380">
        <v>0.25799589255053973</v>
      </c>
      <c r="M210" s="296">
        <f t="shared" si="104"/>
        <v>4.4853743761257149E-2</v>
      </c>
      <c r="N210" s="298">
        <f t="shared" si="105"/>
        <v>2.2143545537840561E-2</v>
      </c>
      <c r="O210" s="344">
        <v>0</v>
      </c>
      <c r="P210" s="345">
        <v>4.7076559891669208E-2</v>
      </c>
      <c r="Q210" s="345">
        <v>0.20659928435349509</v>
      </c>
      <c r="R210" s="345">
        <v>0.26800252012227593</v>
      </c>
      <c r="S210" s="345">
        <v>0.2755409052559108</v>
      </c>
      <c r="T210" s="345">
        <v>0.27472696165752031</v>
      </c>
      <c r="U210" s="345">
        <v>0.26875448840520921</v>
      </c>
      <c r="V210" s="345">
        <v>0.26205416634371159</v>
      </c>
      <c r="W210" s="345">
        <v>0.25969410823211436</v>
      </c>
      <c r="X210" s="345">
        <v>0.25643087318975827</v>
      </c>
      <c r="Y210" s="380">
        <v>0.25437307420053457</v>
      </c>
      <c r="Z210" s="296">
        <f t="shared" si="106"/>
        <v>6.54853597193817E-2</v>
      </c>
      <c r="AA210" s="298">
        <f t="shared" si="107"/>
        <v>3.2203395571187995E-2</v>
      </c>
      <c r="AB210" s="949">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50">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7">
        <f t="shared" si="114"/>
        <v>0</v>
      </c>
      <c r="AE210" s="1231">
        <f t="shared" si="111"/>
        <v>4.4853743761257149E-2</v>
      </c>
      <c r="AF210" s="1232">
        <f t="shared" si="112"/>
        <v>6.54853597193817E-2</v>
      </c>
      <c r="AG210" s="1232">
        <f t="shared" si="113"/>
        <v>0.11033910348063886</v>
      </c>
      <c r="AH210" s="1173">
        <f t="shared" si="109"/>
        <v>0.40650814032694776</v>
      </c>
      <c r="AI210" s="1233">
        <f t="shared" si="110"/>
        <v>0.59349185967305218</v>
      </c>
      <c r="AJ210" s="227"/>
      <c r="AK210" s="227"/>
      <c r="AL210" s="227"/>
      <c r="AM210" s="227"/>
    </row>
    <row r="211" spans="1:39" x14ac:dyDescent="0.2">
      <c r="A211" s="330">
        <v>2038</v>
      </c>
      <c r="B211" s="344">
        <v>0</v>
      </c>
      <c r="C211" s="345">
        <v>4.2470431402658354E-2</v>
      </c>
      <c r="D211" s="345">
        <v>0.18649656586943986</v>
      </c>
      <c r="E211" s="345">
        <v>0.26317162285288026</v>
      </c>
      <c r="F211" s="345">
        <v>0.27418220101158186</v>
      </c>
      <c r="G211" s="345">
        <v>0.2774237451723307</v>
      </c>
      <c r="H211" s="345">
        <v>0.26876364633993205</v>
      </c>
      <c r="I211" s="345">
        <v>0.26170774664048652</v>
      </c>
      <c r="J211" s="345">
        <v>0.2599583615556374</v>
      </c>
      <c r="K211" s="345">
        <v>0.25644183767744727</v>
      </c>
      <c r="L211" s="380">
        <v>0.25644183767744727</v>
      </c>
      <c r="M211" s="296">
        <f t="shared" si="104"/>
        <v>4.5759495998198112E-2</v>
      </c>
      <c r="N211" s="298">
        <f t="shared" si="105"/>
        <v>2.2863769159103674E-2</v>
      </c>
      <c r="O211" s="344">
        <v>0</v>
      </c>
      <c r="P211" s="345">
        <v>5.1956857253269956E-2</v>
      </c>
      <c r="Q211" s="345">
        <v>0.20654462931369097</v>
      </c>
      <c r="R211" s="345">
        <v>0.26608270387870342</v>
      </c>
      <c r="S211" s="345">
        <v>0.26982058405630088</v>
      </c>
      <c r="T211" s="345">
        <v>0.27117027491853113</v>
      </c>
      <c r="U211" s="345">
        <v>0.26654921810194415</v>
      </c>
      <c r="V211" s="345">
        <v>0.2620643403339149</v>
      </c>
      <c r="W211" s="345">
        <v>0.25800669112067875</v>
      </c>
      <c r="X211" s="345">
        <v>0.25644183767744727</v>
      </c>
      <c r="Y211" s="380">
        <v>0.25438433483700146</v>
      </c>
      <c r="Z211" s="296">
        <f t="shared" si="106"/>
        <v>6.6502142977010473E-2</v>
      </c>
      <c r="AA211" s="298">
        <f t="shared" si="107"/>
        <v>3.3358319147452187E-2</v>
      </c>
      <c r="AB211" s="949">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50">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7">
        <f t="shared" si="114"/>
        <v>0</v>
      </c>
      <c r="AE211" s="1231">
        <f t="shared" si="111"/>
        <v>4.5759495998198112E-2</v>
      </c>
      <c r="AF211" s="1232">
        <f t="shared" si="112"/>
        <v>6.6502142977010473E-2</v>
      </c>
      <c r="AG211" s="1232">
        <f t="shared" si="113"/>
        <v>0.11226163897520858</v>
      </c>
      <c r="AH211" s="1173">
        <f t="shared" si="109"/>
        <v>0.40761471519495152</v>
      </c>
      <c r="AI211" s="1233">
        <f t="shared" si="110"/>
        <v>0.5923852848050486</v>
      </c>
      <c r="AJ211" s="227"/>
      <c r="AK211" s="227"/>
      <c r="AL211" s="227"/>
      <c r="AM211" s="227"/>
    </row>
    <row r="212" spans="1:39" x14ac:dyDescent="0.2">
      <c r="A212" s="330">
        <v>2039</v>
      </c>
      <c r="B212" s="344">
        <v>0</v>
      </c>
      <c r="C212" s="345">
        <v>4.2470492084389494E-2</v>
      </c>
      <c r="D212" s="345">
        <v>0.18649683233563991</v>
      </c>
      <c r="E212" s="345">
        <v>0.26455882599827718</v>
      </c>
      <c r="F212" s="345">
        <v>0.27733629516442704</v>
      </c>
      <c r="G212" s="345">
        <v>0.27312072814714539</v>
      </c>
      <c r="H212" s="345">
        <v>0.26655798866271097</v>
      </c>
      <c r="I212" s="345">
        <v>0.26408817118497535</v>
      </c>
      <c r="J212" s="345">
        <v>0.25815721285326887</v>
      </c>
      <c r="K212" s="345">
        <v>0.25707621233611061</v>
      </c>
      <c r="L212" s="380">
        <v>0.25707621233611061</v>
      </c>
      <c r="M212" s="296">
        <f t="shared" si="104"/>
        <v>4.5856341697128614E-2</v>
      </c>
      <c r="N212" s="298">
        <f t="shared" si="105"/>
        <v>2.2901934790401E-2</v>
      </c>
      <c r="O212" s="344">
        <v>0</v>
      </c>
      <c r="P212" s="345">
        <v>5.0584926210416561E-2</v>
      </c>
      <c r="Q212" s="345">
        <v>0.206336299188391</v>
      </c>
      <c r="R212" s="345">
        <v>0.26241643986301033</v>
      </c>
      <c r="S212" s="345">
        <v>0.26580756211000983</v>
      </c>
      <c r="T212" s="345">
        <v>0.26889727786404305</v>
      </c>
      <c r="U212" s="345">
        <v>0.26439821636051503</v>
      </c>
      <c r="V212" s="345">
        <v>0.26015327636841012</v>
      </c>
      <c r="W212" s="345">
        <v>0.25801685479511188</v>
      </c>
      <c r="X212" s="345">
        <v>0.25565560068486476</v>
      </c>
      <c r="Y212" s="380">
        <v>0.25330832224075756</v>
      </c>
      <c r="Z212" s="296">
        <f t="shared" si="106"/>
        <v>6.5720533874120968E-2</v>
      </c>
      <c r="AA212" s="298">
        <f t="shared" si="107"/>
        <v>3.2870817056835727E-2</v>
      </c>
      <c r="AB212" s="949">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50">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7">
        <f t="shared" si="114"/>
        <v>0</v>
      </c>
      <c r="AE212" s="1231">
        <f t="shared" si="111"/>
        <v>4.5856341697128614E-2</v>
      </c>
      <c r="AF212" s="1232">
        <f t="shared" si="112"/>
        <v>6.5720533874120968E-2</v>
      </c>
      <c r="AG212" s="1232">
        <f t="shared" si="113"/>
        <v>0.11157687557124958</v>
      </c>
      <c r="AH212" s="1173">
        <f t="shared" si="109"/>
        <v>0.41098427843900465</v>
      </c>
      <c r="AI212" s="1233">
        <f t="shared" si="110"/>
        <v>0.58901572156099535</v>
      </c>
      <c r="AJ212" s="227"/>
      <c r="AK212" s="227"/>
      <c r="AL212" s="227"/>
      <c r="AM212" s="227"/>
    </row>
    <row r="213" spans="1:39" ht="15" thickBot="1" x14ac:dyDescent="0.25">
      <c r="A213" s="328">
        <v>2040</v>
      </c>
      <c r="B213" s="346">
        <v>0</v>
      </c>
      <c r="C213" s="347">
        <v>4.2470514407994472E-2</v>
      </c>
      <c r="D213" s="347">
        <v>0.18645244091239482</v>
      </c>
      <c r="E213" s="347">
        <v>0.26094954137622445</v>
      </c>
      <c r="F213" s="347">
        <v>0.27175257991683904</v>
      </c>
      <c r="G213" s="347">
        <v>0.27091061210881989</v>
      </c>
      <c r="H213" s="347">
        <v>0.26440702008256195</v>
      </c>
      <c r="I213" s="347">
        <v>0.26208317300704981</v>
      </c>
      <c r="J213" s="347">
        <v>0.25816692798958174</v>
      </c>
      <c r="K213" s="347">
        <v>0.255665883962723</v>
      </c>
      <c r="L213" s="381">
        <v>0.255665883962723</v>
      </c>
      <c r="M213" s="310">
        <f t="shared" si="104"/>
        <v>4.5533194055410078E-2</v>
      </c>
      <c r="N213" s="312">
        <f t="shared" si="105"/>
        <v>2.2792462606194917E-2</v>
      </c>
      <c r="O213" s="346">
        <v>0</v>
      </c>
      <c r="P213" s="347">
        <v>5.0584952799181029E-2</v>
      </c>
      <c r="Q213" s="347">
        <v>0.20568305134531348</v>
      </c>
      <c r="R213" s="347">
        <v>0.25701606433100205</v>
      </c>
      <c r="S213" s="347">
        <v>0.26371967627418108</v>
      </c>
      <c r="T213" s="347">
        <v>0.26662884140636273</v>
      </c>
      <c r="U213" s="347">
        <v>0.26231499071766018</v>
      </c>
      <c r="V213" s="347">
        <v>0.25834922729184645</v>
      </c>
      <c r="W213" s="347">
        <v>0.25646228498926255</v>
      </c>
      <c r="X213" s="347">
        <v>0.255665883962723</v>
      </c>
      <c r="Y213" s="381">
        <v>0.25331885365167267</v>
      </c>
      <c r="Z213" s="310">
        <f t="shared" si="106"/>
        <v>6.5199440280390861E-2</v>
      </c>
      <c r="AA213" s="312">
        <f t="shared" si="107"/>
        <v>3.2684300102754471E-2</v>
      </c>
      <c r="AB213" s="949">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50">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7">
        <f t="shared" si="114"/>
        <v>0</v>
      </c>
      <c r="AE213" s="1231">
        <f t="shared" si="111"/>
        <v>4.5533194055410078E-2</v>
      </c>
      <c r="AF213" s="1232">
        <f t="shared" si="112"/>
        <v>6.5199440280390861E-2</v>
      </c>
      <c r="AG213" s="1232">
        <f t="shared" si="113"/>
        <v>0.11073263433580094</v>
      </c>
      <c r="AH213" s="1173">
        <f t="shared" si="109"/>
        <v>0.4111994113436237</v>
      </c>
      <c r="AI213" s="1233">
        <f t="shared" si="110"/>
        <v>0.5888005886563763</v>
      </c>
      <c r="AJ213" s="227"/>
      <c r="AK213" s="227"/>
      <c r="AL213" s="227"/>
      <c r="AM213" s="227"/>
    </row>
    <row r="214" spans="1:39" x14ac:dyDescent="0.2">
      <c r="A214" s="329">
        <v>2041</v>
      </c>
      <c r="B214" s="342">
        <v>0</v>
      </c>
      <c r="C214" s="343">
        <v>4.2470522620395704E-2</v>
      </c>
      <c r="D214" s="343">
        <v>0.1859336749335242</v>
      </c>
      <c r="E214" s="343">
        <v>0.25313243365233579</v>
      </c>
      <c r="F214" s="343">
        <v>0.26556126619617459</v>
      </c>
      <c r="G214" s="343">
        <v>0.26414058371889726</v>
      </c>
      <c r="H214" s="343">
        <v>0.26232396233386385</v>
      </c>
      <c r="I214" s="343">
        <v>0.26017224508412046</v>
      </c>
      <c r="J214" s="343">
        <v>0.25803665921383662</v>
      </c>
      <c r="K214" s="343">
        <v>0.2556760876678002</v>
      </c>
      <c r="L214" s="379">
        <v>0.2556760876678002</v>
      </c>
      <c r="M214" s="282">
        <f t="shared" si="104"/>
        <v>4.4968231769936362E-2</v>
      </c>
      <c r="N214" s="284">
        <f t="shared" si="105"/>
        <v>2.2581598175983136E-2</v>
      </c>
      <c r="O214" s="342">
        <v>0</v>
      </c>
      <c r="P214" s="343">
        <v>5.2049372796923947E-2</v>
      </c>
      <c r="Q214" s="343">
        <v>0.19987098272946272</v>
      </c>
      <c r="R214" s="343">
        <v>0.24508859439323094</v>
      </c>
      <c r="S214" s="343">
        <v>0.25720845835824185</v>
      </c>
      <c r="T214" s="343">
        <v>0.26214677541316322</v>
      </c>
      <c r="U214" s="343">
        <v>0.26031278435037164</v>
      </c>
      <c r="V214" s="343">
        <v>0.2583588769846869</v>
      </c>
      <c r="W214" s="343">
        <v>0.25647231893216998</v>
      </c>
      <c r="X214" s="343">
        <v>0.2556760876678002</v>
      </c>
      <c r="Y214" s="379">
        <v>0.25332930642982765</v>
      </c>
      <c r="Z214" s="282">
        <f t="shared" si="106"/>
        <v>6.4199971867980404E-2</v>
      </c>
      <c r="AA214" s="284">
        <f t="shared" si="107"/>
        <v>3.246358866395449E-2</v>
      </c>
      <c r="AB214" s="949">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50">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7">
        <f t="shared" si="114"/>
        <v>0</v>
      </c>
      <c r="AE214" s="1231">
        <f t="shared" si="111"/>
        <v>4.4968231769936362E-2</v>
      </c>
      <c r="AF214" s="1232">
        <f t="shared" si="112"/>
        <v>6.4199971867980404E-2</v>
      </c>
      <c r="AG214" s="1232">
        <f t="shared" si="113"/>
        <v>0.10916820363791677</v>
      </c>
      <c r="AH214" s="1173">
        <f t="shared" si="109"/>
        <v>0.41191693434000781</v>
      </c>
      <c r="AI214" s="1233">
        <f t="shared" si="110"/>
        <v>0.58808306565999224</v>
      </c>
      <c r="AJ214" s="227"/>
      <c r="AK214" s="227"/>
      <c r="AL214" s="227"/>
      <c r="AM214" s="227"/>
    </row>
    <row r="215" spans="1:39" x14ac:dyDescent="0.2">
      <c r="A215" s="330">
        <v>2042</v>
      </c>
      <c r="B215" s="344">
        <v>0</v>
      </c>
      <c r="C215" s="345">
        <v>4.7076847191097893E-2</v>
      </c>
      <c r="D215" s="345">
        <v>0.19138165658480297</v>
      </c>
      <c r="E215" s="345">
        <v>0.23543508724036763</v>
      </c>
      <c r="F215" s="345">
        <v>0.25896110922590637</v>
      </c>
      <c r="G215" s="345">
        <v>0.25963554635832164</v>
      </c>
      <c r="H215" s="345">
        <v>0.25840472131816983</v>
      </c>
      <c r="I215" s="345">
        <v>0.25836850012345286</v>
      </c>
      <c r="J215" s="345">
        <v>0.25648232678837812</v>
      </c>
      <c r="K215" s="345">
        <v>0.25442603765827243</v>
      </c>
      <c r="L215" s="380">
        <v>0.25442603765827243</v>
      </c>
      <c r="M215" s="296">
        <f t="shared" si="104"/>
        <v>4.5140369127766942E-2</v>
      </c>
      <c r="N215" s="298">
        <f t="shared" si="105"/>
        <v>2.3144549648648993E-2</v>
      </c>
      <c r="O215" s="344">
        <v>0</v>
      </c>
      <c r="P215" s="345">
        <v>5.7274927936774071E-2</v>
      </c>
      <c r="Q215" s="345">
        <v>0.20411083097237551</v>
      </c>
      <c r="R215" s="345">
        <v>0.22637176097979639</v>
      </c>
      <c r="S215" s="345">
        <v>0.25608503615038142</v>
      </c>
      <c r="T215" s="345">
        <v>0.25783156253466699</v>
      </c>
      <c r="U215" s="345">
        <v>0.25840472131816983</v>
      </c>
      <c r="V215" s="345">
        <v>0.25667515673130459</v>
      </c>
      <c r="W215" s="345">
        <v>0.25506442862362266</v>
      </c>
      <c r="X215" s="345">
        <v>0.25442603765827243</v>
      </c>
      <c r="Y215" s="380">
        <v>0.2524425202837316</v>
      </c>
      <c r="Z215" s="296">
        <f t="shared" si="106"/>
        <v>6.470324313701363E-2</v>
      </c>
      <c r="AA215" s="298">
        <f t="shared" si="107"/>
        <v>3.354066663828862E-2</v>
      </c>
      <c r="AB215" s="949">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50">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7">
        <f t="shared" si="114"/>
        <v>0</v>
      </c>
      <c r="AE215" s="1231">
        <f t="shared" si="111"/>
        <v>4.5140369127766942E-2</v>
      </c>
      <c r="AF215" s="1232">
        <f t="shared" si="112"/>
        <v>6.470324313701363E-2</v>
      </c>
      <c r="AG215" s="1232">
        <f t="shared" si="113"/>
        <v>0.10984361226478057</v>
      </c>
      <c r="AH215" s="1173">
        <f t="shared" si="109"/>
        <v>0.41095124420121071</v>
      </c>
      <c r="AI215" s="1233">
        <f t="shared" si="110"/>
        <v>0.58904875579878935</v>
      </c>
      <c r="AJ215" s="227"/>
      <c r="AK215" s="227"/>
      <c r="AL215" s="227"/>
      <c r="AM215" s="227"/>
    </row>
    <row r="216" spans="1:39" x14ac:dyDescent="0.2">
      <c r="A216" s="330">
        <v>2043</v>
      </c>
      <c r="B216" s="344">
        <v>0</v>
      </c>
      <c r="C216" s="345">
        <v>4.6957401374591548E-2</v>
      </c>
      <c r="D216" s="345">
        <v>0.17921452793301837</v>
      </c>
      <c r="E216" s="345">
        <v>0.21999821898441307</v>
      </c>
      <c r="F216" s="345">
        <v>0.25221526575316555</v>
      </c>
      <c r="G216" s="345">
        <v>0.2552481323641369</v>
      </c>
      <c r="H216" s="345">
        <v>0.25660382897703282</v>
      </c>
      <c r="I216" s="345">
        <v>0.25668495614809889</v>
      </c>
      <c r="J216" s="345">
        <v>0.25507457720687726</v>
      </c>
      <c r="K216" s="345">
        <v>0.25335014814324375</v>
      </c>
      <c r="L216" s="380">
        <v>0.25335014814324375</v>
      </c>
      <c r="M216" s="296">
        <f t="shared" si="104"/>
        <v>4.3164449999062042E-2</v>
      </c>
      <c r="N216" s="298">
        <f t="shared" si="105"/>
        <v>2.2188217775067749E-2</v>
      </c>
      <c r="O216" s="344">
        <v>0</v>
      </c>
      <c r="P216" s="345">
        <v>5.5308589512195715E-2</v>
      </c>
      <c r="Q216" s="345">
        <v>0.1876046894052032</v>
      </c>
      <c r="R216" s="345">
        <v>0.2167255602140481</v>
      </c>
      <c r="S216" s="345">
        <v>0.25165514391486993</v>
      </c>
      <c r="T216" s="345">
        <v>0.2557730159235192</v>
      </c>
      <c r="U216" s="345">
        <v>0.25660382897703282</v>
      </c>
      <c r="V216" s="345">
        <v>0.25512464289312203</v>
      </c>
      <c r="W216" s="345">
        <v>0.25381649372077014</v>
      </c>
      <c r="X216" s="345">
        <v>0.25335014814324375</v>
      </c>
      <c r="Y216" s="380">
        <v>0.25245302841960754</v>
      </c>
      <c r="Z216" s="296">
        <f t="shared" si="106"/>
        <v>6.2044174073287328E-2</v>
      </c>
      <c r="AA216" s="298">
        <f t="shared" si="107"/>
        <v>3.2006507595082383E-2</v>
      </c>
      <c r="AB216" s="949">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50">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7">
        <f t="shared" si="114"/>
        <v>0</v>
      </c>
      <c r="AE216" s="1231">
        <f t="shared" si="111"/>
        <v>4.3164449999062042E-2</v>
      </c>
      <c r="AF216" s="1232">
        <f t="shared" si="112"/>
        <v>6.2044174073287328E-2</v>
      </c>
      <c r="AG216" s="1232">
        <f t="shared" si="113"/>
        <v>0.10520862407234938</v>
      </c>
      <c r="AH216" s="1173">
        <f t="shared" si="109"/>
        <v>0.41027482660907072</v>
      </c>
      <c r="AI216" s="1233">
        <f t="shared" si="110"/>
        <v>0.58972517339092922</v>
      </c>
      <c r="AJ216" s="227"/>
      <c r="AK216" s="227"/>
      <c r="AL216" s="227"/>
      <c r="AM216" s="227"/>
    </row>
    <row r="217" spans="1:39" x14ac:dyDescent="0.2">
      <c r="A217" s="330">
        <v>2044</v>
      </c>
      <c r="B217" s="344">
        <v>0</v>
      </c>
      <c r="C217" s="345">
        <v>5.0579928549446297E-2</v>
      </c>
      <c r="D217" s="345">
        <v>0.16527005163925437</v>
      </c>
      <c r="E217" s="345">
        <v>0.20517174662672757</v>
      </c>
      <c r="F217" s="345">
        <v>0.24779119896756469</v>
      </c>
      <c r="G217" s="345">
        <v>0.25107938214651587</v>
      </c>
      <c r="H217" s="345">
        <v>0.25492308639851602</v>
      </c>
      <c r="I217" s="345">
        <v>0.25513462174634155</v>
      </c>
      <c r="J217" s="345">
        <v>0.25382678510070678</v>
      </c>
      <c r="K217" s="345">
        <v>0.25336057094326375</v>
      </c>
      <c r="L217" s="380">
        <v>0.25336057094326375</v>
      </c>
      <c r="M217" s="296">
        <f t="shared" si="104"/>
        <v>4.1675942539482445E-2</v>
      </c>
      <c r="N217" s="298">
        <f t="shared" si="105"/>
        <v>2.1697867733258065E-2</v>
      </c>
      <c r="O217" s="344">
        <v>0</v>
      </c>
      <c r="P217" s="345">
        <v>5.826946778105168E-2</v>
      </c>
      <c r="Q217" s="345">
        <v>0.17190584318520469</v>
      </c>
      <c r="R217" s="345">
        <v>0.2062846362953675</v>
      </c>
      <c r="S217" s="345">
        <v>0.24739435097738849</v>
      </c>
      <c r="T217" s="345">
        <v>0.25190114993857038</v>
      </c>
      <c r="U217" s="345">
        <v>0.25492308639851602</v>
      </c>
      <c r="V217" s="345">
        <v>0.2535454108121234</v>
      </c>
      <c r="W217" s="345">
        <v>0.25274245122206068</v>
      </c>
      <c r="X217" s="345">
        <v>0.25336057094326375</v>
      </c>
      <c r="Y217" s="380">
        <v>0.25177315473668382</v>
      </c>
      <c r="Z217" s="296">
        <f t="shared" si="106"/>
        <v>6.0721093411345545E-2</v>
      </c>
      <c r="AA217" s="298">
        <f t="shared" si="107"/>
        <v>3.1750300782012686E-2</v>
      </c>
      <c r="AB217" s="949">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50">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7">
        <f t="shared" si="114"/>
        <v>0</v>
      </c>
      <c r="AE217" s="1231">
        <f t="shared" si="111"/>
        <v>4.1675942539482445E-2</v>
      </c>
      <c r="AF217" s="1232">
        <f t="shared" si="112"/>
        <v>6.0721093411345545E-2</v>
      </c>
      <c r="AG217" s="1232">
        <f t="shared" si="113"/>
        <v>0.102397035950828</v>
      </c>
      <c r="AH217" s="1173">
        <f t="shared" si="109"/>
        <v>0.40700340739839008</v>
      </c>
      <c r="AI217" s="1233">
        <f t="shared" si="110"/>
        <v>0.59299659260160986</v>
      </c>
      <c r="AJ217" s="227"/>
      <c r="AK217" s="227"/>
      <c r="AL217" s="227"/>
      <c r="AM217" s="227"/>
    </row>
    <row r="218" spans="1:39" ht="15" thickBot="1" x14ac:dyDescent="0.25">
      <c r="A218" s="328">
        <v>2045</v>
      </c>
      <c r="B218" s="346">
        <v>0</v>
      </c>
      <c r="C218" s="347">
        <v>5.2199884945926679E-2</v>
      </c>
      <c r="D218" s="347">
        <v>0.14976080844845777</v>
      </c>
      <c r="E218" s="347">
        <v>0.19240386079864846</v>
      </c>
      <c r="F218" s="347">
        <v>0.24199301280167232</v>
      </c>
      <c r="G218" s="347">
        <v>0.24911345816666558</v>
      </c>
      <c r="H218" s="347">
        <v>0.25282585872294905</v>
      </c>
      <c r="I218" s="347">
        <v>0.25373055364911951</v>
      </c>
      <c r="J218" s="347">
        <v>0.25383708037309011</v>
      </c>
      <c r="K218" s="347">
        <v>0.25247406586913312</v>
      </c>
      <c r="L218" s="381">
        <v>0.25247406586913312</v>
      </c>
      <c r="M218" s="310">
        <f t="shared" si="104"/>
        <v>3.9802775305379692E-2</v>
      </c>
      <c r="N218" s="312">
        <f t="shared" si="105"/>
        <v>2.0870177184121853E-2</v>
      </c>
      <c r="O218" s="346">
        <v>0</v>
      </c>
      <c r="P218" s="347">
        <v>5.5030860209476666E-2</v>
      </c>
      <c r="Q218" s="347">
        <v>0.15729235957476553</v>
      </c>
      <c r="R218" s="347">
        <v>0.19552178162784031</v>
      </c>
      <c r="S218" s="347">
        <v>0.24555488296765982</v>
      </c>
      <c r="T218" s="347">
        <v>0.25012256172859854</v>
      </c>
      <c r="U218" s="347">
        <v>0.25282585872294905</v>
      </c>
      <c r="V218" s="347">
        <v>0.25230271191317472</v>
      </c>
      <c r="W218" s="347">
        <v>0.25275286125384344</v>
      </c>
      <c r="X218" s="347">
        <v>0.25247406586913312</v>
      </c>
      <c r="Y218" s="381">
        <v>0.25178374717259655</v>
      </c>
      <c r="Z218" s="310">
        <f t="shared" si="106"/>
        <v>5.7860179193179907E-2</v>
      </c>
      <c r="AA218" s="312">
        <f t="shared" si="107"/>
        <v>2.9967390342824425E-2</v>
      </c>
      <c r="AB218" s="949">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50">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7">
        <f t="shared" si="114"/>
        <v>0</v>
      </c>
      <c r="AE218" s="1231">
        <f t="shared" si="111"/>
        <v>3.9802775305379692E-2</v>
      </c>
      <c r="AF218" s="1232">
        <f t="shared" si="112"/>
        <v>5.7860179193179907E-2</v>
      </c>
      <c r="AG218" s="1232">
        <f t="shared" si="113"/>
        <v>9.7662954498559607E-2</v>
      </c>
      <c r="AH218" s="1173">
        <f t="shared" si="109"/>
        <v>0.40755243899534832</v>
      </c>
      <c r="AI218" s="1233">
        <f t="shared" si="110"/>
        <v>0.59244756100465157</v>
      </c>
      <c r="AJ218" s="227"/>
      <c r="AK218" s="227"/>
      <c r="AL218" s="227"/>
      <c r="AM218" s="227"/>
    </row>
    <row r="219" spans="1:39" x14ac:dyDescent="0.2">
      <c r="A219" s="329">
        <v>2046</v>
      </c>
      <c r="B219" s="342">
        <v>0</v>
      </c>
      <c r="C219" s="343">
        <v>4.8859314951439504E-2</v>
      </c>
      <c r="D219" s="343">
        <v>0.14282884394970594</v>
      </c>
      <c r="E219" s="343">
        <v>0.18790901371992086</v>
      </c>
      <c r="F219" s="343">
        <v>0.2399917692191646</v>
      </c>
      <c r="G219" s="343">
        <v>0.24724072863155508</v>
      </c>
      <c r="H219" s="343">
        <v>0.25283578628353176</v>
      </c>
      <c r="I219" s="343">
        <v>0.25374069441325725</v>
      </c>
      <c r="J219" s="343">
        <v>0.25276327622839334</v>
      </c>
      <c r="K219" s="343">
        <v>0.25248459162767639</v>
      </c>
      <c r="L219" s="379">
        <v>0.25248459162767639</v>
      </c>
      <c r="M219" s="282">
        <f t="shared" si="104"/>
        <v>3.843614624303153E-2</v>
      </c>
      <c r="N219" s="284">
        <f t="shared" si="105"/>
        <v>1.9953068188375899E-2</v>
      </c>
      <c r="O219" s="342">
        <v>0</v>
      </c>
      <c r="P219" s="343">
        <v>5.0989039097359433E-2</v>
      </c>
      <c r="Q219" s="343">
        <v>0.15139646780840954</v>
      </c>
      <c r="R219" s="343">
        <v>0.19112821354033394</v>
      </c>
      <c r="S219" s="343">
        <v>0.24556387938907839</v>
      </c>
      <c r="T219" s="343">
        <v>0.2484629293674169</v>
      </c>
      <c r="U219" s="343">
        <v>0.25143035852237916</v>
      </c>
      <c r="V219" s="343">
        <v>0.25231297104472866</v>
      </c>
      <c r="W219" s="343">
        <v>0.25276327622839334</v>
      </c>
      <c r="X219" s="343">
        <v>0.25248459162767639</v>
      </c>
      <c r="Y219" s="379">
        <v>0.25179434466869771</v>
      </c>
      <c r="Z219" s="282">
        <f t="shared" si="106"/>
        <v>5.5966838779783944E-2</v>
      </c>
      <c r="AA219" s="284">
        <f t="shared" si="107"/>
        <v>2.8547314765504296E-2</v>
      </c>
      <c r="AB219" s="949">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50">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7">
        <f t="shared" si="114"/>
        <v>0</v>
      </c>
      <c r="AE219" s="1231">
        <f t="shared" si="111"/>
        <v>3.843614624303153E-2</v>
      </c>
      <c r="AF219" s="1232">
        <f t="shared" si="112"/>
        <v>5.5966838779783944E-2</v>
      </c>
      <c r="AG219" s="1232">
        <f t="shared" si="113"/>
        <v>9.4402985022815467E-2</v>
      </c>
      <c r="AH219" s="1173">
        <f t="shared" si="109"/>
        <v>0.40714969165161696</v>
      </c>
      <c r="AI219" s="1233">
        <f t="shared" si="110"/>
        <v>0.59285030834838315</v>
      </c>
      <c r="AJ219" s="227"/>
      <c r="AK219" s="227"/>
      <c r="AL219" s="227"/>
      <c r="AM219" s="227"/>
    </row>
    <row r="220" spans="1:39" x14ac:dyDescent="0.2">
      <c r="A220" s="330">
        <v>2047</v>
      </c>
      <c r="B220" s="344">
        <v>0</v>
      </c>
      <c r="C220" s="345">
        <v>4.5749744885784538E-2</v>
      </c>
      <c r="D220" s="345">
        <v>0.14467382181168667</v>
      </c>
      <c r="E220" s="345">
        <v>0.18499730766476616</v>
      </c>
      <c r="F220" s="345">
        <v>0.23806991652759682</v>
      </c>
      <c r="G220" s="345">
        <v>0.24547384736325359</v>
      </c>
      <c r="H220" s="345">
        <v>0.25144043646780462</v>
      </c>
      <c r="I220" s="345">
        <v>0.25249633117489362</v>
      </c>
      <c r="J220" s="345">
        <v>0.25277368927519217</v>
      </c>
      <c r="K220" s="345">
        <v>0.2524951154520208</v>
      </c>
      <c r="L220" s="380">
        <v>0.2524951154520208</v>
      </c>
      <c r="M220" s="296">
        <f t="shared" si="104"/>
        <v>3.7938413197876907E-2</v>
      </c>
      <c r="N220" s="298">
        <f t="shared" si="105"/>
        <v>1.9538922326275184E-2</v>
      </c>
      <c r="O220" s="344">
        <v>0</v>
      </c>
      <c r="P220" s="345">
        <v>5.1548934991979684E-2</v>
      </c>
      <c r="Q220" s="345">
        <v>0.14548276083260528</v>
      </c>
      <c r="R220" s="345">
        <v>0.18968790226927662</v>
      </c>
      <c r="S220" s="345">
        <v>0.24369602525136919</v>
      </c>
      <c r="T220" s="345">
        <v>0.2484726053846604</v>
      </c>
      <c r="U220" s="345">
        <v>0.25144043646780462</v>
      </c>
      <c r="V220" s="345">
        <v>0.2512435636771726</v>
      </c>
      <c r="W220" s="345">
        <v>0.25187838808101154</v>
      </c>
      <c r="X220" s="345">
        <v>0.2524951154520208</v>
      </c>
      <c r="Y220" s="380">
        <v>0.25180494022901728</v>
      </c>
      <c r="Z220" s="296">
        <f t="shared" si="106"/>
        <v>5.5480416501410716E-2</v>
      </c>
      <c r="AA220" s="298">
        <f t="shared" si="107"/>
        <v>2.8368612334089428E-2</v>
      </c>
      <c r="AB220" s="949">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50">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7">
        <f t="shared" si="114"/>
        <v>0</v>
      </c>
      <c r="AE220" s="1231">
        <f t="shared" si="111"/>
        <v>3.7938413197876907E-2</v>
      </c>
      <c r="AF220" s="1232">
        <f t="shared" si="112"/>
        <v>5.5480416501410716E-2</v>
      </c>
      <c r="AG220" s="1232">
        <f t="shared" si="113"/>
        <v>9.3418829699287623E-2</v>
      </c>
      <c r="AH220" s="1173">
        <f t="shared" si="109"/>
        <v>0.40611098768845111</v>
      </c>
      <c r="AI220" s="1233">
        <f t="shared" si="110"/>
        <v>0.59388901231154889</v>
      </c>
      <c r="AJ220" s="227"/>
      <c r="AK220" s="227"/>
      <c r="AL220" s="227"/>
      <c r="AM220" s="227"/>
    </row>
    <row r="221" spans="1:39" x14ac:dyDescent="0.2">
      <c r="A221" s="330">
        <v>2048</v>
      </c>
      <c r="B221" s="344">
        <v>0</v>
      </c>
      <c r="C221" s="345">
        <v>4.2830701284294587E-2</v>
      </c>
      <c r="D221" s="345">
        <v>0.14040348044227779</v>
      </c>
      <c r="E221" s="345">
        <v>0.18221728615376998</v>
      </c>
      <c r="F221" s="345">
        <v>0.23807874173248214</v>
      </c>
      <c r="G221" s="345">
        <v>0.24548328864544774</v>
      </c>
      <c r="H221" s="345">
        <v>0.25145052659060152</v>
      </c>
      <c r="I221" s="345">
        <v>0.25250661675304797</v>
      </c>
      <c r="J221" s="345">
        <v>0.25278411492752112</v>
      </c>
      <c r="K221" s="345">
        <v>0.25250565202620701</v>
      </c>
      <c r="L221" s="380">
        <v>0.25250565202620701</v>
      </c>
      <c r="M221" s="296">
        <f t="shared" si="104"/>
        <v>3.6993139884460097E-2</v>
      </c>
      <c r="N221" s="298">
        <f t="shared" si="105"/>
        <v>1.8860223308969158E-2</v>
      </c>
      <c r="O221" s="344">
        <v>0</v>
      </c>
      <c r="P221" s="345">
        <v>4.9732504831262465E-2</v>
      </c>
      <c r="Q221" s="345">
        <v>0.14973151063521328</v>
      </c>
      <c r="R221" s="345">
        <v>0.18699420364586888</v>
      </c>
      <c r="S221" s="345">
        <v>0.24370524359918075</v>
      </c>
      <c r="T221" s="345">
        <v>0.24694481524758577</v>
      </c>
      <c r="U221" s="345">
        <v>0.25145052659060152</v>
      </c>
      <c r="V221" s="345">
        <v>0.25125394764239256</v>
      </c>
      <c r="W221" s="345">
        <v>0.25188890767421229</v>
      </c>
      <c r="X221" s="345">
        <v>0.25250565202620701</v>
      </c>
      <c r="Y221" s="380">
        <v>0.25135525071662551</v>
      </c>
      <c r="Z221" s="296">
        <f t="shared" si="106"/>
        <v>5.5169883334444919E-2</v>
      </c>
      <c r="AA221" s="298">
        <f t="shared" si="107"/>
        <v>2.8036048340231406E-2</v>
      </c>
      <c r="AB221" s="949">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50">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7">
        <f t="shared" si="114"/>
        <v>0</v>
      </c>
      <c r="AE221" s="1231">
        <f t="shared" si="111"/>
        <v>3.6993139884460097E-2</v>
      </c>
      <c r="AF221" s="1232">
        <f t="shared" si="112"/>
        <v>5.5169883334444919E-2</v>
      </c>
      <c r="AG221" s="1232">
        <f t="shared" si="113"/>
        <v>9.2163023218905016E-2</v>
      </c>
      <c r="AH221" s="1173">
        <f t="shared" si="109"/>
        <v>0.40138809028208883</v>
      </c>
      <c r="AI221" s="1233">
        <f t="shared" si="110"/>
        <v>0.59861190971791112</v>
      </c>
      <c r="AJ221" s="227"/>
      <c r="AK221" s="227"/>
      <c r="AL221" s="227"/>
      <c r="AM221" s="227"/>
    </row>
    <row r="222" spans="1:39" x14ac:dyDescent="0.2">
      <c r="A222" s="330">
        <v>2049</v>
      </c>
      <c r="B222" s="344">
        <v>0</v>
      </c>
      <c r="C222" s="345">
        <v>4.5494181358829031E-2</v>
      </c>
      <c r="D222" s="345">
        <v>0.13892104030571006</v>
      </c>
      <c r="E222" s="345">
        <v>0.1820708164863119</v>
      </c>
      <c r="F222" s="345">
        <v>0.24157289744663496</v>
      </c>
      <c r="G222" s="345">
        <v>0.24527689528463542</v>
      </c>
      <c r="H222" s="345">
        <v>0.25146062201606006</v>
      </c>
      <c r="I222" s="345">
        <v>0.25251690774906282</v>
      </c>
      <c r="J222" s="345">
        <v>0.25279454608212432</v>
      </c>
      <c r="K222" s="345">
        <v>0.25182616265761093</v>
      </c>
      <c r="L222" s="380">
        <v>0.25182616265761093</v>
      </c>
      <c r="M222" s="296">
        <f t="shared" si="104"/>
        <v>3.7326391977260669E-2</v>
      </c>
      <c r="N222" s="298">
        <f t="shared" si="105"/>
        <v>1.9181770646618374E-2</v>
      </c>
      <c r="O222" s="344">
        <v>0</v>
      </c>
      <c r="P222" s="345">
        <v>5.2434066959903478E-2</v>
      </c>
      <c r="Q222" s="345">
        <v>0.14825469285237219</v>
      </c>
      <c r="R222" s="345">
        <v>0.18571963503546407</v>
      </c>
      <c r="S222" s="345">
        <v>0.24194348358140361</v>
      </c>
      <c r="T222" s="345">
        <v>0.24695467576796362</v>
      </c>
      <c r="U222" s="345">
        <v>0.25021394194598112</v>
      </c>
      <c r="V222" s="345">
        <v>0.25279454608212432</v>
      </c>
      <c r="W222" s="345">
        <v>0.25189943283020527</v>
      </c>
      <c r="X222" s="345">
        <v>0.25182616265761093</v>
      </c>
      <c r="Y222" s="380">
        <v>0.25136591237530354</v>
      </c>
      <c r="Z222" s="296">
        <f t="shared" si="106"/>
        <v>5.5676789932342506E-2</v>
      </c>
      <c r="AA222" s="298">
        <f t="shared" si="107"/>
        <v>2.8621612512575591E-2</v>
      </c>
      <c r="AB222" s="949">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50">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7">
        <f t="shared" si="114"/>
        <v>0</v>
      </c>
      <c r="AE222" s="1231">
        <f t="shared" si="111"/>
        <v>3.7326391977260669E-2</v>
      </c>
      <c r="AF222" s="1232">
        <f t="shared" si="112"/>
        <v>5.5676789932342506E-2</v>
      </c>
      <c r="AG222" s="1232">
        <f t="shared" si="113"/>
        <v>9.3003181909603175E-2</v>
      </c>
      <c r="AH222" s="1173">
        <f t="shared" si="109"/>
        <v>0.40134532185727806</v>
      </c>
      <c r="AI222" s="1233">
        <f t="shared" si="110"/>
        <v>0.59865467814272189</v>
      </c>
      <c r="AJ222" s="227"/>
      <c r="AK222" s="227"/>
      <c r="AL222" s="227"/>
      <c r="AM222" s="227"/>
    </row>
    <row r="223" spans="1:39" ht="15" thickBot="1" x14ac:dyDescent="0.25">
      <c r="A223" s="328">
        <v>2050</v>
      </c>
      <c r="B223" s="346">
        <v>0</v>
      </c>
      <c r="C223" s="347">
        <v>4.665673546300219E-2</v>
      </c>
      <c r="D223" s="347">
        <v>0.13748869960328286</v>
      </c>
      <c r="E223" s="347">
        <v>0.18072961033756579</v>
      </c>
      <c r="F223" s="347">
        <v>0.24158207584841609</v>
      </c>
      <c r="G223" s="347">
        <v>0.24956769715629426</v>
      </c>
      <c r="H223" s="347">
        <v>0.25022417619602672</v>
      </c>
      <c r="I223" s="347">
        <v>0.25252720416084939</v>
      </c>
      <c r="J223" s="347">
        <v>0.25280498273690144</v>
      </c>
      <c r="K223" s="347">
        <v>0.25183678229605644</v>
      </c>
      <c r="L223" s="381">
        <v>0.25183678229605644</v>
      </c>
      <c r="M223" s="310">
        <f t="shared" si="104"/>
        <v>3.7297069842180487E-2</v>
      </c>
      <c r="N223" s="312">
        <f t="shared" si="105"/>
        <v>1.9246920328067747E-2</v>
      </c>
      <c r="O223" s="346">
        <v>0</v>
      </c>
      <c r="P223" s="347">
        <v>5.3034149757559067E-2</v>
      </c>
      <c r="Q223" s="347">
        <v>0.14549505668329804</v>
      </c>
      <c r="R223" s="347">
        <v>0.18431027488251647</v>
      </c>
      <c r="S223" s="347">
        <v>0.24195290873643041</v>
      </c>
      <c r="T223" s="347">
        <v>0.25062373661444831</v>
      </c>
      <c r="U223" s="347">
        <v>0.25022417619602672</v>
      </c>
      <c r="V223" s="347">
        <v>0.25280498273690144</v>
      </c>
      <c r="W223" s="347">
        <v>0.25252674188558955</v>
      </c>
      <c r="X223" s="347">
        <v>0.25183678229605644</v>
      </c>
      <c r="Y223" s="381">
        <v>0.25137657968027127</v>
      </c>
      <c r="Z223" s="310">
        <f t="shared" si="106"/>
        <v>5.5562913341180985E-2</v>
      </c>
      <c r="AA223" s="312">
        <f t="shared" si="107"/>
        <v>2.862463311092758E-2</v>
      </c>
      <c r="AB223" s="951">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2">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8">
        <f t="shared" si="114"/>
        <v>0</v>
      </c>
      <c r="AE223" s="1234">
        <f t="shared" si="111"/>
        <v>3.7297069842180487E-2</v>
      </c>
      <c r="AF223" s="1235">
        <f t="shared" si="112"/>
        <v>5.5562913341180985E-2</v>
      </c>
      <c r="AG223" s="1235">
        <f t="shared" si="113"/>
        <v>9.2859983183361472E-2</v>
      </c>
      <c r="AH223" s="1236">
        <f t="shared" si="109"/>
        <v>0.40164846647165153</v>
      </c>
      <c r="AI223" s="1237">
        <f t="shared" si="110"/>
        <v>0.59835153352834847</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5" t="s">
        <v>267</v>
      </c>
      <c r="AD228" s="234" t="b">
        <f>INDEX(TECH_OPT_FUEL2_Cls3,MATCH(RIGHT(O227),TECH_OPT_ROWS_Cls3,0))&lt;&gt;"N/A"</f>
        <v>1</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7"/>
      <c r="AC229" s="955"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10">
        <v>1.1022999100839563E-4</v>
      </c>
      <c r="Z230" s="1215"/>
      <c r="AA230" s="1216"/>
      <c r="AI230" s="227"/>
    </row>
    <row r="231" spans="1:35" x14ac:dyDescent="0.2">
      <c r="A231" s="331" t="s">
        <v>125</v>
      </c>
      <c r="B231" s="924">
        <f t="array" ref="B231:L231">TRANSPOSE(Cls3CentVMTShr)</f>
        <v>7.4407503791532936E-2</v>
      </c>
      <c r="C231" s="925">
        <v>0.15052192967997111</v>
      </c>
      <c r="D231" s="925">
        <v>8.9028098283245441E-2</v>
      </c>
      <c r="E231" s="925">
        <v>4.5356257743642811E-2</v>
      </c>
      <c r="F231" s="925">
        <v>2.1016507050137231E-2</v>
      </c>
      <c r="G231" s="925">
        <v>4.9007047894213725E-4</v>
      </c>
      <c r="H231" s="925">
        <v>1.4797621296467818E-2</v>
      </c>
      <c r="I231" s="925">
        <v>0</v>
      </c>
      <c r="J231" s="925">
        <v>0</v>
      </c>
      <c r="K231" s="925">
        <v>3.7103078033661591E-3</v>
      </c>
      <c r="L231" s="1211">
        <v>0</v>
      </c>
      <c r="M231" s="1212"/>
      <c r="N231" s="1213"/>
      <c r="O231" s="924">
        <f t="array" ref="O231:Y231">TRANSPOSE(Cls3NCentVMTShr)</f>
        <v>0.11481596497083862</v>
      </c>
      <c r="P231" s="925">
        <v>0.26987209279577573</v>
      </c>
      <c r="Q231" s="925">
        <v>8.3836105982992667E-2</v>
      </c>
      <c r="R231" s="925">
        <v>5.9842896537765707E-2</v>
      </c>
      <c r="S231" s="925">
        <v>1.6413649143963899E-2</v>
      </c>
      <c r="T231" s="925">
        <v>1.0165768727376887E-2</v>
      </c>
      <c r="U231" s="925">
        <v>2.0700108148562976E-2</v>
      </c>
      <c r="V231" s="925">
        <v>2.0956833812228508E-2</v>
      </c>
      <c r="W231" s="925">
        <v>3.1584958359553582E-3</v>
      </c>
      <c r="X231" s="925">
        <v>0</v>
      </c>
      <c r="Y231" s="926">
        <v>9.0978791723388369E-4</v>
      </c>
      <c r="Z231" s="1212"/>
      <c r="AA231" s="1213"/>
      <c r="AB231" s="1550" t="str">
        <f>"% of miles on f2 for Tech "&amp; RIGHT(O226)&amp;" adopters"</f>
        <v>% of miles on f2 for Tech  adopters</v>
      </c>
      <c r="AC231" s="1551"/>
      <c r="AD231" s="1552"/>
      <c r="AE231" s="1238" t="s">
        <v>298</v>
      </c>
      <c r="AF231" s="1239"/>
      <c r="AG231" s="1239"/>
      <c r="AH231" s="1229" t="s">
        <v>297</v>
      </c>
      <c r="AI231" s="1230"/>
    </row>
    <row r="232" spans="1:35" ht="15" thickBot="1" x14ac:dyDescent="0.25">
      <c r="A232" s="943" t="s">
        <v>266</v>
      </c>
      <c r="B232" s="934">
        <f t="array" ref="B232:L232">TRANSPOSE(Cls3CentVMT/OPDAYS_Cls3)</f>
        <v>49.202805162026571</v>
      </c>
      <c r="C232" s="935">
        <v>115.99623692884222</v>
      </c>
      <c r="D232" s="935">
        <v>190.94140758026836</v>
      </c>
      <c r="E232" s="935">
        <v>282.72824571583544</v>
      </c>
      <c r="F232" s="935">
        <v>349.10577157713089</v>
      </c>
      <c r="G232" s="935">
        <v>408.92399999999998</v>
      </c>
      <c r="H232" s="935">
        <v>540.31926836851005</v>
      </c>
      <c r="I232" s="935">
        <v>600</v>
      </c>
      <c r="J232" s="935">
        <v>680</v>
      </c>
      <c r="K232" s="935">
        <v>800.00000000000011</v>
      </c>
      <c r="L232" s="936">
        <v>800</v>
      </c>
      <c r="M232" s="932"/>
      <c r="N232" s="933"/>
      <c r="O232" s="934">
        <f t="array" ref="O232:Y232">TRANSPOSE(Cls3NCentVMT/OPDAYS_Cls3)</f>
        <v>45.820527909508108</v>
      </c>
      <c r="P232" s="935">
        <v>114.90604343518244</v>
      </c>
      <c r="Q232" s="935">
        <v>196.29405935940918</v>
      </c>
      <c r="R232" s="935">
        <v>286.46435582159182</v>
      </c>
      <c r="S232" s="935">
        <v>352.24339419308075</v>
      </c>
      <c r="T232" s="935">
        <v>427.07804424634116</v>
      </c>
      <c r="U232" s="935">
        <v>519.59880241076587</v>
      </c>
      <c r="V232" s="935">
        <v>608.4346682070543</v>
      </c>
      <c r="W232" s="935">
        <v>703.2</v>
      </c>
      <c r="X232" s="935">
        <v>760</v>
      </c>
      <c r="Y232" s="1214">
        <v>900</v>
      </c>
      <c r="Z232" s="944"/>
      <c r="AA232" s="933"/>
      <c r="AB232" s="946" t="s">
        <v>186</v>
      </c>
      <c r="AC232" s="947" t="s">
        <v>15</v>
      </c>
      <c r="AD232" s="948" t="s">
        <v>18</v>
      </c>
      <c r="AE232" s="330" t="s">
        <v>186</v>
      </c>
      <c r="AF232" s="1240" t="s">
        <v>15</v>
      </c>
      <c r="AG232" s="1240" t="s">
        <v>18</v>
      </c>
      <c r="AH232" s="1241" t="s">
        <v>186</v>
      </c>
      <c r="AI232" s="1242"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9">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50">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7">
        <f>AB233*AH233+AC233*AI233</f>
        <v>0</v>
      </c>
      <c r="AE233" s="1231">
        <f t="shared" ref="AE233:AE247" si="115">SUMPRODUCT($B$74:$L$74,B233:L233)</f>
        <v>0</v>
      </c>
      <c r="AF233" s="1232">
        <f t="shared" ref="AF233:AF247" si="116">SUMPRODUCT($O$74:$Y$74,O233:Y233)</f>
        <v>0</v>
      </c>
      <c r="AG233" s="1232">
        <f t="shared" ref="AG233:AG247" si="117">SUM(AE233:AF233)</f>
        <v>0</v>
      </c>
      <c r="AH233" s="1173">
        <f>IF(AG233&gt;0,AE233/AG233,0)</f>
        <v>0</v>
      </c>
      <c r="AI233" s="1233">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18">SUMPRODUCT(B234:L234,$B$231:$L$231)</f>
        <v>0</v>
      </c>
      <c r="N234" s="298">
        <f t="shared" ref="N234:N276" si="119">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20">SUMPRODUCT(O234:Y234,$O$231:$Y$231)</f>
        <v>0</v>
      </c>
      <c r="AA234" s="298">
        <f t="shared" ref="AA234:AA276" si="121">SUMPRODUCT(O234:Y234,$O$230:$Y$230)</f>
        <v>0</v>
      </c>
      <c r="AB234" s="949">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50">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7">
        <f t="shared" ref="AD234:AD258" si="122">AB234*AH234+AC234*AI234</f>
        <v>0</v>
      </c>
      <c r="AE234" s="1231">
        <f t="shared" si="115"/>
        <v>0</v>
      </c>
      <c r="AF234" s="1232">
        <f t="shared" si="116"/>
        <v>0</v>
      </c>
      <c r="AG234" s="1232">
        <f t="shared" si="117"/>
        <v>0</v>
      </c>
      <c r="AH234" s="1173">
        <f t="shared" ref="AH234:AH276" si="123">IF(AG234&gt;0,AE234/AG234,0)</f>
        <v>0</v>
      </c>
      <c r="AI234" s="1233">
        <f t="shared" ref="AI234:AI276" si="124">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118"/>
        <v>0</v>
      </c>
      <c r="N235" s="298">
        <f t="shared" si="119"/>
        <v>0</v>
      </c>
      <c r="O235" s="344">
        <v>0</v>
      </c>
      <c r="P235" s="345">
        <v>0</v>
      </c>
      <c r="Q235" s="345">
        <v>0</v>
      </c>
      <c r="R235" s="345">
        <v>0</v>
      </c>
      <c r="S235" s="345">
        <v>0</v>
      </c>
      <c r="T235" s="345">
        <v>0</v>
      </c>
      <c r="U235" s="345">
        <v>0</v>
      </c>
      <c r="V235" s="345">
        <v>0</v>
      </c>
      <c r="W235" s="345">
        <v>0</v>
      </c>
      <c r="X235" s="345">
        <v>0</v>
      </c>
      <c r="Y235" s="380">
        <v>0</v>
      </c>
      <c r="Z235" s="296">
        <f t="shared" si="120"/>
        <v>0</v>
      </c>
      <c r="AA235" s="298">
        <f t="shared" si="121"/>
        <v>0</v>
      </c>
      <c r="AB235" s="949">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50">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7">
        <f t="shared" si="122"/>
        <v>0</v>
      </c>
      <c r="AE235" s="1231">
        <f t="shared" si="115"/>
        <v>0</v>
      </c>
      <c r="AF235" s="1232">
        <f t="shared" si="116"/>
        <v>0</v>
      </c>
      <c r="AG235" s="1232">
        <f t="shared" si="117"/>
        <v>0</v>
      </c>
      <c r="AH235" s="1173">
        <f t="shared" si="123"/>
        <v>0</v>
      </c>
      <c r="AI235" s="1233">
        <f t="shared" si="124"/>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18"/>
        <v>0</v>
      </c>
      <c r="N236" s="312">
        <f t="shared" si="119"/>
        <v>0</v>
      </c>
      <c r="O236" s="346">
        <v>0</v>
      </c>
      <c r="P236" s="347">
        <v>0</v>
      </c>
      <c r="Q236" s="347">
        <v>0</v>
      </c>
      <c r="R236" s="347">
        <v>0</v>
      </c>
      <c r="S236" s="347">
        <v>0</v>
      </c>
      <c r="T236" s="347">
        <v>0</v>
      </c>
      <c r="U236" s="347">
        <v>0</v>
      </c>
      <c r="V236" s="347">
        <v>0</v>
      </c>
      <c r="W236" s="347">
        <v>0</v>
      </c>
      <c r="X236" s="347">
        <v>0</v>
      </c>
      <c r="Y236" s="381">
        <v>0</v>
      </c>
      <c r="Z236" s="310">
        <f t="shared" si="120"/>
        <v>0</v>
      </c>
      <c r="AA236" s="312">
        <f t="shared" si="121"/>
        <v>0</v>
      </c>
      <c r="AB236" s="949">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50">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7">
        <f t="shared" si="122"/>
        <v>0</v>
      </c>
      <c r="AE236" s="1231">
        <f t="shared" si="115"/>
        <v>0</v>
      </c>
      <c r="AF236" s="1232">
        <f t="shared" si="116"/>
        <v>0</v>
      </c>
      <c r="AG236" s="1232">
        <f t="shared" si="117"/>
        <v>0</v>
      </c>
      <c r="AH236" s="1173">
        <f t="shared" si="123"/>
        <v>0</v>
      </c>
      <c r="AI236" s="1233">
        <f t="shared" si="124"/>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118"/>
        <v>0</v>
      </c>
      <c r="N237" s="284">
        <f t="shared" si="119"/>
        <v>0</v>
      </c>
      <c r="O237" s="342">
        <v>0</v>
      </c>
      <c r="P237" s="343">
        <v>0</v>
      </c>
      <c r="Q237" s="343">
        <v>0</v>
      </c>
      <c r="R237" s="343">
        <v>0</v>
      </c>
      <c r="S237" s="343">
        <v>0</v>
      </c>
      <c r="T237" s="343">
        <v>0</v>
      </c>
      <c r="U237" s="343">
        <v>0</v>
      </c>
      <c r="V237" s="343">
        <v>0</v>
      </c>
      <c r="W237" s="343">
        <v>0</v>
      </c>
      <c r="X237" s="343">
        <v>0</v>
      </c>
      <c r="Y237" s="379">
        <v>0</v>
      </c>
      <c r="Z237" s="282">
        <f t="shared" si="120"/>
        <v>0</v>
      </c>
      <c r="AA237" s="284">
        <f t="shared" si="121"/>
        <v>0</v>
      </c>
      <c r="AB237" s="949">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50">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7">
        <f t="shared" si="122"/>
        <v>0</v>
      </c>
      <c r="AE237" s="1231">
        <f t="shared" si="115"/>
        <v>0</v>
      </c>
      <c r="AF237" s="1232">
        <f t="shared" si="116"/>
        <v>0</v>
      </c>
      <c r="AG237" s="1232">
        <f t="shared" si="117"/>
        <v>0</v>
      </c>
      <c r="AH237" s="1173">
        <f t="shared" si="123"/>
        <v>0</v>
      </c>
      <c r="AI237" s="1233">
        <f t="shared" si="124"/>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118"/>
        <v>0</v>
      </c>
      <c r="N238" s="298">
        <f t="shared" si="119"/>
        <v>0</v>
      </c>
      <c r="O238" s="344">
        <v>0</v>
      </c>
      <c r="P238" s="345">
        <v>0</v>
      </c>
      <c r="Q238" s="345">
        <v>0</v>
      </c>
      <c r="R238" s="345">
        <v>0</v>
      </c>
      <c r="S238" s="345">
        <v>0</v>
      </c>
      <c r="T238" s="345">
        <v>0</v>
      </c>
      <c r="U238" s="345">
        <v>0</v>
      </c>
      <c r="V238" s="345">
        <v>0</v>
      </c>
      <c r="W238" s="345">
        <v>0</v>
      </c>
      <c r="X238" s="345">
        <v>0</v>
      </c>
      <c r="Y238" s="380">
        <v>0</v>
      </c>
      <c r="Z238" s="296">
        <f t="shared" si="120"/>
        <v>0</v>
      </c>
      <c r="AA238" s="298">
        <f t="shared" si="121"/>
        <v>0</v>
      </c>
      <c r="AB238" s="949">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50">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7">
        <f t="shared" si="122"/>
        <v>0</v>
      </c>
      <c r="AE238" s="1231">
        <f t="shared" si="115"/>
        <v>0</v>
      </c>
      <c r="AF238" s="1232">
        <f t="shared" si="116"/>
        <v>0</v>
      </c>
      <c r="AG238" s="1232">
        <f t="shared" si="117"/>
        <v>0</v>
      </c>
      <c r="AH238" s="1173">
        <f t="shared" si="123"/>
        <v>0</v>
      </c>
      <c r="AI238" s="1233">
        <f t="shared" si="124"/>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118"/>
        <v>0</v>
      </c>
      <c r="N239" s="298">
        <f t="shared" si="119"/>
        <v>0</v>
      </c>
      <c r="O239" s="344">
        <v>0</v>
      </c>
      <c r="P239" s="345">
        <v>0</v>
      </c>
      <c r="Q239" s="345">
        <v>0</v>
      </c>
      <c r="R239" s="345">
        <v>0</v>
      </c>
      <c r="S239" s="345">
        <v>0</v>
      </c>
      <c r="T239" s="345">
        <v>0</v>
      </c>
      <c r="U239" s="345">
        <v>0</v>
      </c>
      <c r="V239" s="345">
        <v>0</v>
      </c>
      <c r="W239" s="345">
        <v>0</v>
      </c>
      <c r="X239" s="345">
        <v>0</v>
      </c>
      <c r="Y239" s="380">
        <v>0</v>
      </c>
      <c r="Z239" s="296">
        <f t="shared" si="120"/>
        <v>0</v>
      </c>
      <c r="AA239" s="298">
        <f t="shared" si="121"/>
        <v>0</v>
      </c>
      <c r="AB239" s="949">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50">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7">
        <f t="shared" si="122"/>
        <v>0</v>
      </c>
      <c r="AE239" s="1231">
        <f t="shared" si="115"/>
        <v>0</v>
      </c>
      <c r="AF239" s="1232">
        <f t="shared" si="116"/>
        <v>0</v>
      </c>
      <c r="AG239" s="1232">
        <f t="shared" si="117"/>
        <v>0</v>
      </c>
      <c r="AH239" s="1173">
        <f t="shared" si="123"/>
        <v>0</v>
      </c>
      <c r="AI239" s="1233">
        <f t="shared" si="124"/>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118"/>
        <v>0</v>
      </c>
      <c r="N240" s="298">
        <f t="shared" si="119"/>
        <v>0</v>
      </c>
      <c r="O240" s="344">
        <v>0</v>
      </c>
      <c r="P240" s="345">
        <v>0</v>
      </c>
      <c r="Q240" s="345">
        <v>0</v>
      </c>
      <c r="R240" s="345">
        <v>0</v>
      </c>
      <c r="S240" s="345">
        <v>0</v>
      </c>
      <c r="T240" s="345">
        <v>0</v>
      </c>
      <c r="U240" s="345">
        <v>0</v>
      </c>
      <c r="V240" s="345">
        <v>0</v>
      </c>
      <c r="W240" s="345">
        <v>0</v>
      </c>
      <c r="X240" s="345">
        <v>0</v>
      </c>
      <c r="Y240" s="380">
        <v>0</v>
      </c>
      <c r="Z240" s="296">
        <f t="shared" si="120"/>
        <v>0</v>
      </c>
      <c r="AA240" s="298">
        <f t="shared" si="121"/>
        <v>0</v>
      </c>
      <c r="AB240" s="949">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50">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7">
        <f t="shared" si="122"/>
        <v>0</v>
      </c>
      <c r="AE240" s="1231">
        <f t="shared" si="115"/>
        <v>0</v>
      </c>
      <c r="AF240" s="1232">
        <f t="shared" si="116"/>
        <v>0</v>
      </c>
      <c r="AG240" s="1232">
        <f t="shared" si="117"/>
        <v>0</v>
      </c>
      <c r="AH240" s="1173">
        <f t="shared" si="123"/>
        <v>0</v>
      </c>
      <c r="AI240" s="1233">
        <f t="shared" si="124"/>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18"/>
        <v>0</v>
      </c>
      <c r="N241" s="312">
        <f t="shared" si="119"/>
        <v>0</v>
      </c>
      <c r="O241" s="346">
        <v>0</v>
      </c>
      <c r="P241" s="347">
        <v>0</v>
      </c>
      <c r="Q241" s="347">
        <v>0</v>
      </c>
      <c r="R241" s="347">
        <v>0</v>
      </c>
      <c r="S241" s="347">
        <v>0</v>
      </c>
      <c r="T241" s="347">
        <v>0</v>
      </c>
      <c r="U241" s="347">
        <v>0</v>
      </c>
      <c r="V241" s="347">
        <v>0</v>
      </c>
      <c r="W241" s="347">
        <v>0</v>
      </c>
      <c r="X241" s="347">
        <v>0</v>
      </c>
      <c r="Y241" s="381">
        <v>0</v>
      </c>
      <c r="Z241" s="310">
        <f t="shared" si="120"/>
        <v>0</v>
      </c>
      <c r="AA241" s="312">
        <f t="shared" si="121"/>
        <v>0</v>
      </c>
      <c r="AB241" s="949">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50">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7">
        <f t="shared" si="122"/>
        <v>0</v>
      </c>
      <c r="AE241" s="1231">
        <f t="shared" si="115"/>
        <v>0</v>
      </c>
      <c r="AF241" s="1232">
        <f t="shared" si="116"/>
        <v>0</v>
      </c>
      <c r="AG241" s="1232">
        <f t="shared" si="117"/>
        <v>0</v>
      </c>
      <c r="AH241" s="1173">
        <f t="shared" si="123"/>
        <v>0</v>
      </c>
      <c r="AI241" s="1233">
        <f t="shared" si="124"/>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18"/>
        <v>0</v>
      </c>
      <c r="N242" s="284">
        <f t="shared" si="119"/>
        <v>0</v>
      </c>
      <c r="O242" s="342">
        <v>0</v>
      </c>
      <c r="P242" s="343">
        <v>0</v>
      </c>
      <c r="Q242" s="343">
        <v>0</v>
      </c>
      <c r="R242" s="343">
        <v>0</v>
      </c>
      <c r="S242" s="343">
        <v>0</v>
      </c>
      <c r="T242" s="343">
        <v>0</v>
      </c>
      <c r="U242" s="343">
        <v>0</v>
      </c>
      <c r="V242" s="343">
        <v>0</v>
      </c>
      <c r="W242" s="343">
        <v>0</v>
      </c>
      <c r="X242" s="343">
        <v>0</v>
      </c>
      <c r="Y242" s="379">
        <v>0</v>
      </c>
      <c r="Z242" s="282">
        <f t="shared" si="120"/>
        <v>0</v>
      </c>
      <c r="AA242" s="284">
        <f t="shared" si="121"/>
        <v>0</v>
      </c>
      <c r="AB242" s="949">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50">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7">
        <f t="shared" si="122"/>
        <v>0</v>
      </c>
      <c r="AE242" s="1231">
        <f t="shared" si="115"/>
        <v>0</v>
      </c>
      <c r="AF242" s="1232">
        <f t="shared" si="116"/>
        <v>0</v>
      </c>
      <c r="AG242" s="1232">
        <f t="shared" si="117"/>
        <v>0</v>
      </c>
      <c r="AH242" s="1173">
        <f t="shared" si="123"/>
        <v>0</v>
      </c>
      <c r="AI242" s="1233">
        <f t="shared" si="124"/>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18"/>
        <v>0</v>
      </c>
      <c r="N243" s="298">
        <f t="shared" si="119"/>
        <v>0</v>
      </c>
      <c r="O243" s="344">
        <v>0</v>
      </c>
      <c r="P243" s="345">
        <v>0</v>
      </c>
      <c r="Q243" s="345">
        <v>0</v>
      </c>
      <c r="R243" s="345">
        <v>0</v>
      </c>
      <c r="S243" s="345">
        <v>0</v>
      </c>
      <c r="T243" s="345">
        <v>0</v>
      </c>
      <c r="U243" s="345">
        <v>0</v>
      </c>
      <c r="V243" s="345">
        <v>0</v>
      </c>
      <c r="W243" s="345">
        <v>0</v>
      </c>
      <c r="X243" s="345">
        <v>0</v>
      </c>
      <c r="Y243" s="380">
        <v>0</v>
      </c>
      <c r="Z243" s="296">
        <f t="shared" si="120"/>
        <v>0</v>
      </c>
      <c r="AA243" s="298">
        <f t="shared" si="121"/>
        <v>0</v>
      </c>
      <c r="AB243" s="949">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50">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7">
        <f t="shared" si="122"/>
        <v>0</v>
      </c>
      <c r="AE243" s="1231">
        <f t="shared" si="115"/>
        <v>0</v>
      </c>
      <c r="AF243" s="1232">
        <f t="shared" si="116"/>
        <v>0</v>
      </c>
      <c r="AG243" s="1232">
        <f t="shared" si="117"/>
        <v>0</v>
      </c>
      <c r="AH243" s="1173">
        <f t="shared" si="123"/>
        <v>0</v>
      </c>
      <c r="AI243" s="1233">
        <f t="shared" si="124"/>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18"/>
        <v>0</v>
      </c>
      <c r="N244" s="298">
        <f t="shared" si="119"/>
        <v>0</v>
      </c>
      <c r="O244" s="344">
        <v>0</v>
      </c>
      <c r="P244" s="345">
        <v>0</v>
      </c>
      <c r="Q244" s="345">
        <v>0</v>
      </c>
      <c r="R244" s="345">
        <v>0</v>
      </c>
      <c r="S244" s="345">
        <v>0</v>
      </c>
      <c r="T244" s="345">
        <v>0</v>
      </c>
      <c r="U244" s="345">
        <v>0</v>
      </c>
      <c r="V244" s="345">
        <v>0</v>
      </c>
      <c r="W244" s="345">
        <v>0</v>
      </c>
      <c r="X244" s="345">
        <v>0</v>
      </c>
      <c r="Y244" s="380">
        <v>0</v>
      </c>
      <c r="Z244" s="296">
        <f t="shared" si="120"/>
        <v>0</v>
      </c>
      <c r="AA244" s="298">
        <f t="shared" si="121"/>
        <v>0</v>
      </c>
      <c r="AB244" s="949">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50">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7">
        <f t="shared" si="122"/>
        <v>0</v>
      </c>
      <c r="AE244" s="1231">
        <f t="shared" si="115"/>
        <v>0</v>
      </c>
      <c r="AF244" s="1232">
        <f t="shared" si="116"/>
        <v>0</v>
      </c>
      <c r="AG244" s="1232">
        <f t="shared" si="117"/>
        <v>0</v>
      </c>
      <c r="AH244" s="1173">
        <f t="shared" si="123"/>
        <v>0</v>
      </c>
      <c r="AI244" s="1233">
        <f t="shared" si="124"/>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18"/>
        <v>0</v>
      </c>
      <c r="N245" s="298">
        <f t="shared" si="119"/>
        <v>0</v>
      </c>
      <c r="O245" s="344">
        <v>0</v>
      </c>
      <c r="P245" s="345">
        <v>0</v>
      </c>
      <c r="Q245" s="345">
        <v>0</v>
      </c>
      <c r="R245" s="345">
        <v>0</v>
      </c>
      <c r="S245" s="345">
        <v>0</v>
      </c>
      <c r="T245" s="345">
        <v>0</v>
      </c>
      <c r="U245" s="345">
        <v>0</v>
      </c>
      <c r="V245" s="345">
        <v>0</v>
      </c>
      <c r="W245" s="345">
        <v>0</v>
      </c>
      <c r="X245" s="345">
        <v>0</v>
      </c>
      <c r="Y245" s="380">
        <v>0</v>
      </c>
      <c r="Z245" s="296">
        <f t="shared" si="120"/>
        <v>0</v>
      </c>
      <c r="AA245" s="298">
        <f t="shared" si="121"/>
        <v>0</v>
      </c>
      <c r="AB245" s="949">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50">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7">
        <f t="shared" si="122"/>
        <v>0</v>
      </c>
      <c r="AE245" s="1231">
        <f t="shared" si="115"/>
        <v>0</v>
      </c>
      <c r="AF245" s="1232">
        <f t="shared" si="116"/>
        <v>0</v>
      </c>
      <c r="AG245" s="1232">
        <f t="shared" si="117"/>
        <v>0</v>
      </c>
      <c r="AH245" s="1173">
        <f t="shared" si="123"/>
        <v>0</v>
      </c>
      <c r="AI245" s="1233">
        <f t="shared" si="124"/>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18"/>
        <v>0</v>
      </c>
      <c r="N246" s="312">
        <f t="shared" si="119"/>
        <v>0</v>
      </c>
      <c r="O246" s="346">
        <v>0</v>
      </c>
      <c r="P246" s="347">
        <v>0</v>
      </c>
      <c r="Q246" s="347">
        <v>0</v>
      </c>
      <c r="R246" s="347">
        <v>0</v>
      </c>
      <c r="S246" s="347">
        <v>0</v>
      </c>
      <c r="T246" s="347">
        <v>0</v>
      </c>
      <c r="U246" s="347">
        <v>0</v>
      </c>
      <c r="V246" s="347">
        <v>0</v>
      </c>
      <c r="W246" s="347">
        <v>0</v>
      </c>
      <c r="X246" s="347">
        <v>0</v>
      </c>
      <c r="Y246" s="381">
        <v>0</v>
      </c>
      <c r="Z246" s="310">
        <f t="shared" si="120"/>
        <v>0</v>
      </c>
      <c r="AA246" s="312">
        <f t="shared" si="121"/>
        <v>0</v>
      </c>
      <c r="AB246" s="949">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50">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7">
        <f t="shared" si="122"/>
        <v>0</v>
      </c>
      <c r="AE246" s="1231">
        <f t="shared" si="115"/>
        <v>0</v>
      </c>
      <c r="AF246" s="1232">
        <f t="shared" si="116"/>
        <v>0</v>
      </c>
      <c r="AG246" s="1232">
        <f t="shared" si="117"/>
        <v>0</v>
      </c>
      <c r="AH246" s="1173">
        <f t="shared" si="123"/>
        <v>0</v>
      </c>
      <c r="AI246" s="1233">
        <f t="shared" si="124"/>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18"/>
        <v>0</v>
      </c>
      <c r="N247" s="284">
        <f t="shared" si="119"/>
        <v>0</v>
      </c>
      <c r="O247" s="342">
        <v>0</v>
      </c>
      <c r="P247" s="343">
        <v>0</v>
      </c>
      <c r="Q247" s="343">
        <v>0</v>
      </c>
      <c r="R247" s="343">
        <v>0</v>
      </c>
      <c r="S247" s="343">
        <v>0</v>
      </c>
      <c r="T247" s="343">
        <v>0</v>
      </c>
      <c r="U247" s="343">
        <v>0</v>
      </c>
      <c r="V247" s="343">
        <v>0</v>
      </c>
      <c r="W247" s="343">
        <v>0</v>
      </c>
      <c r="X247" s="343">
        <v>0</v>
      </c>
      <c r="Y247" s="379">
        <v>0</v>
      </c>
      <c r="Z247" s="282">
        <f t="shared" si="120"/>
        <v>0</v>
      </c>
      <c r="AA247" s="284">
        <f t="shared" si="121"/>
        <v>0</v>
      </c>
      <c r="AB247" s="949">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50">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7">
        <f t="shared" si="122"/>
        <v>0</v>
      </c>
      <c r="AE247" s="1231">
        <f t="shared" si="115"/>
        <v>0</v>
      </c>
      <c r="AF247" s="1232">
        <f t="shared" si="116"/>
        <v>0</v>
      </c>
      <c r="AG247" s="1232">
        <f t="shared" si="117"/>
        <v>0</v>
      </c>
      <c r="AH247" s="1173">
        <f t="shared" si="123"/>
        <v>0</v>
      </c>
      <c r="AI247" s="1233">
        <f t="shared" si="124"/>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18"/>
        <v>0</v>
      </c>
      <c r="N248" s="298">
        <f t="shared" si="119"/>
        <v>0</v>
      </c>
      <c r="O248" s="344">
        <v>0</v>
      </c>
      <c r="P248" s="345">
        <v>0</v>
      </c>
      <c r="Q248" s="345">
        <v>0</v>
      </c>
      <c r="R248" s="345">
        <v>0</v>
      </c>
      <c r="S248" s="345">
        <v>0</v>
      </c>
      <c r="T248" s="345">
        <v>0</v>
      </c>
      <c r="U248" s="345">
        <v>0</v>
      </c>
      <c r="V248" s="345">
        <v>0</v>
      </c>
      <c r="W248" s="345">
        <v>0</v>
      </c>
      <c r="X248" s="345">
        <v>0</v>
      </c>
      <c r="Y248" s="380">
        <v>0</v>
      </c>
      <c r="Z248" s="296">
        <f t="shared" si="120"/>
        <v>0</v>
      </c>
      <c r="AA248" s="298">
        <f t="shared" si="121"/>
        <v>0</v>
      </c>
      <c r="AB248" s="949">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50">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7">
        <f t="shared" si="122"/>
        <v>0</v>
      </c>
      <c r="AE248" s="1231">
        <f>SUMPRODUCT($B$74:$L$74,B248:L248)</f>
        <v>0</v>
      </c>
      <c r="AF248" s="1232">
        <f>SUMPRODUCT($O$74:$Y$74,O248:Y248)</f>
        <v>0</v>
      </c>
      <c r="AG248" s="1232">
        <f>SUM(AE248:AF248)</f>
        <v>0</v>
      </c>
      <c r="AH248" s="1173">
        <f t="shared" si="123"/>
        <v>0</v>
      </c>
      <c r="AI248" s="1233">
        <f t="shared" si="124"/>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18"/>
        <v>0</v>
      </c>
      <c r="N249" s="298">
        <f t="shared" si="119"/>
        <v>0</v>
      </c>
      <c r="O249" s="344">
        <v>0</v>
      </c>
      <c r="P249" s="345">
        <v>0</v>
      </c>
      <c r="Q249" s="345">
        <v>0</v>
      </c>
      <c r="R249" s="345">
        <v>0</v>
      </c>
      <c r="S249" s="345">
        <v>0</v>
      </c>
      <c r="T249" s="345">
        <v>0</v>
      </c>
      <c r="U249" s="345">
        <v>0</v>
      </c>
      <c r="V249" s="345">
        <v>0</v>
      </c>
      <c r="W249" s="345">
        <v>0</v>
      </c>
      <c r="X249" s="345">
        <v>0</v>
      </c>
      <c r="Y249" s="380">
        <v>0</v>
      </c>
      <c r="Z249" s="296">
        <f t="shared" si="120"/>
        <v>0</v>
      </c>
      <c r="AA249" s="298">
        <f t="shared" si="121"/>
        <v>0</v>
      </c>
      <c r="AB249" s="949">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50">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7">
        <f t="shared" si="122"/>
        <v>0</v>
      </c>
      <c r="AE249" s="1231">
        <f t="shared" ref="AE249:AE276" si="125">SUMPRODUCT($B$74:$L$74,B249:L249)</f>
        <v>0</v>
      </c>
      <c r="AF249" s="1232">
        <f t="shared" ref="AF249:AF276" si="126">SUMPRODUCT($O$74:$Y$74,O249:Y249)</f>
        <v>0</v>
      </c>
      <c r="AG249" s="1232">
        <f t="shared" ref="AG249:AG276" si="127">SUM(AE249:AF249)</f>
        <v>0</v>
      </c>
      <c r="AH249" s="1173">
        <f t="shared" si="123"/>
        <v>0</v>
      </c>
      <c r="AI249" s="1233">
        <f t="shared" si="124"/>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18"/>
        <v>0</v>
      </c>
      <c r="N250" s="298">
        <f t="shared" si="119"/>
        <v>0</v>
      </c>
      <c r="O250" s="344">
        <v>0</v>
      </c>
      <c r="P250" s="345">
        <v>0</v>
      </c>
      <c r="Q250" s="345">
        <v>0</v>
      </c>
      <c r="R250" s="345">
        <v>0</v>
      </c>
      <c r="S250" s="345">
        <v>0</v>
      </c>
      <c r="T250" s="345">
        <v>0</v>
      </c>
      <c r="U250" s="345">
        <v>0</v>
      </c>
      <c r="V250" s="345">
        <v>0</v>
      </c>
      <c r="W250" s="345">
        <v>0</v>
      </c>
      <c r="X250" s="345">
        <v>0</v>
      </c>
      <c r="Y250" s="380">
        <v>0</v>
      </c>
      <c r="Z250" s="296">
        <f t="shared" si="120"/>
        <v>0</v>
      </c>
      <c r="AA250" s="298">
        <f t="shared" si="121"/>
        <v>0</v>
      </c>
      <c r="AB250" s="949">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50">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7">
        <f t="shared" si="122"/>
        <v>0</v>
      </c>
      <c r="AE250" s="1231">
        <f t="shared" si="125"/>
        <v>0</v>
      </c>
      <c r="AF250" s="1232">
        <f t="shared" si="126"/>
        <v>0</v>
      </c>
      <c r="AG250" s="1232">
        <f t="shared" si="127"/>
        <v>0</v>
      </c>
      <c r="AH250" s="1173">
        <f t="shared" si="123"/>
        <v>0</v>
      </c>
      <c r="AI250" s="1233">
        <f t="shared" si="124"/>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18"/>
        <v>0</v>
      </c>
      <c r="N251" s="312">
        <f t="shared" si="119"/>
        <v>0</v>
      </c>
      <c r="O251" s="346">
        <v>0</v>
      </c>
      <c r="P251" s="347">
        <v>0</v>
      </c>
      <c r="Q251" s="347">
        <v>0</v>
      </c>
      <c r="R251" s="347">
        <v>0</v>
      </c>
      <c r="S251" s="347">
        <v>0</v>
      </c>
      <c r="T251" s="347">
        <v>0</v>
      </c>
      <c r="U251" s="347">
        <v>0</v>
      </c>
      <c r="V251" s="347">
        <v>0</v>
      </c>
      <c r="W251" s="347">
        <v>0</v>
      </c>
      <c r="X251" s="347">
        <v>0</v>
      </c>
      <c r="Y251" s="381">
        <v>0</v>
      </c>
      <c r="Z251" s="310">
        <f t="shared" si="120"/>
        <v>0</v>
      </c>
      <c r="AA251" s="312">
        <f t="shared" si="121"/>
        <v>0</v>
      </c>
      <c r="AB251" s="949">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50">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7">
        <f t="shared" si="122"/>
        <v>0</v>
      </c>
      <c r="AE251" s="1231">
        <f t="shared" si="125"/>
        <v>0</v>
      </c>
      <c r="AF251" s="1232">
        <f t="shared" si="126"/>
        <v>0</v>
      </c>
      <c r="AG251" s="1232">
        <f t="shared" si="127"/>
        <v>0</v>
      </c>
      <c r="AH251" s="1173">
        <f t="shared" si="123"/>
        <v>0</v>
      </c>
      <c r="AI251" s="1233">
        <f t="shared" si="124"/>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18"/>
        <v>0</v>
      </c>
      <c r="N252" s="284">
        <f t="shared" si="119"/>
        <v>0</v>
      </c>
      <c r="O252" s="342">
        <v>0</v>
      </c>
      <c r="P252" s="343">
        <v>0</v>
      </c>
      <c r="Q252" s="343">
        <v>0</v>
      </c>
      <c r="R252" s="343">
        <v>0</v>
      </c>
      <c r="S252" s="343">
        <v>0</v>
      </c>
      <c r="T252" s="343">
        <v>0</v>
      </c>
      <c r="U252" s="343">
        <v>0</v>
      </c>
      <c r="V252" s="343">
        <v>0</v>
      </c>
      <c r="W252" s="343">
        <v>0</v>
      </c>
      <c r="X252" s="343">
        <v>3.2779937161069097E-5</v>
      </c>
      <c r="Y252" s="379">
        <v>9.8580416606320535E-4</v>
      </c>
      <c r="Z252" s="282">
        <f t="shared" si="120"/>
        <v>8.968727190431292E-7</v>
      </c>
      <c r="AA252" s="284">
        <f t="shared" si="121"/>
        <v>1.0866518436118608E-7</v>
      </c>
      <c r="AB252" s="949">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50">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0.16889843268474264</v>
      </c>
      <c r="AD252" s="1227">
        <f t="shared" si="122"/>
        <v>0.16889843268474264</v>
      </c>
      <c r="AE252" s="1231">
        <f t="shared" si="125"/>
        <v>0</v>
      </c>
      <c r="AF252" s="1232">
        <f t="shared" si="126"/>
        <v>8.968727190431292E-7</v>
      </c>
      <c r="AG252" s="1232">
        <f t="shared" si="127"/>
        <v>8.968727190431292E-7</v>
      </c>
      <c r="AH252" s="1173">
        <f t="shared" si="123"/>
        <v>0</v>
      </c>
      <c r="AI252" s="1233">
        <f t="shared" si="124"/>
        <v>1</v>
      </c>
    </row>
    <row r="253" spans="1:35" x14ac:dyDescent="0.2">
      <c r="A253" s="330">
        <v>2027</v>
      </c>
      <c r="B253" s="344">
        <v>0</v>
      </c>
      <c r="C253" s="345">
        <v>0</v>
      </c>
      <c r="D253" s="345">
        <v>0</v>
      </c>
      <c r="E253" s="345">
        <v>0</v>
      </c>
      <c r="F253" s="345">
        <v>0</v>
      </c>
      <c r="G253" s="345">
        <v>0</v>
      </c>
      <c r="H253" s="345">
        <v>0</v>
      </c>
      <c r="I253" s="345">
        <v>0</v>
      </c>
      <c r="J253" s="345">
        <v>0</v>
      </c>
      <c r="K253" s="345">
        <v>7.4389376944895532E-4</v>
      </c>
      <c r="L253" s="380">
        <v>7.4389376944895532E-4</v>
      </c>
      <c r="M253" s="296">
        <f t="shared" si="118"/>
        <v>2.7600748576619256E-6</v>
      </c>
      <c r="N253" s="298">
        <f t="shared" si="119"/>
        <v>3.7621230025349355E-7</v>
      </c>
      <c r="O253" s="344">
        <v>0</v>
      </c>
      <c r="P253" s="345">
        <v>0</v>
      </c>
      <c r="Q253" s="345">
        <v>0</v>
      </c>
      <c r="R253" s="345">
        <v>0</v>
      </c>
      <c r="S253" s="345">
        <v>0</v>
      </c>
      <c r="T253" s="345">
        <v>0</v>
      </c>
      <c r="U253" s="345">
        <v>0</v>
      </c>
      <c r="V253" s="345">
        <v>0</v>
      </c>
      <c r="W253" s="345">
        <v>3.3018456833693E-4</v>
      </c>
      <c r="X253" s="345">
        <v>1.3764062729460839E-3</v>
      </c>
      <c r="Y253" s="380">
        <v>8.9825106295280104E-3</v>
      </c>
      <c r="Z253" s="296">
        <f t="shared" si="120"/>
        <v>9.2150662213584214E-6</v>
      </c>
      <c r="AA253" s="298">
        <f t="shared" si="121"/>
        <v>1.1518608008464199E-6</v>
      </c>
      <c r="AB253" s="949">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0.19082792372201707</v>
      </c>
      <c r="AC253" s="950">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0.1749972942499585</v>
      </c>
      <c r="AD253" s="1227">
        <f t="shared" si="122"/>
        <v>0.17864599634862016</v>
      </c>
      <c r="AE253" s="1231">
        <f t="shared" si="125"/>
        <v>2.7600748576619256E-6</v>
      </c>
      <c r="AF253" s="1232">
        <f t="shared" si="126"/>
        <v>9.2150662213584214E-6</v>
      </c>
      <c r="AG253" s="1232">
        <f t="shared" si="127"/>
        <v>1.1975141079020346E-5</v>
      </c>
      <c r="AH253" s="1173">
        <f t="shared" si="123"/>
        <v>0.23048370281811492</v>
      </c>
      <c r="AI253" s="1233">
        <f t="shared" si="124"/>
        <v>0.76951629718188519</v>
      </c>
    </row>
    <row r="254" spans="1:35" x14ac:dyDescent="0.2">
      <c r="A254" s="330">
        <v>2028</v>
      </c>
      <c r="B254" s="344">
        <v>0</v>
      </c>
      <c r="C254" s="345">
        <v>0</v>
      </c>
      <c r="D254" s="345">
        <v>0</v>
      </c>
      <c r="E254" s="345">
        <v>0</v>
      </c>
      <c r="F254" s="345">
        <v>0</v>
      </c>
      <c r="G254" s="345">
        <v>0</v>
      </c>
      <c r="H254" s="345">
        <v>0</v>
      </c>
      <c r="I254" s="345">
        <v>1.197702072547327E-4</v>
      </c>
      <c r="J254" s="345">
        <v>1.6988872247276614E-3</v>
      </c>
      <c r="K254" s="345">
        <v>1.1028911045293473E-2</v>
      </c>
      <c r="L254" s="380">
        <v>1.1028911045293473E-2</v>
      </c>
      <c r="M254" s="296">
        <f t="shared" si="118"/>
        <v>4.0920654713983597E-5</v>
      </c>
      <c r="N254" s="298">
        <f t="shared" si="119"/>
        <v>5.5776942408249748E-6</v>
      </c>
      <c r="O254" s="344">
        <v>0</v>
      </c>
      <c r="P254" s="345">
        <v>0</v>
      </c>
      <c r="Q254" s="345">
        <v>0</v>
      </c>
      <c r="R254" s="345">
        <v>0</v>
      </c>
      <c r="S254" s="345">
        <v>0</v>
      </c>
      <c r="T254" s="345">
        <v>0</v>
      </c>
      <c r="U254" s="345">
        <v>0</v>
      </c>
      <c r="V254" s="345">
        <v>1.0773008341057422E-3</v>
      </c>
      <c r="W254" s="345">
        <v>6.7695852195807909E-3</v>
      </c>
      <c r="X254" s="345">
        <v>1.3940020458341883E-2</v>
      </c>
      <c r="Y254" s="380">
        <v>3.8151473732686493E-2</v>
      </c>
      <c r="Z254" s="296">
        <f t="shared" si="120"/>
        <v>7.8668271099984122E-5</v>
      </c>
      <c r="AA254" s="298">
        <f t="shared" si="121"/>
        <v>1.1567295732152166E-5</v>
      </c>
      <c r="AB254" s="949">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0.19164511067369877</v>
      </c>
      <c r="AC254" s="950">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0.2067368274543317</v>
      </c>
      <c r="AD254" s="1227">
        <f t="shared" si="122"/>
        <v>0.20157277963620687</v>
      </c>
      <c r="AE254" s="1231">
        <f t="shared" si="125"/>
        <v>4.0920654713983597E-5</v>
      </c>
      <c r="AF254" s="1232">
        <f t="shared" si="126"/>
        <v>7.8668271099984122E-5</v>
      </c>
      <c r="AG254" s="1232">
        <f t="shared" si="127"/>
        <v>1.1958892581396772E-4</v>
      </c>
      <c r="AH254" s="1173">
        <f t="shared" si="123"/>
        <v>0.34217762585843176</v>
      </c>
      <c r="AI254" s="1233">
        <f t="shared" si="124"/>
        <v>0.6578223741415683</v>
      </c>
    </row>
    <row r="255" spans="1:35" x14ac:dyDescent="0.2">
      <c r="A255" s="330">
        <v>2029</v>
      </c>
      <c r="B255" s="344">
        <v>0</v>
      </c>
      <c r="C255" s="345">
        <v>0</v>
      </c>
      <c r="D255" s="345">
        <v>0</v>
      </c>
      <c r="E255" s="345">
        <v>0</v>
      </c>
      <c r="F255" s="345">
        <v>0</v>
      </c>
      <c r="G255" s="345">
        <v>0</v>
      </c>
      <c r="H255" s="345">
        <v>6.5986313430162408E-4</v>
      </c>
      <c r="I255" s="345">
        <v>4.0400205082580781E-3</v>
      </c>
      <c r="J255" s="345">
        <v>1.4332003486482765E-2</v>
      </c>
      <c r="K255" s="345">
        <v>4.0111526450987284E-2</v>
      </c>
      <c r="L255" s="380">
        <v>4.0111526450987284E-2</v>
      </c>
      <c r="M255" s="296">
        <f t="shared" si="118"/>
        <v>1.5859051436492195E-4</v>
      </c>
      <c r="N255" s="298">
        <f t="shared" si="119"/>
        <v>2.2256354139361728E-5</v>
      </c>
      <c r="O255" s="344">
        <v>0</v>
      </c>
      <c r="P255" s="345">
        <v>0</v>
      </c>
      <c r="Q255" s="345">
        <v>0</v>
      </c>
      <c r="R255" s="345">
        <v>0</v>
      </c>
      <c r="S255" s="345">
        <v>0</v>
      </c>
      <c r="T255" s="345">
        <v>0</v>
      </c>
      <c r="U255" s="345">
        <v>1.7027281040400504E-3</v>
      </c>
      <c r="V255" s="345">
        <v>1.139432565061326E-2</v>
      </c>
      <c r="W255" s="345">
        <v>3.0319098148837827E-2</v>
      </c>
      <c r="X255" s="345">
        <v>4.782098401741295E-2</v>
      </c>
      <c r="Y255" s="380">
        <v>8.1265183981874017E-2</v>
      </c>
      <c r="Z255" s="296">
        <f t="shared" si="120"/>
        <v>4.437324726950648E-4</v>
      </c>
      <c r="AA255" s="298">
        <f t="shared" si="121"/>
        <v>7.4000500327016115E-5</v>
      </c>
      <c r="AB255" s="949">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0.19815742580887349</v>
      </c>
      <c r="AC255" s="950">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0.23547617929666845</v>
      </c>
      <c r="AD255" s="1227">
        <f t="shared" si="122"/>
        <v>0.22565022139993335</v>
      </c>
      <c r="AE255" s="1231">
        <f t="shared" si="125"/>
        <v>1.5859051436492195E-4</v>
      </c>
      <c r="AF255" s="1232">
        <f t="shared" si="126"/>
        <v>4.437324726950648E-4</v>
      </c>
      <c r="AG255" s="1232">
        <f t="shared" si="127"/>
        <v>6.0232298705998678E-4</v>
      </c>
      <c r="AH255" s="1173">
        <f t="shared" si="123"/>
        <v>0.26329812703815592</v>
      </c>
      <c r="AI255" s="1233">
        <f t="shared" si="124"/>
        <v>0.73670187296184397</v>
      </c>
    </row>
    <row r="256" spans="1:35" ht="15" thickBot="1" x14ac:dyDescent="0.25">
      <c r="A256" s="328">
        <v>2030</v>
      </c>
      <c r="B256" s="346">
        <v>0</v>
      </c>
      <c r="C256" s="347">
        <v>0</v>
      </c>
      <c r="D256" s="347">
        <v>0</v>
      </c>
      <c r="E256" s="347">
        <v>0</v>
      </c>
      <c r="F256" s="347">
        <v>0</v>
      </c>
      <c r="G256" s="347">
        <v>9.0335374390242585E-5</v>
      </c>
      <c r="H256" s="347">
        <v>1.2727958240574162E-2</v>
      </c>
      <c r="I256" s="347">
        <v>2.7743890902743561E-2</v>
      </c>
      <c r="J256" s="347">
        <v>5.3231949098103332E-2</v>
      </c>
      <c r="K256" s="347">
        <v>8.9927856606654338E-2</v>
      </c>
      <c r="L256" s="381">
        <v>8.9927856606654338E-2</v>
      </c>
      <c r="M256" s="310">
        <f t="shared" si="118"/>
        <v>5.220478047291287E-4</v>
      </c>
      <c r="N256" s="312">
        <f t="shared" si="119"/>
        <v>8.3501760067383908E-5</v>
      </c>
      <c r="O256" s="346">
        <v>0</v>
      </c>
      <c r="P256" s="347">
        <v>0</v>
      </c>
      <c r="Q256" s="347">
        <v>0</v>
      </c>
      <c r="R256" s="347">
        <v>0</v>
      </c>
      <c r="S256" s="347">
        <v>0</v>
      </c>
      <c r="T256" s="347">
        <v>2.2372082610077684E-3</v>
      </c>
      <c r="U256" s="347">
        <v>1.8059723729747547E-2</v>
      </c>
      <c r="V256" s="347">
        <v>4.8837916096470362E-2</v>
      </c>
      <c r="W256" s="347">
        <v>7.8397788295693244E-2</v>
      </c>
      <c r="X256" s="347">
        <v>9.5920946713601324E-2</v>
      </c>
      <c r="Y256" s="381">
        <v>0.1270219211613495</v>
      </c>
      <c r="Z256" s="310">
        <f t="shared" si="120"/>
        <v>1.7832513644611019E-3</v>
      </c>
      <c r="AA256" s="312">
        <f t="shared" si="121"/>
        <v>3.2009109869811418E-4</v>
      </c>
      <c r="AB256" s="949">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0.22680832170144943</v>
      </c>
      <c r="AC256" s="950">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0.2545274703643538</v>
      </c>
      <c r="AD256" s="1227">
        <f t="shared" si="122"/>
        <v>0.24825031514657239</v>
      </c>
      <c r="AE256" s="1231">
        <f t="shared" si="125"/>
        <v>5.220478047291287E-4</v>
      </c>
      <c r="AF256" s="1232">
        <f t="shared" si="126"/>
        <v>1.7832513644611019E-3</v>
      </c>
      <c r="AG256" s="1232">
        <f t="shared" si="127"/>
        <v>2.3052991691902306E-3</v>
      </c>
      <c r="AH256" s="1173">
        <f t="shared" si="123"/>
        <v>0.22645555583681812</v>
      </c>
      <c r="AI256" s="1233">
        <f t="shared" si="124"/>
        <v>0.77354444416318191</v>
      </c>
    </row>
    <row r="257" spans="1:35" x14ac:dyDescent="0.2">
      <c r="A257" s="329">
        <v>2031</v>
      </c>
      <c r="B257" s="342">
        <v>0</v>
      </c>
      <c r="C257" s="343">
        <v>0</v>
      </c>
      <c r="D257" s="343">
        <v>0</v>
      </c>
      <c r="E257" s="343">
        <v>0</v>
      </c>
      <c r="F257" s="343">
        <v>0</v>
      </c>
      <c r="G257" s="343">
        <v>1.2640312796108209E-3</v>
      </c>
      <c r="H257" s="343">
        <v>3.1938222304637609E-2</v>
      </c>
      <c r="I257" s="343">
        <v>5.550266315865849E-2</v>
      </c>
      <c r="J257" s="343">
        <v>8.1421428692019251E-2</v>
      </c>
      <c r="K257" s="343">
        <v>0.11840070244432359</v>
      </c>
      <c r="L257" s="379">
        <v>0.11840070244432359</v>
      </c>
      <c r="M257" s="282">
        <f t="shared" si="118"/>
        <v>9.125322331642342E-4</v>
      </c>
      <c r="N257" s="284">
        <f t="shared" si="119"/>
        <v>1.5542377575413586E-4</v>
      </c>
      <c r="O257" s="342">
        <v>0</v>
      </c>
      <c r="P257" s="343">
        <v>0</v>
      </c>
      <c r="Q257" s="343">
        <v>0</v>
      </c>
      <c r="R257" s="343">
        <v>0</v>
      </c>
      <c r="S257" s="343">
        <v>4.7993787939218157E-4</v>
      </c>
      <c r="T257" s="343">
        <v>9.2725444980860522E-3</v>
      </c>
      <c r="U257" s="343">
        <v>3.8838021965744554E-2</v>
      </c>
      <c r="V257" s="343">
        <v>7.5728616481284539E-2</v>
      </c>
      <c r="W257" s="343">
        <v>0.10553909766605771</v>
      </c>
      <c r="X257" s="343">
        <v>0.12489796085302968</v>
      </c>
      <c r="Y257" s="379">
        <v>0.15040273832381634</v>
      </c>
      <c r="Z257" s="282">
        <f t="shared" si="120"/>
        <v>2.963302754795167E-3</v>
      </c>
      <c r="AA257" s="284">
        <f t="shared" si="121"/>
        <v>5.4792432161236075E-4</v>
      </c>
      <c r="AB257" s="949">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0.24252010322971904</v>
      </c>
      <c r="AC257" s="950">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0.26328314491252602</v>
      </c>
      <c r="AD257" s="1227">
        <f t="shared" si="122"/>
        <v>0.25839466414568374</v>
      </c>
      <c r="AE257" s="1231">
        <f t="shared" si="125"/>
        <v>9.125322331642342E-4</v>
      </c>
      <c r="AF257" s="1232">
        <f t="shared" si="126"/>
        <v>2.963302754795167E-3</v>
      </c>
      <c r="AG257" s="1232">
        <f t="shared" si="127"/>
        <v>3.8758349879594012E-3</v>
      </c>
      <c r="AH257" s="1173">
        <f t="shared" si="123"/>
        <v>0.23544145609890263</v>
      </c>
      <c r="AI257" s="1233">
        <f t="shared" si="124"/>
        <v>0.76455854390109734</v>
      </c>
    </row>
    <row r="258" spans="1:35" x14ac:dyDescent="0.2">
      <c r="A258" s="330">
        <v>2032</v>
      </c>
      <c r="B258" s="344">
        <v>0</v>
      </c>
      <c r="C258" s="345">
        <v>0</v>
      </c>
      <c r="D258" s="345">
        <v>0</v>
      </c>
      <c r="E258" s="345">
        <v>0</v>
      </c>
      <c r="F258" s="345">
        <v>2.9718513029363162E-4</v>
      </c>
      <c r="G258" s="345">
        <v>5.6929377811181809E-3</v>
      </c>
      <c r="H258" s="345">
        <v>5.2675668684535458E-2</v>
      </c>
      <c r="I258" s="345">
        <v>7.8537061469029432E-2</v>
      </c>
      <c r="J258" s="345">
        <v>0.10901933926348668</v>
      </c>
      <c r="K258" s="345">
        <v>0.1418095262641568</v>
      </c>
      <c r="L258" s="380">
        <v>0.1418095262641568</v>
      </c>
      <c r="M258" s="296">
        <f t="shared" si="118"/>
        <v>1.3146673227525164E-3</v>
      </c>
      <c r="N258" s="298">
        <f t="shared" si="119"/>
        <v>2.3172176410988138E-4</v>
      </c>
      <c r="O258" s="344">
        <v>0</v>
      </c>
      <c r="P258" s="345">
        <v>0</v>
      </c>
      <c r="Q258" s="345">
        <v>0</v>
      </c>
      <c r="R258" s="345">
        <v>0</v>
      </c>
      <c r="S258" s="345">
        <v>2.8493206015959079E-3</v>
      </c>
      <c r="T258" s="345">
        <v>2.2003487308221371E-2</v>
      </c>
      <c r="U258" s="345">
        <v>6.7740923252008159E-2</v>
      </c>
      <c r="V258" s="345">
        <v>0.10253114480229937</v>
      </c>
      <c r="W258" s="345">
        <v>0.13518829198422247</v>
      </c>
      <c r="X258" s="345">
        <v>0.14835635442468281</v>
      </c>
      <c r="Y258" s="380">
        <v>0.17288412052641058</v>
      </c>
      <c r="Z258" s="296">
        <f t="shared" si="120"/>
        <v>4.405702252662431E-3</v>
      </c>
      <c r="AA258" s="298">
        <f t="shared" si="121"/>
        <v>8.362342233282251E-4</v>
      </c>
      <c r="AB258" s="949">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0.25201527524194872</v>
      </c>
      <c r="AC258" s="950">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0.27138678830289131</v>
      </c>
      <c r="AD258" s="1227">
        <f t="shared" si="122"/>
        <v>0.26693478657857134</v>
      </c>
      <c r="AE258" s="1231">
        <f t="shared" si="125"/>
        <v>1.3146673227525164E-3</v>
      </c>
      <c r="AF258" s="1232">
        <f t="shared" si="126"/>
        <v>4.405702252662431E-3</v>
      </c>
      <c r="AG258" s="1232">
        <f t="shared" si="127"/>
        <v>5.7203695754149478E-3</v>
      </c>
      <c r="AH258" s="1173">
        <f t="shared" si="123"/>
        <v>0.22982209548185567</v>
      </c>
      <c r="AI258" s="1233">
        <f t="shared" si="124"/>
        <v>0.77017790451814427</v>
      </c>
    </row>
    <row r="259" spans="1:35" x14ac:dyDescent="0.2">
      <c r="A259" s="330">
        <v>2033</v>
      </c>
      <c r="B259" s="344">
        <v>0</v>
      </c>
      <c r="C259" s="345">
        <v>0</v>
      </c>
      <c r="D259" s="345">
        <v>0</v>
      </c>
      <c r="E259" s="345">
        <v>0</v>
      </c>
      <c r="F259" s="345">
        <v>2.9599823763449104E-3</v>
      </c>
      <c r="G259" s="345">
        <v>2.0559467654334657E-2</v>
      </c>
      <c r="H259" s="345">
        <v>8.7161088716852783E-2</v>
      </c>
      <c r="I259" s="345">
        <v>0.11233992520596171</v>
      </c>
      <c r="J259" s="345">
        <v>0.13913153210756773</v>
      </c>
      <c r="K259" s="345">
        <v>0.16514151784870484</v>
      </c>
      <c r="L259" s="380">
        <v>0.16514151784870484</v>
      </c>
      <c r="M259" s="296">
        <f t="shared" si="118"/>
        <v>1.974786723594493E-3</v>
      </c>
      <c r="N259" s="298">
        <f t="shared" si="119"/>
        <v>3.6593064718000554E-4</v>
      </c>
      <c r="O259" s="344">
        <v>0</v>
      </c>
      <c r="P259" s="345">
        <v>0</v>
      </c>
      <c r="Q259" s="345">
        <v>0</v>
      </c>
      <c r="R259" s="345">
        <v>4.4755867449187232E-4</v>
      </c>
      <c r="S259" s="345">
        <v>1.1452389676357528E-2</v>
      </c>
      <c r="T259" s="345">
        <v>4.6042752427494678E-2</v>
      </c>
      <c r="U259" s="345">
        <v>9.2979450649436357E-2</v>
      </c>
      <c r="V259" s="345">
        <v>0.13230796795136532</v>
      </c>
      <c r="W259" s="345">
        <v>0.15872811449070329</v>
      </c>
      <c r="X259" s="345">
        <v>0.17135957939254901</v>
      </c>
      <c r="Y259" s="380">
        <v>0.1882820751209571</v>
      </c>
      <c r="Z259" s="296">
        <f t="shared" si="120"/>
        <v>6.0528983122820909E-3</v>
      </c>
      <c r="AA259" s="298">
        <f t="shared" si="121"/>
        <v>1.1872448798036211E-3</v>
      </c>
      <c r="AB259" s="949">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0.26603849863616064</v>
      </c>
      <c r="AC259" s="950">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0.28160660103419927</v>
      </c>
      <c r="AD259" s="1227">
        <f>AB259*AH259+AC259*AI259</f>
        <v>0.27777689399041144</v>
      </c>
      <c r="AE259" s="1231">
        <f t="shared" si="125"/>
        <v>1.974786723594493E-3</v>
      </c>
      <c r="AF259" s="1232">
        <f t="shared" si="126"/>
        <v>6.0528983122820909E-3</v>
      </c>
      <c r="AG259" s="1232">
        <f t="shared" si="127"/>
        <v>8.0276850358765844E-3</v>
      </c>
      <c r="AH259" s="1173">
        <f t="shared" si="123"/>
        <v>0.24599703585391799</v>
      </c>
      <c r="AI259" s="1233">
        <f t="shared" si="124"/>
        <v>0.75400296414608192</v>
      </c>
    </row>
    <row r="260" spans="1:35" x14ac:dyDescent="0.2">
      <c r="A260" s="330">
        <v>2034</v>
      </c>
      <c r="B260" s="344">
        <v>0</v>
      </c>
      <c r="C260" s="345">
        <v>0</v>
      </c>
      <c r="D260" s="345">
        <v>0</v>
      </c>
      <c r="E260" s="345">
        <v>1.889117359830523E-4</v>
      </c>
      <c r="F260" s="345">
        <v>1.046172775693196E-2</v>
      </c>
      <c r="G260" s="345">
        <v>3.9665268538807058E-2</v>
      </c>
      <c r="H260" s="345">
        <v>0.1159120752197139</v>
      </c>
      <c r="I260" s="345">
        <v>0.13595498831328287</v>
      </c>
      <c r="J260" s="345">
        <v>0.16290770290662973</v>
      </c>
      <c r="K260" s="345">
        <v>0.18138082165535677</v>
      </c>
      <c r="L260" s="380">
        <v>0.18138082165535677</v>
      </c>
      <c r="M260" s="296">
        <f t="shared" si="118"/>
        <v>2.6360777524562589E-3</v>
      </c>
      <c r="N260" s="298">
        <f t="shared" si="119"/>
        <v>5.1505162141689275E-4</v>
      </c>
      <c r="O260" s="344">
        <v>0</v>
      </c>
      <c r="P260" s="345">
        <v>0</v>
      </c>
      <c r="Q260" s="345">
        <v>0</v>
      </c>
      <c r="R260" s="345">
        <v>3.1365155156633322E-3</v>
      </c>
      <c r="S260" s="345">
        <v>2.952248786777651E-2</v>
      </c>
      <c r="T260" s="345">
        <v>7.1935281194262179E-2</v>
      </c>
      <c r="U260" s="345">
        <v>0.12229817639615212</v>
      </c>
      <c r="V260" s="345">
        <v>0.15619771113211522</v>
      </c>
      <c r="W260" s="345">
        <v>0.17529044316846423</v>
      </c>
      <c r="X260" s="345">
        <v>0.18718989734919722</v>
      </c>
      <c r="Y260" s="380">
        <v>0.20235740168900809</v>
      </c>
      <c r="Z260" s="296">
        <f t="shared" si="120"/>
        <v>7.9462987688397064E-3</v>
      </c>
      <c r="AA260" s="298">
        <f t="shared" si="121"/>
        <v>1.6342779625076779E-3</v>
      </c>
      <c r="AB260" s="949">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0.28167032492677624</v>
      </c>
      <c r="AC260" s="950">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0.29648968355462946</v>
      </c>
      <c r="AD260" s="1227">
        <f t="shared" ref="AD260:AD276" si="128">AB260*AH260+AC260*AI260</f>
        <v>0.29279817045207257</v>
      </c>
      <c r="AE260" s="1231">
        <f t="shared" si="125"/>
        <v>2.6360777524562589E-3</v>
      </c>
      <c r="AF260" s="1232">
        <f t="shared" si="126"/>
        <v>7.9462987688397064E-3</v>
      </c>
      <c r="AG260" s="1232">
        <f t="shared" si="127"/>
        <v>1.0582376521295966E-2</v>
      </c>
      <c r="AH260" s="1173">
        <f t="shared" si="123"/>
        <v>0.24910073338927397</v>
      </c>
      <c r="AI260" s="1233">
        <f t="shared" si="124"/>
        <v>0.75089926661072603</v>
      </c>
    </row>
    <row r="261" spans="1:35" ht="15" thickBot="1" x14ac:dyDescent="0.25">
      <c r="A261" s="328">
        <v>2035</v>
      </c>
      <c r="B261" s="346">
        <v>0</v>
      </c>
      <c r="C261" s="347">
        <v>0</v>
      </c>
      <c r="D261" s="347">
        <v>0</v>
      </c>
      <c r="E261" s="347">
        <v>2.7670105732094949E-3</v>
      </c>
      <c r="F261" s="347">
        <v>3.0231320939035043E-2</v>
      </c>
      <c r="G261" s="347">
        <v>7.459844044882713E-2</v>
      </c>
      <c r="H261" s="347">
        <v>0.14641160296624361</v>
      </c>
      <c r="I261" s="347">
        <v>0.16694535286539061</v>
      </c>
      <c r="J261" s="347">
        <v>0.17950497439126806</v>
      </c>
      <c r="K261" s="347">
        <v>0.20168536052102054</v>
      </c>
      <c r="L261" s="381">
        <v>0.20168536052102054</v>
      </c>
      <c r="M261" s="310">
        <f t="shared" si="118"/>
        <v>3.712274728896296E-3</v>
      </c>
      <c r="N261" s="312">
        <f t="shared" si="119"/>
        <v>7.9584631209958338E-4</v>
      </c>
      <c r="O261" s="346">
        <v>0</v>
      </c>
      <c r="P261" s="347">
        <v>0</v>
      </c>
      <c r="Q261" s="347">
        <v>0</v>
      </c>
      <c r="R261" s="347">
        <v>1.4030438929258173E-2</v>
      </c>
      <c r="S261" s="347">
        <v>5.9153067600664341E-2</v>
      </c>
      <c r="T261" s="347">
        <v>0.1053455420209481</v>
      </c>
      <c r="U261" s="347">
        <v>0.15348494630630924</v>
      </c>
      <c r="V261" s="347">
        <v>0.17950497439126806</v>
      </c>
      <c r="W261" s="347">
        <v>0.19665174114820166</v>
      </c>
      <c r="X261" s="347">
        <v>0.20185765282988585</v>
      </c>
      <c r="Y261" s="381">
        <v>0.21082618335718656</v>
      </c>
      <c r="Z261" s="310">
        <f t="shared" si="120"/>
        <v>1.0633399943562631E-2</v>
      </c>
      <c r="AA261" s="312">
        <f t="shared" si="121"/>
        <v>2.3541296319586078E-3</v>
      </c>
      <c r="AB261" s="949">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0.31032231923741443</v>
      </c>
      <c r="AC261" s="950">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0.32046613180092853</v>
      </c>
      <c r="AD261" s="1227">
        <f t="shared" si="128"/>
        <v>0.31784118596227184</v>
      </c>
      <c r="AE261" s="1231">
        <f t="shared" si="125"/>
        <v>3.712274728896296E-3</v>
      </c>
      <c r="AF261" s="1232">
        <f t="shared" si="126"/>
        <v>1.0633399943562631E-2</v>
      </c>
      <c r="AG261" s="1232">
        <f t="shared" si="127"/>
        <v>1.4345674672458926E-2</v>
      </c>
      <c r="AH261" s="1173">
        <f t="shared" si="123"/>
        <v>0.25877310155535488</v>
      </c>
      <c r="AI261" s="1233">
        <f t="shared" si="124"/>
        <v>0.74122689844464518</v>
      </c>
    </row>
    <row r="262" spans="1:35" x14ac:dyDescent="0.2">
      <c r="A262" s="329">
        <v>2036</v>
      </c>
      <c r="B262" s="342">
        <v>0</v>
      </c>
      <c r="C262" s="343">
        <v>0</v>
      </c>
      <c r="D262" s="343">
        <v>0</v>
      </c>
      <c r="E262" s="343">
        <v>5.6839580537636778E-3</v>
      </c>
      <c r="F262" s="343">
        <v>4.0946810109335249E-2</v>
      </c>
      <c r="G262" s="343">
        <v>8.747442420742027E-2</v>
      </c>
      <c r="H262" s="343">
        <v>0.15421470849719529</v>
      </c>
      <c r="I262" s="343">
        <v>0.16700815777536016</v>
      </c>
      <c r="J262" s="343">
        <v>0.18564408789059131</v>
      </c>
      <c r="K262" s="343">
        <v>0.20193186859373699</v>
      </c>
      <c r="L262" s="379">
        <v>0.20193186859373699</v>
      </c>
      <c r="M262" s="282">
        <f t="shared" si="118"/>
        <v>4.1924708652788783E-3</v>
      </c>
      <c r="N262" s="284">
        <f t="shared" si="119"/>
        <v>9.423259258614623E-4</v>
      </c>
      <c r="O262" s="342">
        <v>0</v>
      </c>
      <c r="P262" s="343">
        <v>0</v>
      </c>
      <c r="Q262" s="343">
        <v>0</v>
      </c>
      <c r="R262" s="343">
        <v>2.0028655201120793E-2</v>
      </c>
      <c r="S262" s="343">
        <v>6.9959738580754979E-2</v>
      </c>
      <c r="T262" s="343">
        <v>0.1200579577554937</v>
      </c>
      <c r="U262" s="343">
        <v>0.16122660256021321</v>
      </c>
      <c r="V262" s="343">
        <v>0.17957229572402847</v>
      </c>
      <c r="W262" s="343">
        <v>0.1967244817193142</v>
      </c>
      <c r="X262" s="343">
        <v>0.20193186859373699</v>
      </c>
      <c r="Y262" s="379">
        <v>0.21476095248646659</v>
      </c>
      <c r="Z262" s="282">
        <f t="shared" si="120"/>
        <v>1.1484764020880101E-2</v>
      </c>
      <c r="AA262" s="284">
        <f t="shared" si="121"/>
        <v>2.6182171743436527E-3</v>
      </c>
      <c r="AB262" s="949">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0.32596329805048602</v>
      </c>
      <c r="AC262" s="950">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0.33061397552362704</v>
      </c>
      <c r="AD262" s="1227">
        <f t="shared" si="128"/>
        <v>0.32937027215683201</v>
      </c>
      <c r="AE262" s="1231">
        <f t="shared" si="125"/>
        <v>4.1924708652788783E-3</v>
      </c>
      <c r="AF262" s="1232">
        <f t="shared" si="126"/>
        <v>1.1484764020880101E-2</v>
      </c>
      <c r="AG262" s="1232">
        <f t="shared" si="127"/>
        <v>1.5677234886158978E-2</v>
      </c>
      <c r="AH262" s="1173">
        <f t="shared" si="123"/>
        <v>0.26742412777015301</v>
      </c>
      <c r="AI262" s="1233">
        <f t="shared" si="124"/>
        <v>0.7325758722298471</v>
      </c>
    </row>
    <row r="263" spans="1:35" x14ac:dyDescent="0.2">
      <c r="A263" s="330">
        <v>2037</v>
      </c>
      <c r="B263" s="344">
        <v>0</v>
      </c>
      <c r="C263" s="345">
        <v>0</v>
      </c>
      <c r="D263" s="345">
        <v>0</v>
      </c>
      <c r="E263" s="345">
        <v>8.5192114268127384E-3</v>
      </c>
      <c r="F263" s="345">
        <v>4.9976661435426076E-2</v>
      </c>
      <c r="G263" s="345">
        <v>9.3375054394950058E-2</v>
      </c>
      <c r="H263" s="345">
        <v>0.15419202759274694</v>
      </c>
      <c r="I263" s="345">
        <v>0.17366171756772281</v>
      </c>
      <c r="J263" s="345">
        <v>0.19153079003227669</v>
      </c>
      <c r="K263" s="345">
        <v>0.20190397944261212</v>
      </c>
      <c r="L263" s="380">
        <v>0.20190397944261212</v>
      </c>
      <c r="M263" s="296">
        <f t="shared" si="118"/>
        <v>4.51329590598423E-3</v>
      </c>
      <c r="N263" s="298">
        <f t="shared" si="119"/>
        <v>1.0518899531416575E-3</v>
      </c>
      <c r="O263" s="344">
        <v>0</v>
      </c>
      <c r="P263" s="345">
        <v>0</v>
      </c>
      <c r="Q263" s="345">
        <v>0</v>
      </c>
      <c r="R263" s="345">
        <v>2.7945388246909675E-2</v>
      </c>
      <c r="S263" s="345">
        <v>7.5743114361268959E-2</v>
      </c>
      <c r="T263" s="345">
        <v>0.12709384105484914</v>
      </c>
      <c r="U263" s="345">
        <v>0.16050758135678694</v>
      </c>
      <c r="V263" s="345">
        <v>0.18575131216979249</v>
      </c>
      <c r="W263" s="345">
        <v>0.19669711925655564</v>
      </c>
      <c r="X263" s="345">
        <v>0.20670244944172594</v>
      </c>
      <c r="Y263" s="380">
        <v>0.21473180925475699</v>
      </c>
      <c r="Z263" s="296">
        <f t="shared" si="120"/>
        <v>1.2239471586519581E-2</v>
      </c>
      <c r="AA263" s="298">
        <f t="shared" si="121"/>
        <v>2.8662725546888235E-3</v>
      </c>
      <c r="AB263" s="949">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0.33863067581097489</v>
      </c>
      <c r="AC263" s="950">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0.34025507785424097</v>
      </c>
      <c r="AD263" s="1227">
        <f t="shared" si="128"/>
        <v>0.33981745421415727</v>
      </c>
      <c r="AE263" s="1231">
        <f t="shared" si="125"/>
        <v>4.51329590598423E-3</v>
      </c>
      <c r="AF263" s="1232">
        <f t="shared" si="126"/>
        <v>1.2239471586519581E-2</v>
      </c>
      <c r="AG263" s="1232">
        <f t="shared" si="127"/>
        <v>1.675276749250381E-2</v>
      </c>
      <c r="AH263" s="1173">
        <f t="shared" si="123"/>
        <v>0.26940598966730411</v>
      </c>
      <c r="AI263" s="1233">
        <f t="shared" si="124"/>
        <v>0.73059401033269589</v>
      </c>
    </row>
    <row r="264" spans="1:35" x14ac:dyDescent="0.2">
      <c r="A264" s="330">
        <v>2038</v>
      </c>
      <c r="B264" s="344">
        <v>0</v>
      </c>
      <c r="C264" s="345">
        <v>0</v>
      </c>
      <c r="D264" s="345">
        <v>0</v>
      </c>
      <c r="E264" s="345">
        <v>1.4146814384793009E-2</v>
      </c>
      <c r="F264" s="345">
        <v>5.9712535524643562E-2</v>
      </c>
      <c r="G264" s="345">
        <v>9.9267044281689351E-2</v>
      </c>
      <c r="H264" s="345">
        <v>0.1604830777287744</v>
      </c>
      <c r="I264" s="345">
        <v>0.18010412950415625</v>
      </c>
      <c r="J264" s="345">
        <v>0.19150266655667855</v>
      </c>
      <c r="K264" s="345">
        <v>0.20667268792847224</v>
      </c>
      <c r="L264" s="380">
        <v>0.20667268792847224</v>
      </c>
      <c r="M264" s="296">
        <f t="shared" si="118"/>
        <v>5.086830426743366E-3</v>
      </c>
      <c r="N264" s="298">
        <f t="shared" si="119"/>
        <v>1.2362157449764943E-3</v>
      </c>
      <c r="O264" s="344">
        <v>0</v>
      </c>
      <c r="P264" s="345">
        <v>0</v>
      </c>
      <c r="Q264" s="345">
        <v>2.1669495495906703E-4</v>
      </c>
      <c r="R264" s="345">
        <v>3.4450291671630502E-2</v>
      </c>
      <c r="S264" s="345">
        <v>8.744387676146359E-2</v>
      </c>
      <c r="T264" s="345">
        <v>0.13365053525398754</v>
      </c>
      <c r="U264" s="345">
        <v>0.16734049900242001</v>
      </c>
      <c r="V264" s="345">
        <v>0.18572383662978642</v>
      </c>
      <c r="W264" s="345">
        <v>0.20187472664535613</v>
      </c>
      <c r="X264" s="345">
        <v>0.20667268792847224</v>
      </c>
      <c r="Y264" s="380">
        <v>0.21470121586734903</v>
      </c>
      <c r="Z264" s="296">
        <f t="shared" si="120"/>
        <v>1.3062808707754036E-2</v>
      </c>
      <c r="AA264" s="298">
        <f t="shared" si="121"/>
        <v>3.1331277109811167E-3</v>
      </c>
      <c r="AB264" s="949">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0.35375898118321814</v>
      </c>
      <c r="AC264" s="950">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0.34914191918166632</v>
      </c>
      <c r="AD264" s="1227">
        <f t="shared" si="128"/>
        <v>0.35043595105181041</v>
      </c>
      <c r="AE264" s="1231">
        <f t="shared" si="125"/>
        <v>5.086830426743366E-3</v>
      </c>
      <c r="AF264" s="1232">
        <f t="shared" si="126"/>
        <v>1.3062808707754036E-2</v>
      </c>
      <c r="AG264" s="1232">
        <f t="shared" si="127"/>
        <v>1.8149639134497401E-2</v>
      </c>
      <c r="AH264" s="1173">
        <f t="shared" si="123"/>
        <v>0.2802717116879046</v>
      </c>
      <c r="AI264" s="1233">
        <f t="shared" si="124"/>
        <v>0.71972828831209545</v>
      </c>
    </row>
    <row r="265" spans="1:35" x14ac:dyDescent="0.2">
      <c r="A265" s="330">
        <v>2039</v>
      </c>
      <c r="B265" s="344">
        <v>0</v>
      </c>
      <c r="C265" s="345">
        <v>0</v>
      </c>
      <c r="D265" s="345">
        <v>0</v>
      </c>
      <c r="E265" s="345">
        <v>2.2939532272219142E-2</v>
      </c>
      <c r="F265" s="345">
        <v>6.9924498624081649E-2</v>
      </c>
      <c r="G265" s="345">
        <v>0.11295236905420995</v>
      </c>
      <c r="H265" s="345">
        <v>0.16731475766172096</v>
      </c>
      <c r="I265" s="345">
        <v>0.17949277027409777</v>
      </c>
      <c r="J265" s="345">
        <v>0.19705694936307133</v>
      </c>
      <c r="K265" s="345">
        <v>0.20646733228524408</v>
      </c>
      <c r="L265" s="380">
        <v>0.20646733228524408</v>
      </c>
      <c r="M265" s="296">
        <f t="shared" si="118"/>
        <v>5.8072924534743218E-3</v>
      </c>
      <c r="N265" s="298">
        <f t="shared" si="119"/>
        <v>1.4791523728028076E-3</v>
      </c>
      <c r="O265" s="344">
        <v>0</v>
      </c>
      <c r="P265" s="345">
        <v>0</v>
      </c>
      <c r="Q265" s="345">
        <v>1.0318795163008938E-3</v>
      </c>
      <c r="R265" s="345">
        <v>4.620972541903437E-2</v>
      </c>
      <c r="S265" s="345">
        <v>0.10056443753398378</v>
      </c>
      <c r="T265" s="345">
        <v>0.14082595250233312</v>
      </c>
      <c r="U265" s="345">
        <v>0.17400292586570276</v>
      </c>
      <c r="V265" s="345">
        <v>0.19161046883739247</v>
      </c>
      <c r="W265" s="345">
        <v>0.20184498275272852</v>
      </c>
      <c r="X265" s="345">
        <v>0.21081343139302708</v>
      </c>
      <c r="Y265" s="380">
        <v>0.21799449649460217</v>
      </c>
      <c r="Z265" s="296">
        <f t="shared" si="120"/>
        <v>1.4387349467936385E-2</v>
      </c>
      <c r="AA265" s="298">
        <f t="shared" si="121"/>
        <v>3.575659620812759E-3</v>
      </c>
      <c r="AB265" s="949">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0.37145724770774574</v>
      </c>
      <c r="AC265" s="950">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0.36244740684851984</v>
      </c>
      <c r="AD265" s="1227">
        <f t="shared" si="128"/>
        <v>0.36503833076944925</v>
      </c>
      <c r="AE265" s="1231">
        <f t="shared" si="125"/>
        <v>5.8072924534743218E-3</v>
      </c>
      <c r="AF265" s="1232">
        <f t="shared" si="126"/>
        <v>1.4387349467936385E-2</v>
      </c>
      <c r="AG265" s="1232">
        <f t="shared" si="127"/>
        <v>2.0194641921410707E-2</v>
      </c>
      <c r="AH265" s="1173">
        <f t="shared" si="123"/>
        <v>0.28756600270873484</v>
      </c>
      <c r="AI265" s="1233">
        <f t="shared" si="124"/>
        <v>0.71243399729126511</v>
      </c>
    </row>
    <row r="266" spans="1:35" ht="15" thickBot="1" x14ac:dyDescent="0.25">
      <c r="A266" s="328">
        <v>2040</v>
      </c>
      <c r="B266" s="346">
        <v>0</v>
      </c>
      <c r="C266" s="347">
        <v>0</v>
      </c>
      <c r="D266" s="347">
        <v>1.8526540408436473E-4</v>
      </c>
      <c r="E266" s="347">
        <v>3.5208789355945222E-2</v>
      </c>
      <c r="F266" s="347">
        <v>8.8037092802701222E-2</v>
      </c>
      <c r="G266" s="347">
        <v>0.11998122256373932</v>
      </c>
      <c r="H266" s="347">
        <v>0.17397618519763172</v>
      </c>
      <c r="I266" s="347">
        <v>0.18566778078715659</v>
      </c>
      <c r="J266" s="347">
        <v>0.19702751993279299</v>
      </c>
      <c r="K266" s="347">
        <v>0.21078249352037887</v>
      </c>
      <c r="L266" s="381">
        <v>0.21078249352037887</v>
      </c>
      <c r="M266" s="310">
        <f t="shared" si="118"/>
        <v>6.8789658219209618E-3</v>
      </c>
      <c r="N266" s="312">
        <f t="shared" si="119"/>
        <v>1.8450963457311946E-3</v>
      </c>
      <c r="O266" s="346">
        <v>0</v>
      </c>
      <c r="P266" s="347">
        <v>0</v>
      </c>
      <c r="Q266" s="347">
        <v>3.5848107366099153E-3</v>
      </c>
      <c r="R266" s="347">
        <v>6.0277202732133481E-2</v>
      </c>
      <c r="S266" s="347">
        <v>0.10739056162972289</v>
      </c>
      <c r="T266" s="347">
        <v>0.14798608195259214</v>
      </c>
      <c r="U266" s="347">
        <v>0.18045457380642418</v>
      </c>
      <c r="V266" s="347">
        <v>0.19716664689103813</v>
      </c>
      <c r="W266" s="347">
        <v>0.20661193552862772</v>
      </c>
      <c r="X266" s="347">
        <v>0.21078249352037887</v>
      </c>
      <c r="Y266" s="381">
        <v>0.21796279950467101</v>
      </c>
      <c r="Z266" s="310">
        <f t="shared" si="120"/>
        <v>1.5893062968819902E-2</v>
      </c>
      <c r="AA266" s="312">
        <f t="shared" si="121"/>
        <v>4.1195013402575021E-3</v>
      </c>
      <c r="AB266" s="949">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0.39189810829749411</v>
      </c>
      <c r="AC266" s="950">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0.37871657631729927</v>
      </c>
      <c r="AD266" s="1227">
        <f t="shared" si="128"/>
        <v>0.3826984484994207</v>
      </c>
      <c r="AE266" s="1231">
        <f t="shared" si="125"/>
        <v>6.8789658219209618E-3</v>
      </c>
      <c r="AF266" s="1232">
        <f t="shared" si="126"/>
        <v>1.5893062968819902E-2</v>
      </c>
      <c r="AG266" s="1232">
        <f t="shared" si="127"/>
        <v>2.2772028790740865E-2</v>
      </c>
      <c r="AH266" s="1173">
        <f t="shared" si="123"/>
        <v>0.3020796207985631</v>
      </c>
      <c r="AI266" s="1233">
        <f t="shared" si="124"/>
        <v>0.6979203792014369</v>
      </c>
    </row>
    <row r="267" spans="1:35" x14ac:dyDescent="0.2">
      <c r="A267" s="329">
        <v>2041</v>
      </c>
      <c r="B267" s="342">
        <v>0</v>
      </c>
      <c r="C267" s="343">
        <v>0</v>
      </c>
      <c r="D267" s="343">
        <v>2.3456892331992548E-3</v>
      </c>
      <c r="E267" s="343">
        <v>5.637056062466702E-2</v>
      </c>
      <c r="F267" s="343">
        <v>0.108120252407818</v>
      </c>
      <c r="G267" s="343">
        <v>0.14151061911015034</v>
      </c>
      <c r="H267" s="343">
        <v>0.18042698336528287</v>
      </c>
      <c r="I267" s="343">
        <v>0.19155276755313524</v>
      </c>
      <c r="J267" s="343">
        <v>0.20178497479894228</v>
      </c>
      <c r="K267" s="343">
        <v>0.21075146917119078</v>
      </c>
      <c r="L267" s="379">
        <v>0.21075146917119078</v>
      </c>
      <c r="M267" s="282">
        <f t="shared" si="118"/>
        <v>8.5590931444557948E-3</v>
      </c>
      <c r="N267" s="284">
        <f t="shared" si="119"/>
        <v>2.4790254944142523E-3</v>
      </c>
      <c r="O267" s="342">
        <v>0</v>
      </c>
      <c r="P267" s="343">
        <v>0</v>
      </c>
      <c r="Q267" s="343">
        <v>1.2072306413567081E-2</v>
      </c>
      <c r="R267" s="343">
        <v>8.1470425726557869E-2</v>
      </c>
      <c r="S267" s="343">
        <v>0.12867690496802794</v>
      </c>
      <c r="T267" s="343">
        <v>0.16213251107450144</v>
      </c>
      <c r="U267" s="343">
        <v>0.1866549994520082</v>
      </c>
      <c r="V267" s="343">
        <v>0.19713712216427348</v>
      </c>
      <c r="W267" s="343">
        <v>0.20658136268914332</v>
      </c>
      <c r="X267" s="343">
        <v>0.21075146917119078</v>
      </c>
      <c r="Y267" s="379">
        <v>0.21793101316237928</v>
      </c>
      <c r="Z267" s="282">
        <f t="shared" si="120"/>
        <v>1.8493686558387266E-2</v>
      </c>
      <c r="AA267" s="284">
        <f t="shared" si="121"/>
        <v>5.1692372786773929E-3</v>
      </c>
      <c r="AB267" s="949">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0.42397149832715086</v>
      </c>
      <c r="AC267" s="950">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0.40915361853967447</v>
      </c>
      <c r="AD267" s="1227">
        <f t="shared" si="128"/>
        <v>0.41384177312849962</v>
      </c>
      <c r="AE267" s="1231">
        <f t="shared" si="125"/>
        <v>8.5590931444557948E-3</v>
      </c>
      <c r="AF267" s="1232">
        <f t="shared" si="126"/>
        <v>1.8493686558387266E-2</v>
      </c>
      <c r="AG267" s="1232">
        <f t="shared" si="127"/>
        <v>2.7052779702843061E-2</v>
      </c>
      <c r="AH267" s="1173">
        <f t="shared" si="123"/>
        <v>0.31638497923214498</v>
      </c>
      <c r="AI267" s="1233">
        <f t="shared" si="124"/>
        <v>0.68361502076785507</v>
      </c>
    </row>
    <row r="268" spans="1:35" x14ac:dyDescent="0.2">
      <c r="A268" s="330">
        <v>2042</v>
      </c>
      <c r="B268" s="344">
        <v>0</v>
      </c>
      <c r="C268" s="345">
        <v>0</v>
      </c>
      <c r="D268" s="345">
        <v>1.585150269747785E-2</v>
      </c>
      <c r="E268" s="345">
        <v>8.1573174791747236E-2</v>
      </c>
      <c r="F268" s="345">
        <v>0.1295294720777429</v>
      </c>
      <c r="G268" s="345">
        <v>0.15583705142012944</v>
      </c>
      <c r="H268" s="345">
        <v>0.19256377002743422</v>
      </c>
      <c r="I268" s="345">
        <v>0.19710755786502196</v>
      </c>
      <c r="J268" s="345">
        <v>0.20655074846450722</v>
      </c>
      <c r="K268" s="345">
        <v>0.21457583705508146</v>
      </c>
      <c r="L268" s="380">
        <v>0.21457583705508146</v>
      </c>
      <c r="M268" s="296">
        <f t="shared" si="118"/>
        <v>1.155533942938412E-2</v>
      </c>
      <c r="N268" s="298">
        <f t="shared" si="119"/>
        <v>3.7871669119307729E-3</v>
      </c>
      <c r="O268" s="344">
        <v>0</v>
      </c>
      <c r="P268" s="345">
        <v>2.5507693416105767E-4</v>
      </c>
      <c r="Q268" s="345">
        <v>3.7483330452446964E-2</v>
      </c>
      <c r="R268" s="345">
        <v>0.10256715704443138</v>
      </c>
      <c r="S268" s="345">
        <v>0.14928252198361536</v>
      </c>
      <c r="T268" s="345">
        <v>0.17575219963875288</v>
      </c>
      <c r="U268" s="345">
        <v>0.19256377002743422</v>
      </c>
      <c r="V268" s="345">
        <v>0.20232229059531415</v>
      </c>
      <c r="W268" s="345">
        <v>0.21089813353582068</v>
      </c>
      <c r="X268" s="345">
        <v>0.21457583705508146</v>
      </c>
      <c r="Y268" s="380">
        <v>0.22064404231315041</v>
      </c>
      <c r="Z268" s="296">
        <f t="shared" si="120"/>
        <v>2.2679123177524095E-2</v>
      </c>
      <c r="AA268" s="298">
        <f t="shared" si="121"/>
        <v>7.0861908068081316E-3</v>
      </c>
      <c r="AB268" s="949">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0.48063989747157554</v>
      </c>
      <c r="AC268" s="950">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0.45703170777540181</v>
      </c>
      <c r="AD268" s="1227">
        <f t="shared" si="128"/>
        <v>0.46500030504491263</v>
      </c>
      <c r="AE268" s="1231">
        <f t="shared" si="125"/>
        <v>1.155533942938412E-2</v>
      </c>
      <c r="AF268" s="1232">
        <f t="shared" si="126"/>
        <v>2.2679123177524095E-2</v>
      </c>
      <c r="AG268" s="1232">
        <f t="shared" si="127"/>
        <v>3.4234462606908211E-2</v>
      </c>
      <c r="AH268" s="1173">
        <f t="shared" si="123"/>
        <v>0.33753529483043077</v>
      </c>
      <c r="AI268" s="1233">
        <f t="shared" si="124"/>
        <v>0.66246470516956935</v>
      </c>
    </row>
    <row r="269" spans="1:35" x14ac:dyDescent="0.2">
      <c r="A269" s="330">
        <v>2043</v>
      </c>
      <c r="B269" s="344">
        <v>0</v>
      </c>
      <c r="C269" s="345">
        <v>1.0712250356200667E-3</v>
      </c>
      <c r="D269" s="345">
        <v>4.5856656006218639E-2</v>
      </c>
      <c r="E269" s="345">
        <v>0.10701793293754293</v>
      </c>
      <c r="F269" s="345">
        <v>0.1514112163494889</v>
      </c>
      <c r="G269" s="345">
        <v>0.16978938831722529</v>
      </c>
      <c r="H269" s="345">
        <v>0.19814062041745176</v>
      </c>
      <c r="I269" s="345">
        <v>0.2022921387982663</v>
      </c>
      <c r="J269" s="345">
        <v>0.21086704318204291</v>
      </c>
      <c r="K269" s="345">
        <v>0.2178673484062105</v>
      </c>
      <c r="L269" s="380">
        <v>0.2178673484062105</v>
      </c>
      <c r="M269" s="296">
        <f t="shared" si="118"/>
        <v>1.6103415136858409E-2</v>
      </c>
      <c r="N269" s="298">
        <f t="shared" si="119"/>
        <v>6.0731881738145775E-3</v>
      </c>
      <c r="O269" s="344">
        <v>0</v>
      </c>
      <c r="P269" s="345">
        <v>3.6443566540780938E-3</v>
      </c>
      <c r="Q269" s="345">
        <v>6.8354860411580329E-2</v>
      </c>
      <c r="R269" s="345">
        <v>0.11605841035295264</v>
      </c>
      <c r="S269" s="345">
        <v>0.1634716205659773</v>
      </c>
      <c r="T269" s="345">
        <v>0.18224938329335652</v>
      </c>
      <c r="U269" s="345">
        <v>0.19814062041745176</v>
      </c>
      <c r="V269" s="345">
        <v>0.2070971987984791</v>
      </c>
      <c r="W269" s="345">
        <v>0.21472442412936305</v>
      </c>
      <c r="X269" s="345">
        <v>0.2178673484062105</v>
      </c>
      <c r="Y269" s="380">
        <v>0.22061192059597845</v>
      </c>
      <c r="Z269" s="296">
        <f t="shared" si="120"/>
        <v>2.7515807937078834E-2</v>
      </c>
      <c r="AA269" s="298">
        <f t="shared" si="121"/>
        <v>9.8322700277023757E-3</v>
      </c>
      <c r="AB269" s="949">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0.55028564274496439</v>
      </c>
      <c r="AC269" s="950">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0.51091121065704481</v>
      </c>
      <c r="AD269" s="1227">
        <f t="shared" si="128"/>
        <v>0.52544752701038822</v>
      </c>
      <c r="AE269" s="1231">
        <f t="shared" si="125"/>
        <v>1.6103415136858409E-2</v>
      </c>
      <c r="AF269" s="1232">
        <f t="shared" si="126"/>
        <v>2.7515807937078834E-2</v>
      </c>
      <c r="AG269" s="1232">
        <f t="shared" si="127"/>
        <v>4.3619223073937244E-2</v>
      </c>
      <c r="AH269" s="1173">
        <f t="shared" si="123"/>
        <v>0.36918161310581205</v>
      </c>
      <c r="AI269" s="1233">
        <f t="shared" si="124"/>
        <v>0.6308183868941879</v>
      </c>
    </row>
    <row r="270" spans="1:35" x14ac:dyDescent="0.2">
      <c r="A270" s="330">
        <v>2044</v>
      </c>
      <c r="B270" s="344">
        <v>0</v>
      </c>
      <c r="C270" s="345">
        <v>8.9053556909744636E-3</v>
      </c>
      <c r="D270" s="345">
        <v>7.4488870706852783E-2</v>
      </c>
      <c r="E270" s="345">
        <v>0.12167474519062972</v>
      </c>
      <c r="F270" s="345">
        <v>0.1657617196115293</v>
      </c>
      <c r="G270" s="345">
        <v>0.18304634148711177</v>
      </c>
      <c r="H270" s="345">
        <v>0.20334538654182144</v>
      </c>
      <c r="I270" s="345">
        <v>0.20706647799575206</v>
      </c>
      <c r="J270" s="345">
        <v>0.21469287952443686</v>
      </c>
      <c r="K270" s="345">
        <v>0.21783547133282316</v>
      </c>
      <c r="L270" s="380">
        <v>0.21783547133282316</v>
      </c>
      <c r="M270" s="296">
        <f t="shared" si="118"/>
        <v>2.0881467557813536E-2</v>
      </c>
      <c r="N270" s="298">
        <f t="shared" si="119"/>
        <v>9.0053218568078765E-3</v>
      </c>
      <c r="O270" s="344">
        <v>0</v>
      </c>
      <c r="P270" s="345">
        <v>1.6129902913042306E-2</v>
      </c>
      <c r="Q270" s="345">
        <v>9.512475954364788E-2</v>
      </c>
      <c r="R270" s="345">
        <v>0.13258240422331194</v>
      </c>
      <c r="S270" s="345">
        <v>0.17711907315800832</v>
      </c>
      <c r="T270" s="345">
        <v>0.19446972535510573</v>
      </c>
      <c r="U270" s="345">
        <v>0.20334538654182144</v>
      </c>
      <c r="V270" s="345">
        <v>0.21127575707684401</v>
      </c>
      <c r="W270" s="345">
        <v>0.21801753078185498</v>
      </c>
      <c r="X270" s="345">
        <v>0.21783547133282316</v>
      </c>
      <c r="Y270" s="380">
        <v>0.22269187818619993</v>
      </c>
      <c r="Z270" s="296">
        <f t="shared" si="120"/>
        <v>3.4674272018782287E-2</v>
      </c>
      <c r="AA270" s="298">
        <f t="shared" si="121"/>
        <v>1.4794224936144247E-2</v>
      </c>
      <c r="AB270" s="949">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0.61015870818363982</v>
      </c>
      <c r="AC270" s="950">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0.57820470605916485</v>
      </c>
      <c r="AD270" s="1227">
        <f t="shared" si="128"/>
        <v>0.59021510253286469</v>
      </c>
      <c r="AE270" s="1231">
        <f t="shared" si="125"/>
        <v>2.0881467557813536E-2</v>
      </c>
      <c r="AF270" s="1232">
        <f t="shared" si="126"/>
        <v>3.4674272018782287E-2</v>
      </c>
      <c r="AG270" s="1232">
        <f t="shared" si="127"/>
        <v>5.555573957659582E-2</v>
      </c>
      <c r="AH270" s="1173">
        <f t="shared" si="123"/>
        <v>0.37586517103284772</v>
      </c>
      <c r="AI270" s="1233">
        <f t="shared" si="124"/>
        <v>0.62413482896715233</v>
      </c>
    </row>
    <row r="271" spans="1:35" ht="15" thickBot="1" x14ac:dyDescent="0.25">
      <c r="A271" s="328">
        <v>2045</v>
      </c>
      <c r="B271" s="346">
        <v>0</v>
      </c>
      <c r="C271" s="347">
        <v>2.6408605604817646E-2</v>
      </c>
      <c r="D271" s="347">
        <v>0.10126710210554994</v>
      </c>
      <c r="E271" s="347">
        <v>0.13586198712319209</v>
      </c>
      <c r="F271" s="347">
        <v>0.17841860417505298</v>
      </c>
      <c r="G271" s="347">
        <v>0.18929813319705666</v>
      </c>
      <c r="H271" s="347">
        <v>0.20768656593215065</v>
      </c>
      <c r="I271" s="347">
        <v>0.21139037700520616</v>
      </c>
      <c r="J271" s="347">
        <v>0.21466131694236021</v>
      </c>
      <c r="K271" s="347">
        <v>0.22054757347850831</v>
      </c>
      <c r="L271" s="381">
        <v>0.22054757347850831</v>
      </c>
      <c r="M271" s="310">
        <f t="shared" si="118"/>
        <v>2.6886954913667806E-2</v>
      </c>
      <c r="N271" s="312">
        <f t="shared" si="119"/>
        <v>1.3189940302201279E-2</v>
      </c>
      <c r="O271" s="346">
        <v>0</v>
      </c>
      <c r="P271" s="347">
        <v>3.96361210287638E-2</v>
      </c>
      <c r="Q271" s="347">
        <v>0.11628686772676605</v>
      </c>
      <c r="R271" s="347">
        <v>0.14003151523412832</v>
      </c>
      <c r="S271" s="347">
        <v>0.19158046688720701</v>
      </c>
      <c r="T271" s="347">
        <v>0.20008328559274327</v>
      </c>
      <c r="U271" s="347">
        <v>0.20768656593215065</v>
      </c>
      <c r="V271" s="347">
        <v>0.21510694792482216</v>
      </c>
      <c r="W271" s="347">
        <v>0.21798561633861338</v>
      </c>
      <c r="X271" s="347">
        <v>0.22054757347850831</v>
      </c>
      <c r="Y271" s="381">
        <v>0.22265947610050382</v>
      </c>
      <c r="Z271" s="310">
        <f t="shared" si="120"/>
        <v>4.3702322049398896E-2</v>
      </c>
      <c r="AA271" s="312">
        <f t="shared" si="121"/>
        <v>2.2090805271590599E-2</v>
      </c>
      <c r="AB271" s="949">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0.66631704424875526</v>
      </c>
      <c r="AC271" s="950">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0.64765214222727041</v>
      </c>
      <c r="AD271" s="1227">
        <f t="shared" si="128"/>
        <v>0.65476147101926618</v>
      </c>
      <c r="AE271" s="1231">
        <f t="shared" si="125"/>
        <v>2.6886954913667806E-2</v>
      </c>
      <c r="AF271" s="1232">
        <f t="shared" si="126"/>
        <v>4.3702322049398896E-2</v>
      </c>
      <c r="AG271" s="1232">
        <f t="shared" si="127"/>
        <v>7.0589276963066702E-2</v>
      </c>
      <c r="AH271" s="1173">
        <f t="shared" si="123"/>
        <v>0.38089290711584195</v>
      </c>
      <c r="AI271" s="1233">
        <f t="shared" si="124"/>
        <v>0.61910709288415811</v>
      </c>
    </row>
    <row r="272" spans="1:35" x14ac:dyDescent="0.2">
      <c r="A272" s="329">
        <v>2046</v>
      </c>
      <c r="B272" s="342">
        <v>0</v>
      </c>
      <c r="C272" s="343">
        <v>3.9165036926380868E-2</v>
      </c>
      <c r="D272" s="343">
        <v>0.11162588946825421</v>
      </c>
      <c r="E272" s="343">
        <v>0.139864679636892</v>
      </c>
      <c r="F272" s="343">
        <v>0.18496097329741043</v>
      </c>
      <c r="G272" s="343">
        <v>0.19525355726571614</v>
      </c>
      <c r="H272" s="343">
        <v>0.20765573998997897</v>
      </c>
      <c r="I272" s="343">
        <v>0.21135914932592273</v>
      </c>
      <c r="J272" s="343">
        <v>0.21795368451751493</v>
      </c>
      <c r="K272" s="343">
        <v>0.22051537315696387</v>
      </c>
      <c r="L272" s="379">
        <v>0.22051537315696387</v>
      </c>
      <c r="M272" s="282">
        <f t="shared" si="118"/>
        <v>3.0050688565349117E-2</v>
      </c>
      <c r="N272" s="284">
        <f t="shared" si="119"/>
        <v>1.5635288846441577E-2</v>
      </c>
      <c r="O272" s="342">
        <v>0</v>
      </c>
      <c r="P272" s="343">
        <v>5.6113754478137788E-2</v>
      </c>
      <c r="Q272" s="343">
        <v>0.12739617554840679</v>
      </c>
      <c r="R272" s="343">
        <v>0.15086702817529196</v>
      </c>
      <c r="S272" s="343">
        <v>0.19155152787232238</v>
      </c>
      <c r="T272" s="343">
        <v>0.20532139672853672</v>
      </c>
      <c r="U272" s="343">
        <v>0.21201989898074372</v>
      </c>
      <c r="V272" s="343">
        <v>0.21507532075657892</v>
      </c>
      <c r="W272" s="343">
        <v>0.21795368451751493</v>
      </c>
      <c r="X272" s="343">
        <v>0.22051537315696387</v>
      </c>
      <c r="Y272" s="379">
        <v>0.22262705631114368</v>
      </c>
      <c r="Z272" s="282">
        <f t="shared" si="120"/>
        <v>4.9870646797829633E-2</v>
      </c>
      <c r="AA272" s="284">
        <f t="shared" si="121"/>
        <v>2.7107148726633886E-2</v>
      </c>
      <c r="AB272" s="949">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0.69239667733582666</v>
      </c>
      <c r="AC272" s="950">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0.68095517178291776</v>
      </c>
      <c r="AD272" s="1227">
        <f t="shared" si="128"/>
        <v>0.68525721601837453</v>
      </c>
      <c r="AE272" s="1231">
        <f t="shared" si="125"/>
        <v>3.0050688565349117E-2</v>
      </c>
      <c r="AF272" s="1232">
        <f t="shared" si="126"/>
        <v>4.9870646797829633E-2</v>
      </c>
      <c r="AG272" s="1232">
        <f t="shared" si="127"/>
        <v>7.9921335363178747E-2</v>
      </c>
      <c r="AH272" s="1173">
        <f t="shared" si="123"/>
        <v>0.3760033341384087</v>
      </c>
      <c r="AI272" s="1233">
        <f t="shared" si="124"/>
        <v>0.6239966658615913</v>
      </c>
    </row>
    <row r="273" spans="1:35" x14ac:dyDescent="0.2">
      <c r="A273" s="330">
        <v>2047</v>
      </c>
      <c r="B273" s="344">
        <v>0</v>
      </c>
      <c r="C273" s="345">
        <v>5.0570419156280591E-2</v>
      </c>
      <c r="D273" s="345">
        <v>0.12139795086700124</v>
      </c>
      <c r="E273" s="345">
        <v>0.14474689708557417</v>
      </c>
      <c r="F273" s="345">
        <v>0.19124380033018748</v>
      </c>
      <c r="G273" s="345">
        <v>0.20087237449209891</v>
      </c>
      <c r="H273" s="345">
        <v>0.21198860476744238</v>
      </c>
      <c r="I273" s="345">
        <v>0.21519122599599208</v>
      </c>
      <c r="J273" s="345">
        <v>0.21792175731334371</v>
      </c>
      <c r="K273" s="345">
        <v>0.22048317745903798</v>
      </c>
      <c r="L273" s="380">
        <v>0.22048317745903798</v>
      </c>
      <c r="M273" s="296">
        <f t="shared" si="118"/>
        <v>3.3057669194166604E-2</v>
      </c>
      <c r="N273" s="298">
        <f t="shared" si="119"/>
        <v>1.7886302058784151E-2</v>
      </c>
      <c r="O273" s="344">
        <v>0</v>
      </c>
      <c r="P273" s="345">
        <v>6.2266446151943607E-2</v>
      </c>
      <c r="Q273" s="345">
        <v>0.1300826690587624</v>
      </c>
      <c r="R273" s="345">
        <v>0.14970201803494884</v>
      </c>
      <c r="S273" s="345">
        <v>0.19756016672697121</v>
      </c>
      <c r="T273" s="345">
        <v>0.20529085741008016</v>
      </c>
      <c r="U273" s="345">
        <v>0.21198860476744238</v>
      </c>
      <c r="V273" s="345">
        <v>0.21837225773951782</v>
      </c>
      <c r="W273" s="345">
        <v>0.22066681978867408</v>
      </c>
      <c r="X273" s="345">
        <v>0.22048317745903798</v>
      </c>
      <c r="Y273" s="380">
        <v>0.22259464115024372</v>
      </c>
      <c r="Z273" s="296">
        <f t="shared" si="120"/>
        <v>5.1861892886249726E-2</v>
      </c>
      <c r="AA273" s="298">
        <f t="shared" si="121"/>
        <v>2.882548215011678E-2</v>
      </c>
      <c r="AB273" s="949">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0.71070323752847264</v>
      </c>
      <c r="AC273" s="950">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0.69156272761918036</v>
      </c>
      <c r="AD273" s="1227">
        <f t="shared" si="128"/>
        <v>0.69901378635391409</v>
      </c>
      <c r="AE273" s="1231">
        <f t="shared" si="125"/>
        <v>3.3057669194166604E-2</v>
      </c>
      <c r="AF273" s="1232">
        <f t="shared" si="126"/>
        <v>5.1861892886249726E-2</v>
      </c>
      <c r="AG273" s="1232">
        <f t="shared" si="127"/>
        <v>8.491956208041633E-2</v>
      </c>
      <c r="AH273" s="1173">
        <f t="shared" si="123"/>
        <v>0.38928214399954114</v>
      </c>
      <c r="AI273" s="1233">
        <f t="shared" si="124"/>
        <v>0.6107178560004588</v>
      </c>
    </row>
    <row r="274" spans="1:35" x14ac:dyDescent="0.2">
      <c r="A274" s="330">
        <v>2048</v>
      </c>
      <c r="B274" s="344">
        <v>0</v>
      </c>
      <c r="C274" s="345">
        <v>5.7979771715084699E-2</v>
      </c>
      <c r="D274" s="345">
        <v>0.12551746442848752</v>
      </c>
      <c r="E274" s="345">
        <v>0.1494539134449859</v>
      </c>
      <c r="F274" s="345">
        <v>0.19121494940104691</v>
      </c>
      <c r="G274" s="345">
        <v>0.20084235049445773</v>
      </c>
      <c r="H274" s="345">
        <v>0.21195727274075338</v>
      </c>
      <c r="I274" s="345">
        <v>0.21515955106148069</v>
      </c>
      <c r="J274" s="345">
        <v>0.2178897914596456</v>
      </c>
      <c r="K274" s="345">
        <v>0.22045094275532454</v>
      </c>
      <c r="L274" s="380">
        <v>0.22045094275532454</v>
      </c>
      <c r="M274" s="296">
        <f t="shared" si="118"/>
        <v>3.4751980044660506E-2</v>
      </c>
      <c r="N274" s="298">
        <f t="shared" si="119"/>
        <v>1.9226214379529871E-2</v>
      </c>
      <c r="O274" s="344">
        <v>0</v>
      </c>
      <c r="P274" s="345">
        <v>6.6085434692962977E-2</v>
      </c>
      <c r="Q274" s="345">
        <v>0.13385650769323754</v>
      </c>
      <c r="R274" s="345">
        <v>0.15426326046274258</v>
      </c>
      <c r="S274" s="345">
        <v>0.19753051252554416</v>
      </c>
      <c r="T274" s="345">
        <v>0.21011284856165163</v>
      </c>
      <c r="U274" s="345">
        <v>0.21195727274075338</v>
      </c>
      <c r="V274" s="345">
        <v>0.21834024442073785</v>
      </c>
      <c r="W274" s="345">
        <v>0.22063456590502151</v>
      </c>
      <c r="X274" s="345">
        <v>0.22045094275532454</v>
      </c>
      <c r="Y274" s="380">
        <v>0.22397038320252904</v>
      </c>
      <c r="Z274" s="296">
        <f t="shared" si="120"/>
        <v>5.3530236009381629E-2</v>
      </c>
      <c r="AA274" s="298">
        <f t="shared" si="121"/>
        <v>3.0095445530969905E-2</v>
      </c>
      <c r="AB274" s="949">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0.72142101786794299</v>
      </c>
      <c r="AC274" s="950">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0.69800155971264777</v>
      </c>
      <c r="AD274" s="1227">
        <f t="shared" si="128"/>
        <v>0.70722054603681717</v>
      </c>
      <c r="AE274" s="1231">
        <f t="shared" si="125"/>
        <v>3.4751980044660506E-2</v>
      </c>
      <c r="AF274" s="1232">
        <f t="shared" si="126"/>
        <v>5.3530236009381629E-2</v>
      </c>
      <c r="AG274" s="1232">
        <f t="shared" si="127"/>
        <v>8.8282216054042129E-2</v>
      </c>
      <c r="AH274" s="1173">
        <f t="shared" si="123"/>
        <v>0.39364643976978347</v>
      </c>
      <c r="AI274" s="1233">
        <f t="shared" si="124"/>
        <v>0.60635356023021658</v>
      </c>
    </row>
    <row r="275" spans="1:35" x14ac:dyDescent="0.2">
      <c r="A275" s="330">
        <v>2049</v>
      </c>
      <c r="B275" s="344">
        <v>0</v>
      </c>
      <c r="C275" s="345">
        <v>6.1006916306077963E-2</v>
      </c>
      <c r="D275" s="345">
        <v>0.12416884397311628</v>
      </c>
      <c r="E275" s="345">
        <v>0.14930569867788021</v>
      </c>
      <c r="F275" s="345">
        <v>0.19576536222192178</v>
      </c>
      <c r="G275" s="345">
        <v>0.20730248788804478</v>
      </c>
      <c r="H275" s="345">
        <v>0.21192592424814621</v>
      </c>
      <c r="I275" s="345">
        <v>0.21512785944240631</v>
      </c>
      <c r="J275" s="345">
        <v>0.21785780873555033</v>
      </c>
      <c r="K275" s="345">
        <v>0.22252971504753652</v>
      </c>
      <c r="L275" s="380">
        <v>0.22252971504753652</v>
      </c>
      <c r="M275" s="296">
        <f t="shared" si="118"/>
        <v>3.5186892815984111E-2</v>
      </c>
      <c r="N275" s="298">
        <f t="shared" si="119"/>
        <v>1.9615069907414975E-2</v>
      </c>
      <c r="O275" s="344">
        <v>0</v>
      </c>
      <c r="P275" s="345">
        <v>6.9013482981292798E-2</v>
      </c>
      <c r="Q275" s="345">
        <v>0.13251134446271368</v>
      </c>
      <c r="R275" s="345">
        <v>0.15318297864437158</v>
      </c>
      <c r="S275" s="345">
        <v>0.20319786067745352</v>
      </c>
      <c r="T275" s="345">
        <v>0.21008172691682747</v>
      </c>
      <c r="U275" s="345">
        <v>0.21579713711787077</v>
      </c>
      <c r="V275" s="345">
        <v>0.21785780873555033</v>
      </c>
      <c r="W275" s="345">
        <v>0.22060229496541892</v>
      </c>
      <c r="X275" s="345">
        <v>0.22252971504753652</v>
      </c>
      <c r="Y275" s="380">
        <v>0.22393776582590302</v>
      </c>
      <c r="Z275" s="296">
        <f t="shared" si="120"/>
        <v>5.4304963258090776E-2</v>
      </c>
      <c r="AA275" s="298">
        <f t="shared" si="121"/>
        <v>3.0801642169713556E-2</v>
      </c>
      <c r="AB275" s="949">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0.72463694738574502</v>
      </c>
      <c r="AC275" s="950">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0.70205808146547233</v>
      </c>
      <c r="AD275" s="1227">
        <f t="shared" si="128"/>
        <v>0.71093576229472566</v>
      </c>
      <c r="AE275" s="1231">
        <f t="shared" si="125"/>
        <v>3.5186892815984111E-2</v>
      </c>
      <c r="AF275" s="1232">
        <f t="shared" si="126"/>
        <v>5.4304963258090776E-2</v>
      </c>
      <c r="AG275" s="1232">
        <f t="shared" si="127"/>
        <v>8.9491856074074894E-2</v>
      </c>
      <c r="AH275" s="1173">
        <f t="shared" si="123"/>
        <v>0.39318541775308519</v>
      </c>
      <c r="AI275" s="1233">
        <f t="shared" si="124"/>
        <v>0.60681458224691476</v>
      </c>
    </row>
    <row r="276" spans="1:35" ht="15" thickBot="1" x14ac:dyDescent="0.25">
      <c r="A276" s="328">
        <v>2050</v>
      </c>
      <c r="B276" s="346">
        <v>0</v>
      </c>
      <c r="C276" s="347">
        <v>6.2554108992053034E-2</v>
      </c>
      <c r="D276" s="347">
        <v>0.13058060068439165</v>
      </c>
      <c r="E276" s="347">
        <v>0.1481779669839475</v>
      </c>
      <c r="F276" s="347">
        <v>0.19573596353502304</v>
      </c>
      <c r="G276" s="347">
        <v>0.20607933654182609</v>
      </c>
      <c r="H276" s="347">
        <v>0.21576535754471546</v>
      </c>
      <c r="I276" s="347">
        <v>0.21509615114520145</v>
      </c>
      <c r="J276" s="347">
        <v>0.21782580914749777</v>
      </c>
      <c r="K276" s="347">
        <v>0.22249722622405513</v>
      </c>
      <c r="L276" s="381">
        <v>0.22249722622405513</v>
      </c>
      <c r="M276" s="310">
        <f t="shared" si="118"/>
        <v>3.5994932710251677E-2</v>
      </c>
      <c r="N276" s="312">
        <f t="shared" si="119"/>
        <v>2.0151358871596952E-2</v>
      </c>
      <c r="O276" s="346">
        <v>0</v>
      </c>
      <c r="P276" s="347">
        <v>7.6427616119708761E-2</v>
      </c>
      <c r="Q276" s="347">
        <v>0.13745053878025862</v>
      </c>
      <c r="R276" s="347">
        <v>0.15845323696836236</v>
      </c>
      <c r="S276" s="347">
        <v>0.20316754120466285</v>
      </c>
      <c r="T276" s="347">
        <v>0.20901548864330835</v>
      </c>
      <c r="U276" s="347">
        <v>0.21576535754471546</v>
      </c>
      <c r="V276" s="347">
        <v>0.21782580914749777</v>
      </c>
      <c r="W276" s="347">
        <v>0.22038642222364699</v>
      </c>
      <c r="X276" s="347">
        <v>0.22249722622405513</v>
      </c>
      <c r="Y276" s="381">
        <v>0.22390513117549576</v>
      </c>
      <c r="Z276" s="310">
        <f t="shared" si="120"/>
        <v>5.7021924467005568E-2</v>
      </c>
      <c r="AA276" s="312">
        <f t="shared" si="121"/>
        <v>3.3047228558758981E-2</v>
      </c>
      <c r="AB276" s="951">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0.72878953881593389</v>
      </c>
      <c r="AC276" s="952">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0.71337213555433054</v>
      </c>
      <c r="AD276" s="1228">
        <f t="shared" si="128"/>
        <v>0.71933824115936829</v>
      </c>
      <c r="AE276" s="1234">
        <f t="shared" si="125"/>
        <v>3.5994932710251677E-2</v>
      </c>
      <c r="AF276" s="1235">
        <f t="shared" si="126"/>
        <v>5.7021924467005568E-2</v>
      </c>
      <c r="AG276" s="1235">
        <f t="shared" si="127"/>
        <v>9.3016857177257245E-2</v>
      </c>
      <c r="AH276" s="1236">
        <f t="shared" si="123"/>
        <v>0.38697214464748103</v>
      </c>
      <c r="AI276" s="1237">
        <f t="shared" si="124"/>
        <v>0.61302785535251891</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53" t="s">
        <v>219</v>
      </c>
      <c r="C280" s="1554"/>
      <c r="D280" s="1554"/>
      <c r="E280" s="1554"/>
      <c r="F280" s="1554"/>
      <c r="G280" s="1554"/>
      <c r="H280" s="1554"/>
      <c r="I280" s="1554"/>
      <c r="J280" s="1554"/>
      <c r="K280" s="1554"/>
      <c r="L280" s="1554"/>
      <c r="M280" s="1554"/>
      <c r="N280" s="1555"/>
      <c r="O280" s="1553" t="s">
        <v>218</v>
      </c>
      <c r="P280" s="1554"/>
      <c r="Q280" s="1554"/>
      <c r="R280" s="1554"/>
      <c r="S280" s="1554"/>
      <c r="T280" s="1554"/>
      <c r="U280" s="1554"/>
      <c r="V280" s="1554"/>
      <c r="W280" s="1554"/>
      <c r="X280" s="1554"/>
      <c r="Y280" s="1554"/>
      <c r="Z280" s="1554"/>
      <c r="AA280" s="1555"/>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5"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7"/>
      <c r="AC282" s="955"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10">
        <v>1.1022999100839563E-4</v>
      </c>
      <c r="Z283" s="1215"/>
      <c r="AA283" s="1216"/>
    </row>
    <row r="284" spans="1:35" x14ac:dyDescent="0.2">
      <c r="A284" s="331" t="s">
        <v>125</v>
      </c>
      <c r="B284" s="924">
        <f t="array" ref="B284:L284">TRANSPOSE(Cls3CentVMTShr)</f>
        <v>7.4407503791532936E-2</v>
      </c>
      <c r="C284" s="925">
        <v>0.15052192967997111</v>
      </c>
      <c r="D284" s="925">
        <v>8.9028098283245441E-2</v>
      </c>
      <c r="E284" s="925">
        <v>4.5356257743642811E-2</v>
      </c>
      <c r="F284" s="925">
        <v>2.1016507050137231E-2</v>
      </c>
      <c r="G284" s="925">
        <v>4.9007047894213725E-4</v>
      </c>
      <c r="H284" s="925">
        <v>1.4797621296467818E-2</v>
      </c>
      <c r="I284" s="925">
        <v>0</v>
      </c>
      <c r="J284" s="925">
        <v>0</v>
      </c>
      <c r="K284" s="925">
        <v>3.7103078033661591E-3</v>
      </c>
      <c r="L284" s="1211">
        <v>0</v>
      </c>
      <c r="M284" s="1212"/>
      <c r="N284" s="1213"/>
      <c r="O284" s="924">
        <f t="array" ref="O284:Y284">TRANSPOSE(Cls3NCentVMTShr)</f>
        <v>0.11481596497083862</v>
      </c>
      <c r="P284" s="925">
        <v>0.26987209279577573</v>
      </c>
      <c r="Q284" s="925">
        <v>8.3836105982992667E-2</v>
      </c>
      <c r="R284" s="925">
        <v>5.9842896537765707E-2</v>
      </c>
      <c r="S284" s="925">
        <v>1.6413649143963899E-2</v>
      </c>
      <c r="T284" s="925">
        <v>1.0165768727376887E-2</v>
      </c>
      <c r="U284" s="925">
        <v>2.0700108148562976E-2</v>
      </c>
      <c r="V284" s="925">
        <v>2.0956833812228508E-2</v>
      </c>
      <c r="W284" s="925">
        <v>3.1584958359553582E-3</v>
      </c>
      <c r="X284" s="925">
        <v>0</v>
      </c>
      <c r="Y284" s="926">
        <v>9.0978791723388369E-4</v>
      </c>
      <c r="Z284" s="1212"/>
      <c r="AA284" s="1213"/>
      <c r="AB284" s="1550" t="str">
        <f>"% of miles on f2 for Tech "&amp; RIGHT(O279)&amp;" adopters"</f>
        <v>% of miles on f2 for Tech  adopters</v>
      </c>
      <c r="AC284" s="1551"/>
      <c r="AD284" s="1552"/>
      <c r="AE284" s="1238" t="s">
        <v>298</v>
      </c>
      <c r="AF284" s="1239"/>
      <c r="AG284" s="1239"/>
      <c r="AH284" s="1229" t="s">
        <v>297</v>
      </c>
      <c r="AI284" s="1230"/>
    </row>
    <row r="285" spans="1:35" ht="15" thickBot="1" x14ac:dyDescent="0.25">
      <c r="A285" s="943" t="s">
        <v>266</v>
      </c>
      <c r="B285" s="934">
        <f t="array" ref="B285:L285">TRANSPOSE(Cls3CentVMT/OPDAYS_Cls3)</f>
        <v>49.202805162026571</v>
      </c>
      <c r="C285" s="935">
        <v>115.99623692884222</v>
      </c>
      <c r="D285" s="935">
        <v>190.94140758026836</v>
      </c>
      <c r="E285" s="935">
        <v>282.72824571583544</v>
      </c>
      <c r="F285" s="935">
        <v>349.10577157713089</v>
      </c>
      <c r="G285" s="935">
        <v>408.92399999999998</v>
      </c>
      <c r="H285" s="935">
        <v>540.31926836851005</v>
      </c>
      <c r="I285" s="935">
        <v>600</v>
      </c>
      <c r="J285" s="935">
        <v>680</v>
      </c>
      <c r="K285" s="935">
        <v>800.00000000000011</v>
      </c>
      <c r="L285" s="936">
        <v>800</v>
      </c>
      <c r="M285" s="932"/>
      <c r="N285" s="933"/>
      <c r="O285" s="934">
        <f t="array" ref="O285:Y285">TRANSPOSE(Cls3NCentVMT/OPDAYS_Cls3)</f>
        <v>45.820527909508108</v>
      </c>
      <c r="P285" s="935">
        <v>114.90604343518244</v>
      </c>
      <c r="Q285" s="935">
        <v>196.29405935940918</v>
      </c>
      <c r="R285" s="935">
        <v>286.46435582159182</v>
      </c>
      <c r="S285" s="935">
        <v>352.24339419308075</v>
      </c>
      <c r="T285" s="935">
        <v>427.07804424634116</v>
      </c>
      <c r="U285" s="935">
        <v>519.59880241076587</v>
      </c>
      <c r="V285" s="935">
        <v>608.4346682070543</v>
      </c>
      <c r="W285" s="935">
        <v>703.2</v>
      </c>
      <c r="X285" s="935">
        <v>760</v>
      </c>
      <c r="Y285" s="1214">
        <v>900</v>
      </c>
      <c r="Z285" s="944"/>
      <c r="AA285" s="933"/>
      <c r="AB285" s="946" t="s">
        <v>186</v>
      </c>
      <c r="AC285" s="947" t="s">
        <v>15</v>
      </c>
      <c r="AD285" s="948" t="s">
        <v>18</v>
      </c>
      <c r="AE285" s="330" t="s">
        <v>186</v>
      </c>
      <c r="AF285" s="1240" t="s">
        <v>15</v>
      </c>
      <c r="AG285" s="1240" t="s">
        <v>18</v>
      </c>
      <c r="AH285" s="1241" t="s">
        <v>186</v>
      </c>
      <c r="AI285" s="1242"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9">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50">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7">
        <f>AB286*AH286+AC286*AI286</f>
        <v>0</v>
      </c>
      <c r="AE286" s="1231">
        <f t="shared" ref="AE286:AE300" si="129">SUMPRODUCT($B$74:$L$74,B286:L286)</f>
        <v>0</v>
      </c>
      <c r="AF286" s="1232">
        <f t="shared" ref="AF286:AF300" si="130">SUMPRODUCT($O$74:$Y$74,O286:Y286)</f>
        <v>0</v>
      </c>
      <c r="AG286" s="1232">
        <f t="shared" ref="AG286:AG300" si="131">SUM(AE286:AF286)</f>
        <v>0</v>
      </c>
      <c r="AH286" s="1173">
        <f>IF(AG286&gt;0,AE286/AG286,0)</f>
        <v>0</v>
      </c>
      <c r="AI286" s="1233">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32">SUMPRODUCT(B287:L287,$B$284:$L$284)</f>
        <v>0</v>
      </c>
      <c r="N287" s="298">
        <f t="shared" ref="N287:N329" si="133">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34">SUMPRODUCT(O287:Y287,$O$284:$Y$284)</f>
        <v>0</v>
      </c>
      <c r="AA287" s="298">
        <f t="shared" ref="AA287:AA329" si="135">SUMPRODUCT(O287:Y287,$O$283:$Y$283)</f>
        <v>0</v>
      </c>
      <c r="AB287" s="949">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50">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7">
        <f t="shared" ref="AD287:AD311" si="136">AB287*AH287+AC287*AI287</f>
        <v>0</v>
      </c>
      <c r="AE287" s="1231">
        <f t="shared" si="129"/>
        <v>0</v>
      </c>
      <c r="AF287" s="1232">
        <f t="shared" si="130"/>
        <v>0</v>
      </c>
      <c r="AG287" s="1232">
        <f t="shared" si="131"/>
        <v>0</v>
      </c>
      <c r="AH287" s="1173">
        <f t="shared" ref="AH287:AH329" si="137">IF(AG287&gt;0,AE287/AG287,0)</f>
        <v>0</v>
      </c>
      <c r="AI287" s="1233">
        <f t="shared" ref="AI287:AI329" si="138">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32"/>
        <v>0</v>
      </c>
      <c r="N288" s="298">
        <f t="shared" si="133"/>
        <v>0</v>
      </c>
      <c r="O288" s="344">
        <v>0</v>
      </c>
      <c r="P288" s="345">
        <v>0</v>
      </c>
      <c r="Q288" s="345">
        <v>0</v>
      </c>
      <c r="R288" s="345">
        <v>0</v>
      </c>
      <c r="S288" s="345">
        <v>0</v>
      </c>
      <c r="T288" s="345">
        <v>0</v>
      </c>
      <c r="U288" s="345">
        <v>0</v>
      </c>
      <c r="V288" s="345">
        <v>0</v>
      </c>
      <c r="W288" s="345">
        <v>0</v>
      </c>
      <c r="X288" s="345">
        <v>0</v>
      </c>
      <c r="Y288" s="380">
        <v>0</v>
      </c>
      <c r="Z288" s="296">
        <f t="shared" si="134"/>
        <v>0</v>
      </c>
      <c r="AA288" s="298">
        <f t="shared" si="135"/>
        <v>0</v>
      </c>
      <c r="AB288" s="949">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50">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7">
        <f t="shared" si="136"/>
        <v>0</v>
      </c>
      <c r="AE288" s="1231">
        <f t="shared" si="129"/>
        <v>0</v>
      </c>
      <c r="AF288" s="1232">
        <f t="shared" si="130"/>
        <v>0</v>
      </c>
      <c r="AG288" s="1232">
        <f t="shared" si="131"/>
        <v>0</v>
      </c>
      <c r="AH288" s="1173">
        <f t="shared" si="137"/>
        <v>0</v>
      </c>
      <c r="AI288" s="1233">
        <f t="shared" si="138"/>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2"/>
        <v>0</v>
      </c>
      <c r="N289" s="312">
        <f t="shared" si="133"/>
        <v>0</v>
      </c>
      <c r="O289" s="346">
        <v>0</v>
      </c>
      <c r="P289" s="347">
        <v>0</v>
      </c>
      <c r="Q289" s="347">
        <v>0</v>
      </c>
      <c r="R289" s="347">
        <v>0</v>
      </c>
      <c r="S289" s="347">
        <v>0</v>
      </c>
      <c r="T289" s="347">
        <v>0</v>
      </c>
      <c r="U289" s="347">
        <v>0</v>
      </c>
      <c r="V289" s="347">
        <v>0</v>
      </c>
      <c r="W289" s="347">
        <v>0</v>
      </c>
      <c r="X289" s="347">
        <v>0</v>
      </c>
      <c r="Y289" s="381">
        <v>0</v>
      </c>
      <c r="Z289" s="310">
        <f t="shared" si="134"/>
        <v>0</v>
      </c>
      <c r="AA289" s="312">
        <f t="shared" si="135"/>
        <v>0</v>
      </c>
      <c r="AB289" s="949">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50">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7">
        <f t="shared" si="136"/>
        <v>0</v>
      </c>
      <c r="AE289" s="1231">
        <f t="shared" si="129"/>
        <v>0</v>
      </c>
      <c r="AF289" s="1232">
        <f t="shared" si="130"/>
        <v>0</v>
      </c>
      <c r="AG289" s="1232">
        <f t="shared" si="131"/>
        <v>0</v>
      </c>
      <c r="AH289" s="1173">
        <f t="shared" si="137"/>
        <v>0</v>
      </c>
      <c r="AI289" s="1233">
        <f t="shared" si="138"/>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2"/>
        <v>0</v>
      </c>
      <c r="N290" s="284">
        <f t="shared" si="133"/>
        <v>0</v>
      </c>
      <c r="O290" s="342">
        <v>0</v>
      </c>
      <c r="P290" s="343">
        <v>0</v>
      </c>
      <c r="Q290" s="343">
        <v>0</v>
      </c>
      <c r="R290" s="343">
        <v>0</v>
      </c>
      <c r="S290" s="343">
        <v>0</v>
      </c>
      <c r="T290" s="343">
        <v>0</v>
      </c>
      <c r="U290" s="343">
        <v>0</v>
      </c>
      <c r="V290" s="343">
        <v>0</v>
      </c>
      <c r="W290" s="343">
        <v>0</v>
      </c>
      <c r="X290" s="343">
        <v>0</v>
      </c>
      <c r="Y290" s="379">
        <v>0</v>
      </c>
      <c r="Z290" s="282">
        <f t="shared" si="134"/>
        <v>0</v>
      </c>
      <c r="AA290" s="284">
        <f t="shared" si="135"/>
        <v>0</v>
      </c>
      <c r="AB290" s="949">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50">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7">
        <f t="shared" si="136"/>
        <v>0</v>
      </c>
      <c r="AE290" s="1231">
        <f t="shared" si="129"/>
        <v>0</v>
      </c>
      <c r="AF290" s="1232">
        <f t="shared" si="130"/>
        <v>0</v>
      </c>
      <c r="AG290" s="1232">
        <f t="shared" si="131"/>
        <v>0</v>
      </c>
      <c r="AH290" s="1173">
        <f t="shared" si="137"/>
        <v>0</v>
      </c>
      <c r="AI290" s="1233">
        <f t="shared" si="138"/>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2"/>
        <v>0</v>
      </c>
      <c r="N291" s="298">
        <f t="shared" si="133"/>
        <v>0</v>
      </c>
      <c r="O291" s="344">
        <v>0</v>
      </c>
      <c r="P291" s="345">
        <v>0</v>
      </c>
      <c r="Q291" s="345">
        <v>0</v>
      </c>
      <c r="R291" s="345">
        <v>0</v>
      </c>
      <c r="S291" s="345">
        <v>0</v>
      </c>
      <c r="T291" s="345">
        <v>0</v>
      </c>
      <c r="U291" s="345">
        <v>0</v>
      </c>
      <c r="V291" s="345">
        <v>0</v>
      </c>
      <c r="W291" s="345">
        <v>0</v>
      </c>
      <c r="X291" s="345">
        <v>0</v>
      </c>
      <c r="Y291" s="380">
        <v>0</v>
      </c>
      <c r="Z291" s="296">
        <f t="shared" si="134"/>
        <v>0</v>
      </c>
      <c r="AA291" s="298">
        <f t="shared" si="135"/>
        <v>0</v>
      </c>
      <c r="AB291" s="949">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50">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7">
        <f t="shared" si="136"/>
        <v>0</v>
      </c>
      <c r="AE291" s="1231">
        <f t="shared" si="129"/>
        <v>0</v>
      </c>
      <c r="AF291" s="1232">
        <f t="shared" si="130"/>
        <v>0</v>
      </c>
      <c r="AG291" s="1232">
        <f t="shared" si="131"/>
        <v>0</v>
      </c>
      <c r="AH291" s="1173">
        <f t="shared" si="137"/>
        <v>0</v>
      </c>
      <c r="AI291" s="1233">
        <f t="shared" si="138"/>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2"/>
        <v>0</v>
      </c>
      <c r="N292" s="298">
        <f t="shared" si="133"/>
        <v>0</v>
      </c>
      <c r="O292" s="344">
        <v>0</v>
      </c>
      <c r="P292" s="345">
        <v>0</v>
      </c>
      <c r="Q292" s="345">
        <v>0</v>
      </c>
      <c r="R292" s="345">
        <v>0</v>
      </c>
      <c r="S292" s="345">
        <v>0</v>
      </c>
      <c r="T292" s="345">
        <v>0</v>
      </c>
      <c r="U292" s="345">
        <v>0</v>
      </c>
      <c r="V292" s="345">
        <v>0</v>
      </c>
      <c r="W292" s="345">
        <v>0</v>
      </c>
      <c r="X292" s="345">
        <v>0</v>
      </c>
      <c r="Y292" s="380">
        <v>0</v>
      </c>
      <c r="Z292" s="296">
        <f t="shared" si="134"/>
        <v>0</v>
      </c>
      <c r="AA292" s="298">
        <f t="shared" si="135"/>
        <v>0</v>
      </c>
      <c r="AB292" s="949">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50">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7">
        <f t="shared" si="136"/>
        <v>0</v>
      </c>
      <c r="AE292" s="1231">
        <f t="shared" si="129"/>
        <v>0</v>
      </c>
      <c r="AF292" s="1232">
        <f t="shared" si="130"/>
        <v>0</v>
      </c>
      <c r="AG292" s="1232">
        <f t="shared" si="131"/>
        <v>0</v>
      </c>
      <c r="AH292" s="1173">
        <f t="shared" si="137"/>
        <v>0</v>
      </c>
      <c r="AI292" s="1233">
        <f t="shared" si="138"/>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2"/>
        <v>0</v>
      </c>
      <c r="N293" s="298">
        <f t="shared" si="133"/>
        <v>0</v>
      </c>
      <c r="O293" s="344">
        <v>0</v>
      </c>
      <c r="P293" s="345">
        <v>0</v>
      </c>
      <c r="Q293" s="345">
        <v>0</v>
      </c>
      <c r="R293" s="345">
        <v>0</v>
      </c>
      <c r="S293" s="345">
        <v>0</v>
      </c>
      <c r="T293" s="345">
        <v>0</v>
      </c>
      <c r="U293" s="345">
        <v>0</v>
      </c>
      <c r="V293" s="345">
        <v>0</v>
      </c>
      <c r="W293" s="345">
        <v>0</v>
      </c>
      <c r="X293" s="345">
        <v>0</v>
      </c>
      <c r="Y293" s="380">
        <v>0</v>
      </c>
      <c r="Z293" s="296">
        <f t="shared" si="134"/>
        <v>0</v>
      </c>
      <c r="AA293" s="298">
        <f t="shared" si="135"/>
        <v>0</v>
      </c>
      <c r="AB293" s="949">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50">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7">
        <f t="shared" si="136"/>
        <v>0</v>
      </c>
      <c r="AE293" s="1231">
        <f t="shared" si="129"/>
        <v>0</v>
      </c>
      <c r="AF293" s="1232">
        <f t="shared" si="130"/>
        <v>0</v>
      </c>
      <c r="AG293" s="1232">
        <f t="shared" si="131"/>
        <v>0</v>
      </c>
      <c r="AH293" s="1173">
        <f t="shared" si="137"/>
        <v>0</v>
      </c>
      <c r="AI293" s="1233">
        <f t="shared" si="138"/>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2"/>
        <v>0</v>
      </c>
      <c r="N294" s="312">
        <f t="shared" si="133"/>
        <v>0</v>
      </c>
      <c r="O294" s="346">
        <v>0</v>
      </c>
      <c r="P294" s="347">
        <v>0</v>
      </c>
      <c r="Q294" s="347">
        <v>0</v>
      </c>
      <c r="R294" s="347">
        <v>0</v>
      </c>
      <c r="S294" s="347">
        <v>0</v>
      </c>
      <c r="T294" s="347">
        <v>0</v>
      </c>
      <c r="U294" s="347">
        <v>0</v>
      </c>
      <c r="V294" s="347">
        <v>0</v>
      </c>
      <c r="W294" s="347">
        <v>0</v>
      </c>
      <c r="X294" s="347">
        <v>0</v>
      </c>
      <c r="Y294" s="381">
        <v>0</v>
      </c>
      <c r="Z294" s="310">
        <f t="shared" si="134"/>
        <v>0</v>
      </c>
      <c r="AA294" s="312">
        <f t="shared" si="135"/>
        <v>0</v>
      </c>
      <c r="AB294" s="949">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50">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7">
        <f t="shared" si="136"/>
        <v>0</v>
      </c>
      <c r="AE294" s="1231">
        <f t="shared" si="129"/>
        <v>0</v>
      </c>
      <c r="AF294" s="1232">
        <f t="shared" si="130"/>
        <v>0</v>
      </c>
      <c r="AG294" s="1232">
        <f t="shared" si="131"/>
        <v>0</v>
      </c>
      <c r="AH294" s="1173">
        <f t="shared" si="137"/>
        <v>0</v>
      </c>
      <c r="AI294" s="1233">
        <f t="shared" si="138"/>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2"/>
        <v>0</v>
      </c>
      <c r="N295" s="284">
        <f t="shared" si="133"/>
        <v>0</v>
      </c>
      <c r="O295" s="342">
        <v>0</v>
      </c>
      <c r="P295" s="343">
        <v>0</v>
      </c>
      <c r="Q295" s="343">
        <v>0</v>
      </c>
      <c r="R295" s="343">
        <v>0</v>
      </c>
      <c r="S295" s="343">
        <v>0</v>
      </c>
      <c r="T295" s="343">
        <v>0</v>
      </c>
      <c r="U295" s="343">
        <v>0</v>
      </c>
      <c r="V295" s="343">
        <v>0</v>
      </c>
      <c r="W295" s="343">
        <v>0</v>
      </c>
      <c r="X295" s="343">
        <v>0</v>
      </c>
      <c r="Y295" s="379">
        <v>0</v>
      </c>
      <c r="Z295" s="282">
        <f t="shared" si="134"/>
        <v>0</v>
      </c>
      <c r="AA295" s="284">
        <f t="shared" si="135"/>
        <v>0</v>
      </c>
      <c r="AB295" s="949">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50">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7">
        <f t="shared" si="136"/>
        <v>0</v>
      </c>
      <c r="AE295" s="1231">
        <f t="shared" si="129"/>
        <v>0</v>
      </c>
      <c r="AF295" s="1232">
        <f t="shared" si="130"/>
        <v>0</v>
      </c>
      <c r="AG295" s="1232">
        <f t="shared" si="131"/>
        <v>0</v>
      </c>
      <c r="AH295" s="1173">
        <f t="shared" si="137"/>
        <v>0</v>
      </c>
      <c r="AI295" s="1233">
        <f t="shared" si="138"/>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2"/>
        <v>0</v>
      </c>
      <c r="N296" s="298">
        <f t="shared" si="133"/>
        <v>0</v>
      </c>
      <c r="O296" s="344">
        <v>0</v>
      </c>
      <c r="P296" s="345">
        <v>0</v>
      </c>
      <c r="Q296" s="345">
        <v>0</v>
      </c>
      <c r="R296" s="345">
        <v>0</v>
      </c>
      <c r="S296" s="345">
        <v>0</v>
      </c>
      <c r="T296" s="345">
        <v>0</v>
      </c>
      <c r="U296" s="345">
        <v>0</v>
      </c>
      <c r="V296" s="345">
        <v>0</v>
      </c>
      <c r="W296" s="345">
        <v>0</v>
      </c>
      <c r="X296" s="345">
        <v>0</v>
      </c>
      <c r="Y296" s="380">
        <v>0</v>
      </c>
      <c r="Z296" s="296">
        <f t="shared" si="134"/>
        <v>0</v>
      </c>
      <c r="AA296" s="298">
        <f t="shared" si="135"/>
        <v>0</v>
      </c>
      <c r="AB296" s="949">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50">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7">
        <f t="shared" si="136"/>
        <v>0</v>
      </c>
      <c r="AE296" s="1231">
        <f t="shared" si="129"/>
        <v>0</v>
      </c>
      <c r="AF296" s="1232">
        <f t="shared" si="130"/>
        <v>0</v>
      </c>
      <c r="AG296" s="1232">
        <f t="shared" si="131"/>
        <v>0</v>
      </c>
      <c r="AH296" s="1173">
        <f t="shared" si="137"/>
        <v>0</v>
      </c>
      <c r="AI296" s="1233">
        <f t="shared" si="138"/>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2"/>
        <v>0</v>
      </c>
      <c r="N297" s="298">
        <f t="shared" si="133"/>
        <v>0</v>
      </c>
      <c r="O297" s="344">
        <v>0</v>
      </c>
      <c r="P297" s="345">
        <v>0</v>
      </c>
      <c r="Q297" s="345">
        <v>0</v>
      </c>
      <c r="R297" s="345">
        <v>0</v>
      </c>
      <c r="S297" s="345">
        <v>0</v>
      </c>
      <c r="T297" s="345">
        <v>0</v>
      </c>
      <c r="U297" s="345">
        <v>0</v>
      </c>
      <c r="V297" s="345">
        <v>0</v>
      </c>
      <c r="W297" s="345">
        <v>0</v>
      </c>
      <c r="X297" s="345">
        <v>0</v>
      </c>
      <c r="Y297" s="380">
        <v>0</v>
      </c>
      <c r="Z297" s="296">
        <f t="shared" si="134"/>
        <v>0</v>
      </c>
      <c r="AA297" s="298">
        <f t="shared" si="135"/>
        <v>0</v>
      </c>
      <c r="AB297" s="949">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50">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7">
        <f t="shared" si="136"/>
        <v>0</v>
      </c>
      <c r="AE297" s="1231">
        <f t="shared" si="129"/>
        <v>0</v>
      </c>
      <c r="AF297" s="1232">
        <f t="shared" si="130"/>
        <v>0</v>
      </c>
      <c r="AG297" s="1232">
        <f t="shared" si="131"/>
        <v>0</v>
      </c>
      <c r="AH297" s="1173">
        <f t="shared" si="137"/>
        <v>0</v>
      </c>
      <c r="AI297" s="1233">
        <f t="shared" si="138"/>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2"/>
        <v>0</v>
      </c>
      <c r="N298" s="298">
        <f t="shared" si="133"/>
        <v>0</v>
      </c>
      <c r="O298" s="344">
        <v>0</v>
      </c>
      <c r="P298" s="345">
        <v>0</v>
      </c>
      <c r="Q298" s="345">
        <v>0</v>
      </c>
      <c r="R298" s="345">
        <v>0</v>
      </c>
      <c r="S298" s="345">
        <v>0</v>
      </c>
      <c r="T298" s="345">
        <v>0</v>
      </c>
      <c r="U298" s="345">
        <v>0</v>
      </c>
      <c r="V298" s="345">
        <v>0</v>
      </c>
      <c r="W298" s="345">
        <v>0</v>
      </c>
      <c r="X298" s="345">
        <v>0</v>
      </c>
      <c r="Y298" s="380">
        <v>0</v>
      </c>
      <c r="Z298" s="296">
        <f t="shared" si="134"/>
        <v>0</v>
      </c>
      <c r="AA298" s="298">
        <f t="shared" si="135"/>
        <v>0</v>
      </c>
      <c r="AB298" s="949">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50">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7">
        <f t="shared" si="136"/>
        <v>0</v>
      </c>
      <c r="AE298" s="1231">
        <f t="shared" si="129"/>
        <v>0</v>
      </c>
      <c r="AF298" s="1232">
        <f t="shared" si="130"/>
        <v>0</v>
      </c>
      <c r="AG298" s="1232">
        <f t="shared" si="131"/>
        <v>0</v>
      </c>
      <c r="AH298" s="1173">
        <f t="shared" si="137"/>
        <v>0</v>
      </c>
      <c r="AI298" s="1233">
        <f t="shared" si="138"/>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2"/>
        <v>0</v>
      </c>
      <c r="N299" s="312">
        <f t="shared" si="133"/>
        <v>0</v>
      </c>
      <c r="O299" s="346">
        <v>0</v>
      </c>
      <c r="P299" s="347">
        <v>0</v>
      </c>
      <c r="Q299" s="347">
        <v>0</v>
      </c>
      <c r="R299" s="347">
        <v>0</v>
      </c>
      <c r="S299" s="347">
        <v>0</v>
      </c>
      <c r="T299" s="347">
        <v>0</v>
      </c>
      <c r="U299" s="347">
        <v>0</v>
      </c>
      <c r="V299" s="347">
        <v>0</v>
      </c>
      <c r="W299" s="347">
        <v>0</v>
      </c>
      <c r="X299" s="347">
        <v>0</v>
      </c>
      <c r="Y299" s="381">
        <v>0</v>
      </c>
      <c r="Z299" s="310">
        <f t="shared" si="134"/>
        <v>0</v>
      </c>
      <c r="AA299" s="312">
        <f t="shared" si="135"/>
        <v>0</v>
      </c>
      <c r="AB299" s="949">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50">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7">
        <f t="shared" si="136"/>
        <v>0</v>
      </c>
      <c r="AE299" s="1231">
        <f t="shared" si="129"/>
        <v>0</v>
      </c>
      <c r="AF299" s="1232">
        <f t="shared" si="130"/>
        <v>0</v>
      </c>
      <c r="AG299" s="1232">
        <f t="shared" si="131"/>
        <v>0</v>
      </c>
      <c r="AH299" s="1173">
        <f t="shared" si="137"/>
        <v>0</v>
      </c>
      <c r="AI299" s="1233">
        <f t="shared" si="138"/>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2"/>
        <v>0</v>
      </c>
      <c r="N300" s="284">
        <f t="shared" si="133"/>
        <v>0</v>
      </c>
      <c r="O300" s="342">
        <v>0</v>
      </c>
      <c r="P300" s="343">
        <v>0</v>
      </c>
      <c r="Q300" s="343">
        <v>0</v>
      </c>
      <c r="R300" s="343">
        <v>0</v>
      </c>
      <c r="S300" s="343">
        <v>0</v>
      </c>
      <c r="T300" s="343">
        <v>0</v>
      </c>
      <c r="U300" s="343">
        <v>0</v>
      </c>
      <c r="V300" s="343">
        <v>0</v>
      </c>
      <c r="W300" s="343">
        <v>0</v>
      </c>
      <c r="X300" s="343">
        <v>0</v>
      </c>
      <c r="Y300" s="379">
        <v>0</v>
      </c>
      <c r="Z300" s="282">
        <f t="shared" si="134"/>
        <v>0</v>
      </c>
      <c r="AA300" s="284">
        <f t="shared" si="135"/>
        <v>0</v>
      </c>
      <c r="AB300" s="949">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50">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7">
        <f t="shared" si="136"/>
        <v>0</v>
      </c>
      <c r="AE300" s="1231">
        <f t="shared" si="129"/>
        <v>0</v>
      </c>
      <c r="AF300" s="1232">
        <f t="shared" si="130"/>
        <v>0</v>
      </c>
      <c r="AG300" s="1232">
        <f t="shared" si="131"/>
        <v>0</v>
      </c>
      <c r="AH300" s="1173">
        <f t="shared" si="137"/>
        <v>0</v>
      </c>
      <c r="AI300" s="1233">
        <f t="shared" si="138"/>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2"/>
        <v>0</v>
      </c>
      <c r="N301" s="298">
        <f t="shared" si="133"/>
        <v>0</v>
      </c>
      <c r="O301" s="344">
        <v>0</v>
      </c>
      <c r="P301" s="345">
        <v>0</v>
      </c>
      <c r="Q301" s="345">
        <v>0</v>
      </c>
      <c r="R301" s="345">
        <v>0</v>
      </c>
      <c r="S301" s="345">
        <v>0</v>
      </c>
      <c r="T301" s="345">
        <v>0</v>
      </c>
      <c r="U301" s="345">
        <v>0</v>
      </c>
      <c r="V301" s="345">
        <v>0</v>
      </c>
      <c r="W301" s="345">
        <v>0</v>
      </c>
      <c r="X301" s="345">
        <v>0</v>
      </c>
      <c r="Y301" s="380">
        <v>0</v>
      </c>
      <c r="Z301" s="296">
        <f t="shared" si="134"/>
        <v>0</v>
      </c>
      <c r="AA301" s="298">
        <f t="shared" si="135"/>
        <v>0</v>
      </c>
      <c r="AB301" s="949">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50">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7">
        <f t="shared" si="136"/>
        <v>0</v>
      </c>
      <c r="AE301" s="1231">
        <f>SUMPRODUCT($B$74:$L$74,B301:L301)</f>
        <v>0</v>
      </c>
      <c r="AF301" s="1232">
        <f>SUMPRODUCT($O$74:$Y$74,O301:Y301)</f>
        <v>0</v>
      </c>
      <c r="AG301" s="1232">
        <f>SUM(AE301:AF301)</f>
        <v>0</v>
      </c>
      <c r="AH301" s="1173">
        <f t="shared" si="137"/>
        <v>0</v>
      </c>
      <c r="AI301" s="1233">
        <f t="shared" si="138"/>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2"/>
        <v>0</v>
      </c>
      <c r="N302" s="298">
        <f t="shared" si="133"/>
        <v>0</v>
      </c>
      <c r="O302" s="344">
        <v>0</v>
      </c>
      <c r="P302" s="345">
        <v>0</v>
      </c>
      <c r="Q302" s="345">
        <v>0</v>
      </c>
      <c r="R302" s="345">
        <v>0</v>
      </c>
      <c r="S302" s="345">
        <v>0</v>
      </c>
      <c r="T302" s="345">
        <v>0</v>
      </c>
      <c r="U302" s="345">
        <v>0</v>
      </c>
      <c r="V302" s="345">
        <v>0</v>
      </c>
      <c r="W302" s="345">
        <v>0</v>
      </c>
      <c r="X302" s="345">
        <v>0</v>
      </c>
      <c r="Y302" s="380">
        <v>0</v>
      </c>
      <c r="Z302" s="296">
        <f t="shared" si="134"/>
        <v>0</v>
      </c>
      <c r="AA302" s="298">
        <f t="shared" si="135"/>
        <v>0</v>
      </c>
      <c r="AB302" s="949">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50">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7">
        <f t="shared" si="136"/>
        <v>0</v>
      </c>
      <c r="AE302" s="1231">
        <f t="shared" ref="AE302:AE329" si="139">SUMPRODUCT($B$74:$L$74,B302:L302)</f>
        <v>0</v>
      </c>
      <c r="AF302" s="1232">
        <f t="shared" ref="AF302:AF329" si="140">SUMPRODUCT($O$74:$Y$74,O302:Y302)</f>
        <v>0</v>
      </c>
      <c r="AG302" s="1232">
        <f t="shared" ref="AG302:AG329" si="141">SUM(AE302:AF302)</f>
        <v>0</v>
      </c>
      <c r="AH302" s="1173">
        <f t="shared" si="137"/>
        <v>0</v>
      </c>
      <c r="AI302" s="1233">
        <f t="shared" si="138"/>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2"/>
        <v>0</v>
      </c>
      <c r="N303" s="298">
        <f t="shared" si="133"/>
        <v>0</v>
      </c>
      <c r="O303" s="344">
        <v>0</v>
      </c>
      <c r="P303" s="345">
        <v>0</v>
      </c>
      <c r="Q303" s="345">
        <v>0</v>
      </c>
      <c r="R303" s="345">
        <v>0</v>
      </c>
      <c r="S303" s="345">
        <v>0</v>
      </c>
      <c r="T303" s="345">
        <v>0</v>
      </c>
      <c r="U303" s="345">
        <v>0</v>
      </c>
      <c r="V303" s="345">
        <v>0</v>
      </c>
      <c r="W303" s="345">
        <v>0</v>
      </c>
      <c r="X303" s="345">
        <v>0</v>
      </c>
      <c r="Y303" s="380">
        <v>0</v>
      </c>
      <c r="Z303" s="296">
        <f t="shared" si="134"/>
        <v>0</v>
      </c>
      <c r="AA303" s="298">
        <f t="shared" si="135"/>
        <v>0</v>
      </c>
      <c r="AB303" s="949">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50">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7">
        <f t="shared" si="136"/>
        <v>0</v>
      </c>
      <c r="AE303" s="1231">
        <f t="shared" si="139"/>
        <v>0</v>
      </c>
      <c r="AF303" s="1232">
        <f t="shared" si="140"/>
        <v>0</v>
      </c>
      <c r="AG303" s="1232">
        <f t="shared" si="141"/>
        <v>0</v>
      </c>
      <c r="AH303" s="1173">
        <f t="shared" si="137"/>
        <v>0</v>
      </c>
      <c r="AI303" s="1233">
        <f t="shared" si="138"/>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2"/>
        <v>0</v>
      </c>
      <c r="N304" s="312">
        <f t="shared" si="133"/>
        <v>0</v>
      </c>
      <c r="O304" s="346">
        <v>0</v>
      </c>
      <c r="P304" s="347">
        <v>0</v>
      </c>
      <c r="Q304" s="347">
        <v>0</v>
      </c>
      <c r="R304" s="347">
        <v>0</v>
      </c>
      <c r="S304" s="347">
        <v>0</v>
      </c>
      <c r="T304" s="347">
        <v>0</v>
      </c>
      <c r="U304" s="347">
        <v>0</v>
      </c>
      <c r="V304" s="347">
        <v>0</v>
      </c>
      <c r="W304" s="347">
        <v>0</v>
      </c>
      <c r="X304" s="347">
        <v>0</v>
      </c>
      <c r="Y304" s="381">
        <v>0</v>
      </c>
      <c r="Z304" s="310">
        <f t="shared" si="134"/>
        <v>0</v>
      </c>
      <c r="AA304" s="312">
        <f t="shared" si="135"/>
        <v>0</v>
      </c>
      <c r="AB304" s="949">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50">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7">
        <f t="shared" si="136"/>
        <v>0</v>
      </c>
      <c r="AE304" s="1231">
        <f t="shared" si="139"/>
        <v>0</v>
      </c>
      <c r="AF304" s="1232">
        <f t="shared" si="140"/>
        <v>0</v>
      </c>
      <c r="AG304" s="1232">
        <f t="shared" si="141"/>
        <v>0</v>
      </c>
      <c r="AH304" s="1173">
        <f t="shared" si="137"/>
        <v>0</v>
      </c>
      <c r="AI304" s="1233">
        <f t="shared" si="138"/>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2"/>
        <v>0</v>
      </c>
      <c r="N305" s="284">
        <f t="shared" si="133"/>
        <v>0</v>
      </c>
      <c r="O305" s="342">
        <v>0</v>
      </c>
      <c r="P305" s="343">
        <v>0</v>
      </c>
      <c r="Q305" s="343">
        <v>0</v>
      </c>
      <c r="R305" s="343">
        <v>0</v>
      </c>
      <c r="S305" s="343">
        <v>0</v>
      </c>
      <c r="T305" s="343">
        <v>0</v>
      </c>
      <c r="U305" s="343">
        <v>0</v>
      </c>
      <c r="V305" s="343">
        <v>0</v>
      </c>
      <c r="W305" s="343">
        <v>0</v>
      </c>
      <c r="X305" s="343">
        <v>0</v>
      </c>
      <c r="Y305" s="379">
        <v>0</v>
      </c>
      <c r="Z305" s="282">
        <f t="shared" si="134"/>
        <v>0</v>
      </c>
      <c r="AA305" s="284">
        <f t="shared" si="135"/>
        <v>0</v>
      </c>
      <c r="AB305" s="949">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50">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7">
        <f t="shared" si="136"/>
        <v>0</v>
      </c>
      <c r="AE305" s="1231">
        <f t="shared" si="139"/>
        <v>0</v>
      </c>
      <c r="AF305" s="1232">
        <f t="shared" si="140"/>
        <v>0</v>
      </c>
      <c r="AG305" s="1232">
        <f t="shared" si="141"/>
        <v>0</v>
      </c>
      <c r="AH305" s="1173">
        <f t="shared" si="137"/>
        <v>0</v>
      </c>
      <c r="AI305" s="1233">
        <f t="shared" si="138"/>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2"/>
        <v>0</v>
      </c>
      <c r="N306" s="298">
        <f t="shared" si="133"/>
        <v>0</v>
      </c>
      <c r="O306" s="344">
        <v>0</v>
      </c>
      <c r="P306" s="345">
        <v>0</v>
      </c>
      <c r="Q306" s="345">
        <v>0</v>
      </c>
      <c r="R306" s="345">
        <v>0</v>
      </c>
      <c r="S306" s="345">
        <v>0</v>
      </c>
      <c r="T306" s="345">
        <v>0</v>
      </c>
      <c r="U306" s="345">
        <v>0</v>
      </c>
      <c r="V306" s="345">
        <v>0</v>
      </c>
      <c r="W306" s="345">
        <v>0</v>
      </c>
      <c r="X306" s="345">
        <v>0</v>
      </c>
      <c r="Y306" s="380">
        <v>0</v>
      </c>
      <c r="Z306" s="296">
        <f t="shared" si="134"/>
        <v>0</v>
      </c>
      <c r="AA306" s="298">
        <f t="shared" si="135"/>
        <v>0</v>
      </c>
      <c r="AB306" s="949">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50">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7">
        <f t="shared" si="136"/>
        <v>0</v>
      </c>
      <c r="AE306" s="1231">
        <f t="shared" si="139"/>
        <v>0</v>
      </c>
      <c r="AF306" s="1232">
        <f t="shared" si="140"/>
        <v>0</v>
      </c>
      <c r="AG306" s="1232">
        <f t="shared" si="141"/>
        <v>0</v>
      </c>
      <c r="AH306" s="1173">
        <f t="shared" si="137"/>
        <v>0</v>
      </c>
      <c r="AI306" s="1233">
        <f t="shared" si="138"/>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2"/>
        <v>0</v>
      </c>
      <c r="N307" s="298">
        <f t="shared" si="133"/>
        <v>0</v>
      </c>
      <c r="O307" s="344">
        <v>0</v>
      </c>
      <c r="P307" s="345">
        <v>0</v>
      </c>
      <c r="Q307" s="345">
        <v>0</v>
      </c>
      <c r="R307" s="345">
        <v>0</v>
      </c>
      <c r="S307" s="345">
        <v>0</v>
      </c>
      <c r="T307" s="345">
        <v>0</v>
      </c>
      <c r="U307" s="345">
        <v>0</v>
      </c>
      <c r="V307" s="345">
        <v>0</v>
      </c>
      <c r="W307" s="345">
        <v>0</v>
      </c>
      <c r="X307" s="345">
        <v>0</v>
      </c>
      <c r="Y307" s="380">
        <v>0</v>
      </c>
      <c r="Z307" s="296">
        <f t="shared" si="134"/>
        <v>0</v>
      </c>
      <c r="AA307" s="298">
        <f t="shared" si="135"/>
        <v>0</v>
      </c>
      <c r="AB307" s="949">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50">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7">
        <f t="shared" si="136"/>
        <v>0</v>
      </c>
      <c r="AE307" s="1231">
        <f t="shared" si="139"/>
        <v>0</v>
      </c>
      <c r="AF307" s="1232">
        <f t="shared" si="140"/>
        <v>0</v>
      </c>
      <c r="AG307" s="1232">
        <f t="shared" si="141"/>
        <v>0</v>
      </c>
      <c r="AH307" s="1173">
        <f t="shared" si="137"/>
        <v>0</v>
      </c>
      <c r="AI307" s="1233">
        <f t="shared" si="138"/>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2"/>
        <v>0</v>
      </c>
      <c r="N308" s="298">
        <f t="shared" si="133"/>
        <v>0</v>
      </c>
      <c r="O308" s="344">
        <v>0</v>
      </c>
      <c r="P308" s="345">
        <v>0</v>
      </c>
      <c r="Q308" s="345">
        <v>0</v>
      </c>
      <c r="R308" s="345">
        <v>0</v>
      </c>
      <c r="S308" s="345">
        <v>0</v>
      </c>
      <c r="T308" s="345">
        <v>0</v>
      </c>
      <c r="U308" s="345">
        <v>0</v>
      </c>
      <c r="V308" s="345">
        <v>0</v>
      </c>
      <c r="W308" s="345">
        <v>0</v>
      </c>
      <c r="X308" s="345">
        <v>0</v>
      </c>
      <c r="Y308" s="380">
        <v>0</v>
      </c>
      <c r="Z308" s="296">
        <f t="shared" si="134"/>
        <v>0</v>
      </c>
      <c r="AA308" s="298">
        <f t="shared" si="135"/>
        <v>0</v>
      </c>
      <c r="AB308" s="949">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50">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7">
        <f t="shared" si="136"/>
        <v>0</v>
      </c>
      <c r="AE308" s="1231">
        <f t="shared" si="139"/>
        <v>0</v>
      </c>
      <c r="AF308" s="1232">
        <f t="shared" si="140"/>
        <v>0</v>
      </c>
      <c r="AG308" s="1232">
        <f t="shared" si="141"/>
        <v>0</v>
      </c>
      <c r="AH308" s="1173">
        <f t="shared" si="137"/>
        <v>0</v>
      </c>
      <c r="AI308" s="1233">
        <f t="shared" si="138"/>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2"/>
        <v>0</v>
      </c>
      <c r="N309" s="312">
        <f t="shared" si="133"/>
        <v>0</v>
      </c>
      <c r="O309" s="346">
        <v>0</v>
      </c>
      <c r="P309" s="347">
        <v>0</v>
      </c>
      <c r="Q309" s="347">
        <v>0</v>
      </c>
      <c r="R309" s="347">
        <v>0</v>
      </c>
      <c r="S309" s="347">
        <v>0</v>
      </c>
      <c r="T309" s="347">
        <v>0</v>
      </c>
      <c r="U309" s="347">
        <v>0</v>
      </c>
      <c r="V309" s="347">
        <v>0</v>
      </c>
      <c r="W309" s="347">
        <v>0</v>
      </c>
      <c r="X309" s="347">
        <v>0</v>
      </c>
      <c r="Y309" s="381">
        <v>0</v>
      </c>
      <c r="Z309" s="310">
        <f t="shared" si="134"/>
        <v>0</v>
      </c>
      <c r="AA309" s="312">
        <f t="shared" si="135"/>
        <v>0</v>
      </c>
      <c r="AB309" s="949">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50">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7">
        <f t="shared" si="136"/>
        <v>0</v>
      </c>
      <c r="AE309" s="1231">
        <f t="shared" si="139"/>
        <v>0</v>
      </c>
      <c r="AF309" s="1232">
        <f t="shared" si="140"/>
        <v>0</v>
      </c>
      <c r="AG309" s="1232">
        <f t="shared" si="141"/>
        <v>0</v>
      </c>
      <c r="AH309" s="1173">
        <f t="shared" si="137"/>
        <v>0</v>
      </c>
      <c r="AI309" s="1233">
        <f t="shared" si="138"/>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2"/>
        <v>0</v>
      </c>
      <c r="N310" s="284">
        <f t="shared" si="133"/>
        <v>0</v>
      </c>
      <c r="O310" s="342">
        <v>0</v>
      </c>
      <c r="P310" s="343">
        <v>0</v>
      </c>
      <c r="Q310" s="343">
        <v>0</v>
      </c>
      <c r="R310" s="343">
        <v>0</v>
      </c>
      <c r="S310" s="343">
        <v>0</v>
      </c>
      <c r="T310" s="343">
        <v>0</v>
      </c>
      <c r="U310" s="343">
        <v>0</v>
      </c>
      <c r="V310" s="343">
        <v>0</v>
      </c>
      <c r="W310" s="343">
        <v>0</v>
      </c>
      <c r="X310" s="343">
        <v>0</v>
      </c>
      <c r="Y310" s="379">
        <v>0</v>
      </c>
      <c r="Z310" s="282">
        <f t="shared" si="134"/>
        <v>0</v>
      </c>
      <c r="AA310" s="284">
        <f t="shared" si="135"/>
        <v>0</v>
      </c>
      <c r="AB310" s="949">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50">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7">
        <f t="shared" si="136"/>
        <v>0</v>
      </c>
      <c r="AE310" s="1231">
        <f t="shared" si="139"/>
        <v>0</v>
      </c>
      <c r="AF310" s="1232">
        <f t="shared" si="140"/>
        <v>0</v>
      </c>
      <c r="AG310" s="1232">
        <f t="shared" si="141"/>
        <v>0</v>
      </c>
      <c r="AH310" s="1173">
        <f t="shared" si="137"/>
        <v>0</v>
      </c>
      <c r="AI310" s="1233">
        <f t="shared" si="138"/>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2"/>
        <v>0</v>
      </c>
      <c r="N311" s="298">
        <f t="shared" si="133"/>
        <v>0</v>
      </c>
      <c r="O311" s="344">
        <v>0</v>
      </c>
      <c r="P311" s="345">
        <v>0</v>
      </c>
      <c r="Q311" s="345">
        <v>0</v>
      </c>
      <c r="R311" s="345">
        <v>0</v>
      </c>
      <c r="S311" s="345">
        <v>0</v>
      </c>
      <c r="T311" s="345">
        <v>0</v>
      </c>
      <c r="U311" s="345">
        <v>0</v>
      </c>
      <c r="V311" s="345">
        <v>0</v>
      </c>
      <c r="W311" s="345">
        <v>0</v>
      </c>
      <c r="X311" s="345">
        <v>0</v>
      </c>
      <c r="Y311" s="380">
        <v>0</v>
      </c>
      <c r="Z311" s="296">
        <f t="shared" si="134"/>
        <v>0</v>
      </c>
      <c r="AA311" s="298">
        <f t="shared" si="135"/>
        <v>0</v>
      </c>
      <c r="AB311" s="949">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50">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7">
        <f t="shared" si="136"/>
        <v>0</v>
      </c>
      <c r="AE311" s="1231">
        <f t="shared" si="139"/>
        <v>0</v>
      </c>
      <c r="AF311" s="1232">
        <f t="shared" si="140"/>
        <v>0</v>
      </c>
      <c r="AG311" s="1232">
        <f t="shared" si="141"/>
        <v>0</v>
      </c>
      <c r="AH311" s="1173">
        <f t="shared" si="137"/>
        <v>0</v>
      </c>
      <c r="AI311" s="1233">
        <f t="shared" si="138"/>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2"/>
        <v>0</v>
      </c>
      <c r="N312" s="298">
        <f t="shared" si="133"/>
        <v>0</v>
      </c>
      <c r="O312" s="344">
        <v>0</v>
      </c>
      <c r="P312" s="345">
        <v>0</v>
      </c>
      <c r="Q312" s="345">
        <v>0</v>
      </c>
      <c r="R312" s="345">
        <v>0</v>
      </c>
      <c r="S312" s="345">
        <v>0</v>
      </c>
      <c r="T312" s="345">
        <v>0</v>
      </c>
      <c r="U312" s="345">
        <v>0</v>
      </c>
      <c r="V312" s="345">
        <v>0</v>
      </c>
      <c r="W312" s="345">
        <v>0</v>
      </c>
      <c r="X312" s="345">
        <v>0</v>
      </c>
      <c r="Y312" s="380">
        <v>0</v>
      </c>
      <c r="Z312" s="296">
        <f t="shared" si="134"/>
        <v>0</v>
      </c>
      <c r="AA312" s="298">
        <f t="shared" si="135"/>
        <v>0</v>
      </c>
      <c r="AB312" s="949">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50">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7">
        <f>AB312*AH312+AC312*AI312</f>
        <v>0</v>
      </c>
      <c r="AE312" s="1231">
        <f t="shared" si="139"/>
        <v>0</v>
      </c>
      <c r="AF312" s="1232">
        <f t="shared" si="140"/>
        <v>0</v>
      </c>
      <c r="AG312" s="1232">
        <f t="shared" si="141"/>
        <v>0</v>
      </c>
      <c r="AH312" s="1173">
        <f t="shared" si="137"/>
        <v>0</v>
      </c>
      <c r="AI312" s="1233">
        <f t="shared" si="138"/>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2"/>
        <v>0</v>
      </c>
      <c r="N313" s="298">
        <f t="shared" si="133"/>
        <v>0</v>
      </c>
      <c r="O313" s="344">
        <v>0</v>
      </c>
      <c r="P313" s="345">
        <v>0</v>
      </c>
      <c r="Q313" s="345">
        <v>0</v>
      </c>
      <c r="R313" s="345">
        <v>0</v>
      </c>
      <c r="S313" s="345">
        <v>0</v>
      </c>
      <c r="T313" s="345">
        <v>0</v>
      </c>
      <c r="U313" s="345">
        <v>0</v>
      </c>
      <c r="V313" s="345">
        <v>0</v>
      </c>
      <c r="W313" s="345">
        <v>0</v>
      </c>
      <c r="X313" s="345">
        <v>0</v>
      </c>
      <c r="Y313" s="380">
        <v>0</v>
      </c>
      <c r="Z313" s="296">
        <f t="shared" si="134"/>
        <v>0</v>
      </c>
      <c r="AA313" s="298">
        <f t="shared" si="135"/>
        <v>0</v>
      </c>
      <c r="AB313" s="949">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50">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7">
        <f t="shared" ref="AD313:AD329" si="142">AB313*AH313+AC313*AI313</f>
        <v>0</v>
      </c>
      <c r="AE313" s="1231">
        <f t="shared" si="139"/>
        <v>0</v>
      </c>
      <c r="AF313" s="1232">
        <f t="shared" si="140"/>
        <v>0</v>
      </c>
      <c r="AG313" s="1232">
        <f t="shared" si="141"/>
        <v>0</v>
      </c>
      <c r="AH313" s="1173">
        <f t="shared" si="137"/>
        <v>0</v>
      </c>
      <c r="AI313" s="1233">
        <f t="shared" si="138"/>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2"/>
        <v>0</v>
      </c>
      <c r="N314" s="312">
        <f t="shared" si="133"/>
        <v>0</v>
      </c>
      <c r="O314" s="346">
        <v>0</v>
      </c>
      <c r="P314" s="347">
        <v>0</v>
      </c>
      <c r="Q314" s="347">
        <v>0</v>
      </c>
      <c r="R314" s="347">
        <v>0</v>
      </c>
      <c r="S314" s="347">
        <v>0</v>
      </c>
      <c r="T314" s="347">
        <v>0</v>
      </c>
      <c r="U314" s="347">
        <v>0</v>
      </c>
      <c r="V314" s="347">
        <v>0</v>
      </c>
      <c r="W314" s="347">
        <v>0</v>
      </c>
      <c r="X314" s="347">
        <v>0</v>
      </c>
      <c r="Y314" s="381">
        <v>0</v>
      </c>
      <c r="Z314" s="310">
        <f t="shared" si="134"/>
        <v>0</v>
      </c>
      <c r="AA314" s="312">
        <f t="shared" si="135"/>
        <v>0</v>
      </c>
      <c r="AB314" s="949">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50">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7">
        <f t="shared" si="142"/>
        <v>0</v>
      </c>
      <c r="AE314" s="1231">
        <f t="shared" si="139"/>
        <v>0</v>
      </c>
      <c r="AF314" s="1232">
        <f t="shared" si="140"/>
        <v>0</v>
      </c>
      <c r="AG314" s="1232">
        <f t="shared" si="141"/>
        <v>0</v>
      </c>
      <c r="AH314" s="1173">
        <f t="shared" si="137"/>
        <v>0</v>
      </c>
      <c r="AI314" s="1233">
        <f t="shared" si="138"/>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2"/>
        <v>0</v>
      </c>
      <c r="N315" s="284">
        <f t="shared" si="133"/>
        <v>0</v>
      </c>
      <c r="O315" s="342">
        <v>0</v>
      </c>
      <c r="P315" s="343">
        <v>0</v>
      </c>
      <c r="Q315" s="343">
        <v>0</v>
      </c>
      <c r="R315" s="343">
        <v>0</v>
      </c>
      <c r="S315" s="343">
        <v>0</v>
      </c>
      <c r="T315" s="343">
        <v>0</v>
      </c>
      <c r="U315" s="343">
        <v>0</v>
      </c>
      <c r="V315" s="343">
        <v>0</v>
      </c>
      <c r="W315" s="343">
        <v>0</v>
      </c>
      <c r="X315" s="343">
        <v>0</v>
      </c>
      <c r="Y315" s="379">
        <v>0</v>
      </c>
      <c r="Z315" s="282">
        <f t="shared" si="134"/>
        <v>0</v>
      </c>
      <c r="AA315" s="284">
        <f t="shared" si="135"/>
        <v>0</v>
      </c>
      <c r="AB315" s="949">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50">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7">
        <f t="shared" si="142"/>
        <v>0</v>
      </c>
      <c r="AE315" s="1231">
        <f t="shared" si="139"/>
        <v>0</v>
      </c>
      <c r="AF315" s="1232">
        <f t="shared" si="140"/>
        <v>0</v>
      </c>
      <c r="AG315" s="1232">
        <f t="shared" si="141"/>
        <v>0</v>
      </c>
      <c r="AH315" s="1173">
        <f t="shared" si="137"/>
        <v>0</v>
      </c>
      <c r="AI315" s="1233">
        <f t="shared" si="138"/>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2"/>
        <v>0</v>
      </c>
      <c r="N316" s="298">
        <f t="shared" si="133"/>
        <v>0</v>
      </c>
      <c r="O316" s="344">
        <v>0</v>
      </c>
      <c r="P316" s="345">
        <v>0</v>
      </c>
      <c r="Q316" s="345">
        <v>0</v>
      </c>
      <c r="R316" s="345">
        <v>0</v>
      </c>
      <c r="S316" s="345">
        <v>0</v>
      </c>
      <c r="T316" s="345">
        <v>0</v>
      </c>
      <c r="U316" s="345">
        <v>0</v>
      </c>
      <c r="V316" s="345">
        <v>0</v>
      </c>
      <c r="W316" s="345">
        <v>0</v>
      </c>
      <c r="X316" s="345">
        <v>0</v>
      </c>
      <c r="Y316" s="380">
        <v>0</v>
      </c>
      <c r="Z316" s="296">
        <f t="shared" si="134"/>
        <v>0</v>
      </c>
      <c r="AA316" s="298">
        <f t="shared" si="135"/>
        <v>0</v>
      </c>
      <c r="AB316" s="949">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50">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7">
        <f t="shared" si="142"/>
        <v>0</v>
      </c>
      <c r="AE316" s="1231">
        <f t="shared" si="139"/>
        <v>0</v>
      </c>
      <c r="AF316" s="1232">
        <f t="shared" si="140"/>
        <v>0</v>
      </c>
      <c r="AG316" s="1232">
        <f t="shared" si="141"/>
        <v>0</v>
      </c>
      <c r="AH316" s="1173">
        <f t="shared" si="137"/>
        <v>0</v>
      </c>
      <c r="AI316" s="1233">
        <f t="shared" si="138"/>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2"/>
        <v>0</v>
      </c>
      <c r="N317" s="298">
        <f t="shared" si="133"/>
        <v>0</v>
      </c>
      <c r="O317" s="344">
        <v>0</v>
      </c>
      <c r="P317" s="345">
        <v>0</v>
      </c>
      <c r="Q317" s="345">
        <v>0</v>
      </c>
      <c r="R317" s="345">
        <v>0</v>
      </c>
      <c r="S317" s="345">
        <v>0</v>
      </c>
      <c r="T317" s="345">
        <v>0</v>
      </c>
      <c r="U317" s="345">
        <v>0</v>
      </c>
      <c r="V317" s="345">
        <v>0</v>
      </c>
      <c r="W317" s="345">
        <v>0</v>
      </c>
      <c r="X317" s="345">
        <v>0</v>
      </c>
      <c r="Y317" s="380">
        <v>0</v>
      </c>
      <c r="Z317" s="296">
        <f t="shared" si="134"/>
        <v>0</v>
      </c>
      <c r="AA317" s="298">
        <f t="shared" si="135"/>
        <v>0</v>
      </c>
      <c r="AB317" s="949">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50">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7">
        <f t="shared" si="142"/>
        <v>0</v>
      </c>
      <c r="AE317" s="1231">
        <f t="shared" si="139"/>
        <v>0</v>
      </c>
      <c r="AF317" s="1232">
        <f t="shared" si="140"/>
        <v>0</v>
      </c>
      <c r="AG317" s="1232">
        <f t="shared" si="141"/>
        <v>0</v>
      </c>
      <c r="AH317" s="1173">
        <f t="shared" si="137"/>
        <v>0</v>
      </c>
      <c r="AI317" s="1233">
        <f t="shared" si="138"/>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2"/>
        <v>0</v>
      </c>
      <c r="N318" s="298">
        <f t="shared" si="133"/>
        <v>0</v>
      </c>
      <c r="O318" s="344">
        <v>0</v>
      </c>
      <c r="P318" s="345">
        <v>0</v>
      </c>
      <c r="Q318" s="345">
        <v>0</v>
      </c>
      <c r="R318" s="345">
        <v>6.5734757934276177E-4</v>
      </c>
      <c r="S318" s="345">
        <v>0</v>
      </c>
      <c r="T318" s="345">
        <v>0</v>
      </c>
      <c r="U318" s="345">
        <v>0</v>
      </c>
      <c r="V318" s="345">
        <v>0</v>
      </c>
      <c r="W318" s="345">
        <v>0</v>
      </c>
      <c r="X318" s="345">
        <v>0</v>
      </c>
      <c r="Y318" s="380">
        <v>0</v>
      </c>
      <c r="Z318" s="296">
        <f t="shared" si="134"/>
        <v>3.9337583179959625E-5</v>
      </c>
      <c r="AA318" s="298">
        <f t="shared" si="135"/>
        <v>1.4974047266104719E-5</v>
      </c>
      <c r="AB318" s="949">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50">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7">
        <f t="shared" si="142"/>
        <v>0</v>
      </c>
      <c r="AE318" s="1231">
        <f t="shared" si="139"/>
        <v>0</v>
      </c>
      <c r="AF318" s="1232">
        <f t="shared" si="140"/>
        <v>3.9337583179959625E-5</v>
      </c>
      <c r="AG318" s="1232">
        <f t="shared" si="141"/>
        <v>3.9337583179959625E-5</v>
      </c>
      <c r="AH318" s="1173">
        <f t="shared" si="137"/>
        <v>0</v>
      </c>
      <c r="AI318" s="1233">
        <f t="shared" si="138"/>
        <v>1</v>
      </c>
    </row>
    <row r="319" spans="1:35" ht="15" thickBot="1" x14ac:dyDescent="0.25">
      <c r="A319" s="328">
        <v>2040</v>
      </c>
      <c r="B319" s="346">
        <v>0</v>
      </c>
      <c r="C319" s="347">
        <v>0</v>
      </c>
      <c r="D319" s="347">
        <v>0</v>
      </c>
      <c r="E319" s="347">
        <v>1.81182133917058E-4</v>
      </c>
      <c r="F319" s="347">
        <v>0</v>
      </c>
      <c r="G319" s="347">
        <v>0</v>
      </c>
      <c r="H319" s="347">
        <v>0</v>
      </c>
      <c r="I319" s="347">
        <v>0</v>
      </c>
      <c r="J319" s="347">
        <v>0</v>
      </c>
      <c r="K319" s="347">
        <v>0</v>
      </c>
      <c r="L319" s="381">
        <v>0</v>
      </c>
      <c r="M319" s="310">
        <f t="shared" si="132"/>
        <v>8.2177435644852908E-6</v>
      </c>
      <c r="N319" s="312">
        <f t="shared" si="133"/>
        <v>3.1694616640582803E-6</v>
      </c>
      <c r="O319" s="346">
        <v>0</v>
      </c>
      <c r="P319" s="347">
        <v>0</v>
      </c>
      <c r="Q319" s="347">
        <v>0</v>
      </c>
      <c r="R319" s="347">
        <v>4.8782057818375427E-3</v>
      </c>
      <c r="S319" s="347">
        <v>0</v>
      </c>
      <c r="T319" s="347">
        <v>0</v>
      </c>
      <c r="U319" s="347">
        <v>0</v>
      </c>
      <c r="V319" s="347">
        <v>0</v>
      </c>
      <c r="W319" s="347">
        <v>0</v>
      </c>
      <c r="X319" s="347">
        <v>0</v>
      </c>
      <c r="Y319" s="381">
        <v>0</v>
      </c>
      <c r="Z319" s="310">
        <f t="shared" si="134"/>
        <v>2.9192596389243452E-4</v>
      </c>
      <c r="AA319" s="312">
        <f t="shared" si="135"/>
        <v>1.1112307437726479E-4</v>
      </c>
      <c r="AB319" s="949">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50">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7">
        <f t="shared" si="142"/>
        <v>0</v>
      </c>
      <c r="AE319" s="1231">
        <f t="shared" si="139"/>
        <v>8.2177435644852908E-6</v>
      </c>
      <c r="AF319" s="1232">
        <f t="shared" si="140"/>
        <v>2.9192596389243452E-4</v>
      </c>
      <c r="AG319" s="1232">
        <f t="shared" si="141"/>
        <v>3.0014370745691982E-4</v>
      </c>
      <c r="AH319" s="1173">
        <f t="shared" si="137"/>
        <v>2.7379363152781735E-2</v>
      </c>
      <c r="AI319" s="1233">
        <f t="shared" si="138"/>
        <v>0.97262063684721822</v>
      </c>
    </row>
    <row r="320" spans="1:35" x14ac:dyDescent="0.2">
      <c r="A320" s="329">
        <v>2041</v>
      </c>
      <c r="B320" s="342">
        <v>0</v>
      </c>
      <c r="C320" s="343">
        <v>0</v>
      </c>
      <c r="D320" s="343">
        <v>0</v>
      </c>
      <c r="E320" s="343">
        <v>5.9840988193148271E-3</v>
      </c>
      <c r="F320" s="343">
        <v>0</v>
      </c>
      <c r="G320" s="343">
        <v>0</v>
      </c>
      <c r="H320" s="343">
        <v>0</v>
      </c>
      <c r="I320" s="343">
        <v>0</v>
      </c>
      <c r="J320" s="343">
        <v>0</v>
      </c>
      <c r="K320" s="343">
        <v>0</v>
      </c>
      <c r="L320" s="379">
        <v>0</v>
      </c>
      <c r="M320" s="282">
        <f t="shared" si="132"/>
        <v>2.7141632841227195E-4</v>
      </c>
      <c r="N320" s="284">
        <f t="shared" si="133"/>
        <v>1.0468124749230095E-4</v>
      </c>
      <c r="O320" s="342">
        <v>0</v>
      </c>
      <c r="P320" s="343">
        <v>0</v>
      </c>
      <c r="Q320" s="343">
        <v>9.4202413130473625E-4</v>
      </c>
      <c r="R320" s="343">
        <v>2.4076374569376804E-2</v>
      </c>
      <c r="S320" s="343">
        <v>0</v>
      </c>
      <c r="T320" s="343">
        <v>0</v>
      </c>
      <c r="U320" s="343">
        <v>0</v>
      </c>
      <c r="V320" s="343">
        <v>0</v>
      </c>
      <c r="W320" s="343">
        <v>0</v>
      </c>
      <c r="X320" s="343">
        <v>0</v>
      </c>
      <c r="Y320" s="379">
        <v>0</v>
      </c>
      <c r="Z320" s="282">
        <f t="shared" si="134"/>
        <v>1.5197756272703098E-3</v>
      </c>
      <c r="AA320" s="284">
        <f t="shared" si="135"/>
        <v>5.9231977026597221E-4</v>
      </c>
      <c r="AB320" s="949">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50">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7">
        <f t="shared" si="142"/>
        <v>0</v>
      </c>
      <c r="AE320" s="1231">
        <f t="shared" si="139"/>
        <v>2.7141632841227195E-4</v>
      </c>
      <c r="AF320" s="1232">
        <f t="shared" si="140"/>
        <v>1.5197756272703098E-3</v>
      </c>
      <c r="AG320" s="1232">
        <f t="shared" si="141"/>
        <v>1.7911919556825818E-3</v>
      </c>
      <c r="AH320" s="1173">
        <f t="shared" si="137"/>
        <v>0.15152833148407116</v>
      </c>
      <c r="AI320" s="1233">
        <f t="shared" si="138"/>
        <v>0.84847166851592881</v>
      </c>
    </row>
    <row r="321" spans="1:35" x14ac:dyDescent="0.2">
      <c r="A321" s="330">
        <v>2042</v>
      </c>
      <c r="B321" s="344">
        <v>0</v>
      </c>
      <c r="C321" s="345">
        <v>0</v>
      </c>
      <c r="D321" s="345">
        <v>2.5495440158747528E-3</v>
      </c>
      <c r="E321" s="345">
        <v>4.1827175625855972E-2</v>
      </c>
      <c r="F321" s="345">
        <v>0</v>
      </c>
      <c r="G321" s="345">
        <v>0</v>
      </c>
      <c r="H321" s="345">
        <v>0</v>
      </c>
      <c r="I321" s="345">
        <v>0</v>
      </c>
      <c r="J321" s="345">
        <v>0</v>
      </c>
      <c r="K321" s="345">
        <v>0</v>
      </c>
      <c r="L321" s="380">
        <v>0</v>
      </c>
      <c r="M321" s="296">
        <f t="shared" si="132"/>
        <v>2.1241052135976954E-3</v>
      </c>
      <c r="N321" s="298">
        <f t="shared" si="133"/>
        <v>8.6131846381835267E-4</v>
      </c>
      <c r="O321" s="344">
        <v>0</v>
      </c>
      <c r="P321" s="345">
        <v>0</v>
      </c>
      <c r="Q321" s="345">
        <v>1.2632498220589983E-2</v>
      </c>
      <c r="R321" s="345">
        <v>6.6362436348890358E-2</v>
      </c>
      <c r="S321" s="345">
        <v>0</v>
      </c>
      <c r="T321" s="345">
        <v>0</v>
      </c>
      <c r="U321" s="345">
        <v>0</v>
      </c>
      <c r="V321" s="345">
        <v>0</v>
      </c>
      <c r="W321" s="345">
        <v>0</v>
      </c>
      <c r="X321" s="345">
        <v>0</v>
      </c>
      <c r="Y321" s="380">
        <v>0</v>
      </c>
      <c r="Z321" s="296">
        <f t="shared" si="134"/>
        <v>5.0303798720720567E-3</v>
      </c>
      <c r="AA321" s="298">
        <f t="shared" si="135"/>
        <v>2.1000252167721707E-3</v>
      </c>
      <c r="AB321" s="949">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50">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7">
        <f t="shared" si="142"/>
        <v>0</v>
      </c>
      <c r="AE321" s="1231">
        <f t="shared" si="139"/>
        <v>2.1241052135976954E-3</v>
      </c>
      <c r="AF321" s="1232">
        <f t="shared" si="140"/>
        <v>5.0303798720720567E-3</v>
      </c>
      <c r="AG321" s="1232">
        <f t="shared" si="141"/>
        <v>7.154485085669752E-3</v>
      </c>
      <c r="AH321" s="1173">
        <f t="shared" si="137"/>
        <v>0.29689141680541387</v>
      </c>
      <c r="AI321" s="1233">
        <f t="shared" si="138"/>
        <v>0.70310858319458613</v>
      </c>
    </row>
    <row r="322" spans="1:35" x14ac:dyDescent="0.2">
      <c r="A322" s="330">
        <v>2043</v>
      </c>
      <c r="B322" s="344">
        <v>0</v>
      </c>
      <c r="C322" s="345">
        <v>0</v>
      </c>
      <c r="D322" s="345">
        <v>2.0748397342673974E-2</v>
      </c>
      <c r="E322" s="345">
        <v>8.3495061811139609E-2</v>
      </c>
      <c r="F322" s="345">
        <v>0</v>
      </c>
      <c r="G322" s="345">
        <v>0</v>
      </c>
      <c r="H322" s="345">
        <v>0</v>
      </c>
      <c r="I322" s="345">
        <v>0</v>
      </c>
      <c r="J322" s="345">
        <v>0</v>
      </c>
      <c r="K322" s="345">
        <v>0</v>
      </c>
      <c r="L322" s="380">
        <v>0</v>
      </c>
      <c r="M322" s="296">
        <f t="shared" si="132"/>
        <v>5.6342139016708429E-3</v>
      </c>
      <c r="N322" s="298">
        <f t="shared" si="133"/>
        <v>2.5155044722079628E-3</v>
      </c>
      <c r="O322" s="344">
        <v>0</v>
      </c>
      <c r="P322" s="345">
        <v>4.9104719921376873E-4</v>
      </c>
      <c r="Q322" s="345">
        <v>4.5365935334874347E-2</v>
      </c>
      <c r="R322" s="345">
        <v>0.10517491633883967</v>
      </c>
      <c r="S322" s="345">
        <v>0</v>
      </c>
      <c r="T322" s="345">
        <v>0</v>
      </c>
      <c r="U322" s="345">
        <v>0</v>
      </c>
      <c r="V322" s="345">
        <v>0</v>
      </c>
      <c r="W322" s="345">
        <v>0</v>
      </c>
      <c r="X322" s="345">
        <v>0</v>
      </c>
      <c r="Y322" s="380">
        <v>0</v>
      </c>
      <c r="Z322" s="296">
        <f t="shared" si="134"/>
        <v>1.0229794934898787E-2</v>
      </c>
      <c r="AA322" s="298">
        <f t="shared" si="135"/>
        <v>4.6343791316065149E-3</v>
      </c>
      <c r="AB322" s="949">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50">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7">
        <f t="shared" si="142"/>
        <v>0</v>
      </c>
      <c r="AE322" s="1231">
        <f t="shared" si="139"/>
        <v>5.6342139016708429E-3</v>
      </c>
      <c r="AF322" s="1232">
        <f t="shared" si="140"/>
        <v>1.0229794934898787E-2</v>
      </c>
      <c r="AG322" s="1232">
        <f t="shared" si="141"/>
        <v>1.5864008836569632E-2</v>
      </c>
      <c r="AH322" s="1173">
        <f t="shared" si="137"/>
        <v>0.35515700726810501</v>
      </c>
      <c r="AI322" s="1233">
        <f t="shared" si="138"/>
        <v>0.64484299273189483</v>
      </c>
    </row>
    <row r="323" spans="1:35" x14ac:dyDescent="0.2">
      <c r="A323" s="330">
        <v>2044</v>
      </c>
      <c r="B323" s="344">
        <v>0</v>
      </c>
      <c r="C323" s="345">
        <v>2.284312924355064E-3</v>
      </c>
      <c r="D323" s="345">
        <v>5.5494106424453814E-2</v>
      </c>
      <c r="E323" s="345">
        <v>0.11904665772961191</v>
      </c>
      <c r="F323" s="345">
        <v>0</v>
      </c>
      <c r="G323" s="345">
        <v>0</v>
      </c>
      <c r="H323" s="345">
        <v>0</v>
      </c>
      <c r="I323" s="345">
        <v>0</v>
      </c>
      <c r="J323" s="345">
        <v>0</v>
      </c>
      <c r="K323" s="345">
        <v>0</v>
      </c>
      <c r="L323" s="380">
        <v>0</v>
      </c>
      <c r="M323" s="296">
        <f t="shared" si="132"/>
        <v>1.0683884841767483E-2</v>
      </c>
      <c r="N323" s="298">
        <f t="shared" si="133"/>
        <v>5.2272159803085361E-3</v>
      </c>
      <c r="O323" s="344">
        <v>0</v>
      </c>
      <c r="P323" s="345">
        <v>6.0747364915153847E-3</v>
      </c>
      <c r="Q323" s="345">
        <v>7.9090148777976696E-2</v>
      </c>
      <c r="R323" s="345">
        <v>0.13674119545364169</v>
      </c>
      <c r="S323" s="345">
        <v>0</v>
      </c>
      <c r="T323" s="345">
        <v>0</v>
      </c>
      <c r="U323" s="345">
        <v>0</v>
      </c>
      <c r="V323" s="345">
        <v>0</v>
      </c>
      <c r="W323" s="345">
        <v>0</v>
      </c>
      <c r="X323" s="345">
        <v>0</v>
      </c>
      <c r="Y323" s="380">
        <v>0</v>
      </c>
      <c r="Z323" s="296">
        <f t="shared" si="134"/>
        <v>1.6453001157291917E-2</v>
      </c>
      <c r="AA323" s="298">
        <f t="shared" si="135"/>
        <v>8.354059391035203E-3</v>
      </c>
      <c r="AB323" s="949">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50">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7">
        <f t="shared" si="142"/>
        <v>0</v>
      </c>
      <c r="AE323" s="1231">
        <f t="shared" si="139"/>
        <v>1.0683884841767483E-2</v>
      </c>
      <c r="AF323" s="1232">
        <f t="shared" si="140"/>
        <v>1.6453001157291917E-2</v>
      </c>
      <c r="AG323" s="1232">
        <f t="shared" si="141"/>
        <v>2.7136885999059401E-2</v>
      </c>
      <c r="AH323" s="1173">
        <f t="shared" si="137"/>
        <v>0.39370342058177937</v>
      </c>
      <c r="AI323" s="1233">
        <f t="shared" si="138"/>
        <v>0.60629657941822068</v>
      </c>
    </row>
    <row r="324" spans="1:35" ht="15" thickBot="1" x14ac:dyDescent="0.25">
      <c r="A324" s="328">
        <v>2045</v>
      </c>
      <c r="B324" s="346">
        <v>0</v>
      </c>
      <c r="C324" s="347">
        <v>1.3893544215732771E-2</v>
      </c>
      <c r="D324" s="347">
        <v>9.227400785409981E-2</v>
      </c>
      <c r="E324" s="347">
        <v>0.14809661624570036</v>
      </c>
      <c r="F324" s="347">
        <v>0</v>
      </c>
      <c r="G324" s="347">
        <v>0</v>
      </c>
      <c r="H324" s="347">
        <v>0</v>
      </c>
      <c r="I324" s="347">
        <v>0</v>
      </c>
      <c r="J324" s="347">
        <v>0</v>
      </c>
      <c r="K324" s="347">
        <v>0</v>
      </c>
      <c r="L324" s="381">
        <v>0</v>
      </c>
      <c r="M324" s="310">
        <f t="shared" si="132"/>
        <v>1.7023370823071201E-2</v>
      </c>
      <c r="N324" s="312">
        <f t="shared" si="133"/>
        <v>9.2480974338995554E-3</v>
      </c>
      <c r="O324" s="346">
        <v>0</v>
      </c>
      <c r="P324" s="347">
        <v>2.1777340222261365E-2</v>
      </c>
      <c r="Q324" s="347">
        <v>0.1142398000114257</v>
      </c>
      <c r="R324" s="347">
        <v>0.15854805629226593</v>
      </c>
      <c r="S324" s="347">
        <v>0</v>
      </c>
      <c r="T324" s="347">
        <v>0</v>
      </c>
      <c r="U324" s="347">
        <v>0</v>
      </c>
      <c r="V324" s="347">
        <v>0</v>
      </c>
      <c r="W324" s="347">
        <v>0</v>
      </c>
      <c r="X324" s="347">
        <v>0</v>
      </c>
      <c r="Y324" s="381">
        <v>0</v>
      </c>
      <c r="Z324" s="310">
        <f t="shared" si="134"/>
        <v>2.4942491291502993E-2</v>
      </c>
      <c r="AA324" s="312">
        <f t="shared" si="135"/>
        <v>1.4509310279967245E-2</v>
      </c>
      <c r="AB324" s="949">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50">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7">
        <f t="shared" si="142"/>
        <v>0</v>
      </c>
      <c r="AE324" s="1231">
        <f t="shared" si="139"/>
        <v>1.7023370823071201E-2</v>
      </c>
      <c r="AF324" s="1232">
        <f t="shared" si="140"/>
        <v>2.4942491291502993E-2</v>
      </c>
      <c r="AG324" s="1232">
        <f t="shared" si="141"/>
        <v>4.196586211457419E-2</v>
      </c>
      <c r="AH324" s="1173">
        <f t="shared" si="137"/>
        <v>0.40564806643538986</v>
      </c>
      <c r="AI324" s="1233">
        <f t="shared" si="138"/>
        <v>0.59435193356461025</v>
      </c>
    </row>
    <row r="325" spans="1:35" x14ac:dyDescent="0.2">
      <c r="A325" s="329">
        <v>2046</v>
      </c>
      <c r="B325" s="342">
        <v>0</v>
      </c>
      <c r="C325" s="343">
        <v>2.7497479467775299E-2</v>
      </c>
      <c r="D325" s="343">
        <v>0.11032297136914428</v>
      </c>
      <c r="E325" s="343">
        <v>0.15931528515516583</v>
      </c>
      <c r="F325" s="343">
        <v>0</v>
      </c>
      <c r="G325" s="343">
        <v>0</v>
      </c>
      <c r="H325" s="343">
        <v>0</v>
      </c>
      <c r="I325" s="343">
        <v>0</v>
      </c>
      <c r="J325" s="343">
        <v>0</v>
      </c>
      <c r="K325" s="343">
        <v>0</v>
      </c>
      <c r="L325" s="379">
        <v>0</v>
      </c>
      <c r="M325" s="282">
        <f t="shared" si="132"/>
        <v>2.1186763144776428E-2</v>
      </c>
      <c r="N325" s="284">
        <f t="shared" si="133"/>
        <v>1.2286971039759257E-2</v>
      </c>
      <c r="O325" s="342">
        <v>0</v>
      </c>
      <c r="P325" s="343">
        <v>3.6272396243786795E-2</v>
      </c>
      <c r="Q325" s="343">
        <v>0.12584978664436069</v>
      </c>
      <c r="R325" s="343">
        <v>0.16244224957656125</v>
      </c>
      <c r="S325" s="343">
        <v>0</v>
      </c>
      <c r="T325" s="343">
        <v>0</v>
      </c>
      <c r="U325" s="343">
        <v>0</v>
      </c>
      <c r="V325" s="343">
        <v>0</v>
      </c>
      <c r="W325" s="343">
        <v>0</v>
      </c>
      <c r="X325" s="343">
        <v>0</v>
      </c>
      <c r="Y325" s="379">
        <v>0</v>
      </c>
      <c r="Z325" s="282">
        <f t="shared" si="134"/>
        <v>3.0060678270854083E-2</v>
      </c>
      <c r="AA325" s="284">
        <f t="shared" si="135"/>
        <v>1.8850968986626145E-2</v>
      </c>
      <c r="AB325" s="949">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50">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7">
        <f t="shared" si="142"/>
        <v>0</v>
      </c>
      <c r="AE325" s="1231">
        <f t="shared" si="139"/>
        <v>2.1186763144776428E-2</v>
      </c>
      <c r="AF325" s="1232">
        <f t="shared" si="140"/>
        <v>3.0060678270854083E-2</v>
      </c>
      <c r="AG325" s="1232">
        <f t="shared" si="141"/>
        <v>5.1247441415630507E-2</v>
      </c>
      <c r="AH325" s="1173">
        <f t="shared" si="137"/>
        <v>0.41342089594183035</v>
      </c>
      <c r="AI325" s="1233">
        <f t="shared" si="138"/>
        <v>0.58657910405816971</v>
      </c>
    </row>
    <row r="326" spans="1:35" x14ac:dyDescent="0.2">
      <c r="A326" s="330">
        <v>2047</v>
      </c>
      <c r="B326" s="344">
        <v>0</v>
      </c>
      <c r="C326" s="345">
        <v>4.06296477517517E-2</v>
      </c>
      <c r="D326" s="345">
        <v>0.12057515570653411</v>
      </c>
      <c r="E326" s="345">
        <v>0.16429327560638241</v>
      </c>
      <c r="F326" s="345">
        <v>0</v>
      </c>
      <c r="G326" s="345">
        <v>0</v>
      </c>
      <c r="H326" s="345">
        <v>0</v>
      </c>
      <c r="I326" s="345">
        <v>0</v>
      </c>
      <c r="J326" s="345">
        <v>0</v>
      </c>
      <c r="K326" s="345">
        <v>0</v>
      </c>
      <c r="L326" s="380">
        <v>0</v>
      </c>
      <c r="M326" s="296">
        <f t="shared" si="132"/>
        <v>2.4301957948520532E-2</v>
      </c>
      <c r="N326" s="298">
        <f t="shared" si="133"/>
        <v>1.4753509975415739E-2</v>
      </c>
      <c r="O326" s="344">
        <v>0</v>
      </c>
      <c r="P326" s="345">
        <v>5.0718442612594491E-2</v>
      </c>
      <c r="Q326" s="345">
        <v>0.13693216016264775</v>
      </c>
      <c r="R326" s="345">
        <v>0.16843599109944898</v>
      </c>
      <c r="S326" s="345">
        <v>0</v>
      </c>
      <c r="T326" s="345">
        <v>0</v>
      </c>
      <c r="U326" s="345">
        <v>0</v>
      </c>
      <c r="V326" s="345">
        <v>0</v>
      </c>
      <c r="W326" s="345">
        <v>0</v>
      </c>
      <c r="X326" s="345">
        <v>0</v>
      </c>
      <c r="Y326" s="380">
        <v>0</v>
      </c>
      <c r="Z326" s="296">
        <f t="shared" si="134"/>
        <v>3.5247048931679542E-2</v>
      </c>
      <c r="AA326" s="298">
        <f t="shared" si="135"/>
        <v>2.3203330689122288E-2</v>
      </c>
      <c r="AB326" s="949">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50">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7">
        <f t="shared" si="142"/>
        <v>0</v>
      </c>
      <c r="AE326" s="1231">
        <f t="shared" si="139"/>
        <v>2.4301957948520532E-2</v>
      </c>
      <c r="AF326" s="1232">
        <f t="shared" si="140"/>
        <v>3.5247048931679542E-2</v>
      </c>
      <c r="AG326" s="1232">
        <f t="shared" si="141"/>
        <v>5.9549006880200074E-2</v>
      </c>
      <c r="AH326" s="1173">
        <f t="shared" si="137"/>
        <v>0.40810013838536213</v>
      </c>
      <c r="AI326" s="1233">
        <f t="shared" si="138"/>
        <v>0.59189986161463781</v>
      </c>
    </row>
    <row r="327" spans="1:35" x14ac:dyDescent="0.2">
      <c r="A327" s="330">
        <v>2048</v>
      </c>
      <c r="B327" s="344">
        <v>0</v>
      </c>
      <c r="C327" s="345">
        <v>4.7243529151999038E-2</v>
      </c>
      <c r="D327" s="345">
        <v>0.13314161503054162</v>
      </c>
      <c r="E327" s="345">
        <v>0.16900053031189666</v>
      </c>
      <c r="F327" s="345">
        <v>0</v>
      </c>
      <c r="G327" s="345">
        <v>0</v>
      </c>
      <c r="H327" s="345">
        <v>0</v>
      </c>
      <c r="I327" s="345">
        <v>0</v>
      </c>
      <c r="J327" s="345">
        <v>0</v>
      </c>
      <c r="K327" s="345">
        <v>0</v>
      </c>
      <c r="L327" s="380">
        <v>0</v>
      </c>
      <c r="M327" s="296">
        <f t="shared" si="132"/>
        <v>2.6629763573018654E-2</v>
      </c>
      <c r="N327" s="298">
        <f t="shared" si="133"/>
        <v>1.6410636094145926E-2</v>
      </c>
      <c r="O327" s="344">
        <v>0</v>
      </c>
      <c r="P327" s="345">
        <v>5.9941831752100903E-2</v>
      </c>
      <c r="Q327" s="345">
        <v>0.14122504714749395</v>
      </c>
      <c r="R327" s="345">
        <v>0.17290553759856417</v>
      </c>
      <c r="S327" s="345">
        <v>0</v>
      </c>
      <c r="T327" s="345">
        <v>0</v>
      </c>
      <c r="U327" s="345">
        <v>0</v>
      </c>
      <c r="V327" s="345">
        <v>0</v>
      </c>
      <c r="W327" s="345">
        <v>0</v>
      </c>
      <c r="X327" s="345">
        <v>0</v>
      </c>
      <c r="Y327" s="380">
        <v>0</v>
      </c>
      <c r="Z327" s="296">
        <f t="shared" si="134"/>
        <v>3.8363553798379822E-2</v>
      </c>
      <c r="AA327" s="298">
        <f t="shared" si="135"/>
        <v>2.5867225117810529E-2</v>
      </c>
      <c r="AB327" s="949">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50">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7">
        <f t="shared" si="142"/>
        <v>0</v>
      </c>
      <c r="AE327" s="1231">
        <f t="shared" si="139"/>
        <v>2.6629763573018654E-2</v>
      </c>
      <c r="AF327" s="1232">
        <f t="shared" si="140"/>
        <v>3.8363553798379822E-2</v>
      </c>
      <c r="AG327" s="1232">
        <f t="shared" si="141"/>
        <v>6.4993317371398476E-2</v>
      </c>
      <c r="AH327" s="1173">
        <f t="shared" si="137"/>
        <v>0.40973079464224393</v>
      </c>
      <c r="AI327" s="1233">
        <f t="shared" si="138"/>
        <v>0.59026920535775607</v>
      </c>
    </row>
    <row r="328" spans="1:35" x14ac:dyDescent="0.2">
      <c r="A328" s="330">
        <v>2049</v>
      </c>
      <c r="B328" s="344">
        <v>0</v>
      </c>
      <c r="C328" s="345">
        <v>5.5474297786924406E-2</v>
      </c>
      <c r="D328" s="345">
        <v>0.14028273631508217</v>
      </c>
      <c r="E328" s="345">
        <v>0.16964475028859705</v>
      </c>
      <c r="F328" s="345">
        <v>0</v>
      </c>
      <c r="G328" s="345">
        <v>0</v>
      </c>
      <c r="H328" s="345">
        <v>0</v>
      </c>
      <c r="I328" s="345">
        <v>0</v>
      </c>
      <c r="J328" s="345">
        <v>0</v>
      </c>
      <c r="K328" s="345">
        <v>0</v>
      </c>
      <c r="L328" s="380">
        <v>0</v>
      </c>
      <c r="M328" s="296">
        <f t="shared" si="132"/>
        <v>2.8533654605576483E-2</v>
      </c>
      <c r="N328" s="298">
        <f t="shared" si="133"/>
        <v>1.7949637809235915E-2</v>
      </c>
      <c r="O328" s="344">
        <v>0</v>
      </c>
      <c r="P328" s="345">
        <v>6.9210018517994618E-2</v>
      </c>
      <c r="Q328" s="345">
        <v>0.14810890865513912</v>
      </c>
      <c r="R328" s="345">
        <v>0.17825888842079718</v>
      </c>
      <c r="S328" s="345">
        <v>0</v>
      </c>
      <c r="T328" s="345">
        <v>0</v>
      </c>
      <c r="U328" s="345">
        <v>0</v>
      </c>
      <c r="V328" s="345">
        <v>0</v>
      </c>
      <c r="W328" s="345">
        <v>0</v>
      </c>
      <c r="X328" s="345">
        <v>0</v>
      </c>
      <c r="Y328" s="380">
        <v>0</v>
      </c>
      <c r="Z328" s="296">
        <f t="shared" si="134"/>
        <v>4.176225491962611E-2</v>
      </c>
      <c r="AA328" s="298">
        <f t="shared" si="135"/>
        <v>2.8683392229003297E-2</v>
      </c>
      <c r="AB328" s="949">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50">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7">
        <f t="shared" si="142"/>
        <v>0</v>
      </c>
      <c r="AE328" s="1231">
        <f t="shared" si="139"/>
        <v>2.8533654605576483E-2</v>
      </c>
      <c r="AF328" s="1232">
        <f t="shared" si="140"/>
        <v>4.176225491962611E-2</v>
      </c>
      <c r="AG328" s="1232">
        <f t="shared" si="141"/>
        <v>7.0295909525202593E-2</v>
      </c>
      <c r="AH328" s="1173">
        <f t="shared" si="137"/>
        <v>0.40590775193464929</v>
      </c>
      <c r="AI328" s="1233">
        <f t="shared" si="138"/>
        <v>0.59409224806535077</v>
      </c>
    </row>
    <row r="329" spans="1:35" ht="15" thickBot="1" x14ac:dyDescent="0.25">
      <c r="A329" s="328">
        <v>2050</v>
      </c>
      <c r="B329" s="346">
        <v>0</v>
      </c>
      <c r="C329" s="347">
        <v>6.3030713494769394E-2</v>
      </c>
      <c r="D329" s="347">
        <v>0.13946772142278641</v>
      </c>
      <c r="E329" s="347">
        <v>0.17531434548549141</v>
      </c>
      <c r="F329" s="347">
        <v>0</v>
      </c>
      <c r="G329" s="347">
        <v>0</v>
      </c>
      <c r="H329" s="347">
        <v>0</v>
      </c>
      <c r="I329" s="347">
        <v>0</v>
      </c>
      <c r="J329" s="347">
        <v>0</v>
      </c>
      <c r="K329" s="347">
        <v>0</v>
      </c>
      <c r="L329" s="381">
        <v>0</v>
      </c>
      <c r="M329" s="310">
        <f t="shared" si="132"/>
        <v>2.9855653274504197E-2</v>
      </c>
      <c r="N329" s="312">
        <f t="shared" si="133"/>
        <v>1.9076616414777852E-2</v>
      </c>
      <c r="O329" s="346">
        <v>0</v>
      </c>
      <c r="P329" s="347">
        <v>7.7009586788358703E-2</v>
      </c>
      <c r="Q329" s="347">
        <v>0.1535195301867287</v>
      </c>
      <c r="R329" s="347">
        <v>0.17771359596814218</v>
      </c>
      <c r="S329" s="347">
        <v>0</v>
      </c>
      <c r="T329" s="347">
        <v>0</v>
      </c>
      <c r="U329" s="347">
        <v>0</v>
      </c>
      <c r="V329" s="347">
        <v>0</v>
      </c>
      <c r="W329" s="347">
        <v>0</v>
      </c>
      <c r="X329" s="347">
        <v>0</v>
      </c>
      <c r="Y329" s="381">
        <v>0</v>
      </c>
      <c r="Z329" s="310">
        <f t="shared" si="134"/>
        <v>4.4288114291981949E-2</v>
      </c>
      <c r="AA329" s="312">
        <f t="shared" si="135"/>
        <v>3.0920459478980498E-2</v>
      </c>
      <c r="AB329" s="951">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2">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8">
        <f t="shared" si="142"/>
        <v>0</v>
      </c>
      <c r="AE329" s="1234">
        <f t="shared" si="139"/>
        <v>2.9855653274504197E-2</v>
      </c>
      <c r="AF329" s="1235">
        <f t="shared" si="140"/>
        <v>4.4288114291981949E-2</v>
      </c>
      <c r="AG329" s="1235">
        <f t="shared" si="141"/>
        <v>7.4143767566486149E-2</v>
      </c>
      <c r="AH329" s="1236">
        <f t="shared" si="137"/>
        <v>0.40267245993039208</v>
      </c>
      <c r="AI329" s="1237">
        <f t="shared" si="138"/>
        <v>0.59732754006960787</v>
      </c>
    </row>
    <row r="330" spans="1:35" x14ac:dyDescent="0.2">
      <c r="B330" s="227" t="s">
        <v>240</v>
      </c>
      <c r="U330" s="227" t="s">
        <v>240</v>
      </c>
    </row>
  </sheetData>
  <mergeCells count="37">
    <mergeCell ref="AB74:AD74"/>
    <mergeCell ref="AB126:AD126"/>
    <mergeCell ref="AB178:AD178"/>
    <mergeCell ref="AB231:AD231"/>
    <mergeCell ref="AB284:AD284"/>
    <mergeCell ref="B6:C6"/>
    <mergeCell ref="J9:K9"/>
    <mergeCell ref="L9:M9"/>
    <mergeCell ref="N9:Q9"/>
    <mergeCell ref="B3:C3"/>
    <mergeCell ref="P3:U3"/>
    <mergeCell ref="B4:C4"/>
    <mergeCell ref="P4:U4"/>
    <mergeCell ref="B5:C5"/>
    <mergeCell ref="P5:U5"/>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280:N280"/>
    <mergeCell ref="O280:AA280"/>
    <mergeCell ref="B71:L71"/>
    <mergeCell ref="O71:Y71"/>
    <mergeCell ref="B122:N122"/>
    <mergeCell ref="O122:AA122"/>
    <mergeCell ref="B123:L123"/>
    <mergeCell ref="O123:Y123"/>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D28" sqref="D28"/>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2" t="s">
        <v>261</v>
      </c>
    </row>
    <row r="2" spans="1:43" ht="15" thickBot="1" x14ac:dyDescent="0.25"/>
    <row r="3" spans="1:43" ht="19.5" customHeight="1" thickBot="1" x14ac:dyDescent="0.3">
      <c r="A3" s="1587" t="s">
        <v>150</v>
      </c>
      <c r="B3" s="1588"/>
      <c r="C3" s="1588"/>
      <c r="D3" s="1588"/>
      <c r="E3" s="1588"/>
      <c r="F3" s="1588"/>
      <c r="G3" s="1588"/>
      <c r="H3" s="1588"/>
      <c r="I3" s="1588"/>
      <c r="J3" s="1588"/>
      <c r="K3" s="1588"/>
      <c r="L3" s="1588"/>
      <c r="M3" s="1588"/>
      <c r="N3" s="1588"/>
      <c r="O3" s="1588"/>
      <c r="P3" s="1588"/>
      <c r="Q3" s="1588"/>
      <c r="R3" s="1588"/>
      <c r="S3" s="1588"/>
      <c r="T3" s="1588"/>
      <c r="U3" s="1589"/>
      <c r="V3" s="850"/>
      <c r="W3" s="1590" t="s">
        <v>185</v>
      </c>
      <c r="X3" s="1591"/>
      <c r="Y3" s="1591"/>
      <c r="Z3" s="1591"/>
      <c r="AA3" s="1591"/>
      <c r="AB3" s="1591"/>
      <c r="AC3" s="1591"/>
      <c r="AD3" s="1591"/>
      <c r="AE3" s="1591"/>
      <c r="AF3" s="1591"/>
      <c r="AG3" s="1591"/>
      <c r="AH3" s="1591"/>
      <c r="AI3" s="1591"/>
      <c r="AJ3" s="1591"/>
      <c r="AK3" s="1591"/>
      <c r="AL3" s="1591"/>
      <c r="AM3" s="1591"/>
      <c r="AN3" s="1591"/>
      <c r="AO3" s="1591"/>
      <c r="AP3" s="1591"/>
      <c r="AQ3" s="1592"/>
    </row>
    <row r="4" spans="1:43" ht="15" x14ac:dyDescent="0.2">
      <c r="A4" s="400"/>
      <c r="B4" s="1595" t="s">
        <v>249</v>
      </c>
      <c r="C4" s="1600"/>
      <c r="D4" s="1600"/>
      <c r="E4" s="1600"/>
      <c r="F4" s="1600"/>
      <c r="G4" s="1596"/>
      <c r="H4" s="1595" t="s">
        <v>250</v>
      </c>
      <c r="I4" s="1600"/>
      <c r="J4" s="1600"/>
      <c r="K4" s="1600"/>
      <c r="L4" s="1600"/>
      <c r="M4" s="1596"/>
      <c r="N4" s="1595" t="s">
        <v>154</v>
      </c>
      <c r="O4" s="1600"/>
      <c r="P4" s="1600"/>
      <c r="Q4" s="1600"/>
      <c r="R4" s="1600"/>
      <c r="S4" s="1596"/>
      <c r="T4" s="1595" t="s">
        <v>153</v>
      </c>
      <c r="U4" s="1596"/>
      <c r="W4" s="400"/>
      <c r="X4" s="1595" t="s">
        <v>249</v>
      </c>
      <c r="Y4" s="1600"/>
      <c r="Z4" s="1600"/>
      <c r="AA4" s="1600"/>
      <c r="AB4" s="1600"/>
      <c r="AC4" s="1596"/>
      <c r="AD4" s="1595" t="s">
        <v>250</v>
      </c>
      <c r="AE4" s="1600"/>
      <c r="AF4" s="1600"/>
      <c r="AG4" s="1600"/>
      <c r="AH4" s="1600"/>
      <c r="AI4" s="1596"/>
      <c r="AJ4" s="1595" t="s">
        <v>154</v>
      </c>
      <c r="AK4" s="1600"/>
      <c r="AL4" s="1600"/>
      <c r="AM4" s="1600"/>
      <c r="AN4" s="1600"/>
      <c r="AO4" s="1596"/>
      <c r="AP4" s="1595" t="s">
        <v>153</v>
      </c>
      <c r="AQ4" s="1596"/>
    </row>
    <row r="5" spans="1:43" ht="15" x14ac:dyDescent="0.2">
      <c r="A5" s="401"/>
      <c r="B5" s="1597" t="s">
        <v>129</v>
      </c>
      <c r="C5" s="1598"/>
      <c r="D5" s="1598"/>
      <c r="E5" s="1598"/>
      <c r="F5" s="1598"/>
      <c r="G5" s="1599"/>
      <c r="H5" s="1597" t="s">
        <v>129</v>
      </c>
      <c r="I5" s="1598"/>
      <c r="J5" s="1598"/>
      <c r="K5" s="1598"/>
      <c r="L5" s="1598"/>
      <c r="M5" s="1599"/>
      <c r="N5" s="1597" t="s">
        <v>129</v>
      </c>
      <c r="O5" s="1598"/>
      <c r="P5" s="1598"/>
      <c r="Q5" s="1598"/>
      <c r="R5" s="1598"/>
      <c r="S5" s="1599"/>
      <c r="T5" s="1593" t="s">
        <v>129</v>
      </c>
      <c r="U5" s="1594"/>
      <c r="W5" s="401"/>
      <c r="X5" s="1597" t="s">
        <v>129</v>
      </c>
      <c r="Y5" s="1598"/>
      <c r="Z5" s="1598"/>
      <c r="AA5" s="1598"/>
      <c r="AB5" s="1598"/>
      <c r="AC5" s="1599"/>
      <c r="AD5" s="1597" t="s">
        <v>129</v>
      </c>
      <c r="AE5" s="1598"/>
      <c r="AF5" s="1598"/>
      <c r="AG5" s="1598"/>
      <c r="AH5" s="1598"/>
      <c r="AI5" s="1599"/>
      <c r="AJ5" s="1597" t="s">
        <v>129</v>
      </c>
      <c r="AK5" s="1598"/>
      <c r="AL5" s="1598"/>
      <c r="AM5" s="1598"/>
      <c r="AN5" s="1598"/>
      <c r="AO5" s="1599"/>
      <c r="AP5" s="1593" t="s">
        <v>129</v>
      </c>
      <c r="AQ5" s="1594"/>
    </row>
    <row r="6" spans="1:43" ht="15" x14ac:dyDescent="0.2">
      <c r="A6" s="401"/>
      <c r="B6" s="1101" t="s">
        <v>69</v>
      </c>
      <c r="C6" s="1102" t="s">
        <v>65</v>
      </c>
      <c r="D6" s="1102" t="s">
        <v>66</v>
      </c>
      <c r="E6" s="1102" t="s">
        <v>67</v>
      </c>
      <c r="F6" s="1102" t="s">
        <v>205</v>
      </c>
      <c r="G6" s="1103" t="s">
        <v>206</v>
      </c>
      <c r="H6" s="1101" t="s">
        <v>69</v>
      </c>
      <c r="I6" s="1102" t="s">
        <v>65</v>
      </c>
      <c r="J6" s="1102" t="s">
        <v>66</v>
      </c>
      <c r="K6" s="1102" t="s">
        <v>67</v>
      </c>
      <c r="L6" s="1102" t="s">
        <v>205</v>
      </c>
      <c r="M6" s="1103" t="s">
        <v>206</v>
      </c>
      <c r="N6" s="1101" t="s">
        <v>69</v>
      </c>
      <c r="O6" s="1102" t="s">
        <v>65</v>
      </c>
      <c r="P6" s="1102" t="s">
        <v>66</v>
      </c>
      <c r="Q6" s="1102" t="s">
        <v>67</v>
      </c>
      <c r="R6" s="1102" t="s">
        <v>205</v>
      </c>
      <c r="S6" s="1103" t="s">
        <v>206</v>
      </c>
      <c r="T6" s="648"/>
      <c r="U6" s="650"/>
      <c r="W6" s="401"/>
      <c r="X6" s="671" t="s">
        <v>69</v>
      </c>
      <c r="Y6" s="668" t="s">
        <v>65</v>
      </c>
      <c r="Z6" s="668" t="s">
        <v>66</v>
      </c>
      <c r="AA6" s="668" t="s">
        <v>67</v>
      </c>
      <c r="AB6" s="668" t="s">
        <v>205</v>
      </c>
      <c r="AC6" s="851" t="s">
        <v>206</v>
      </c>
      <c r="AD6" s="671" t="s">
        <v>69</v>
      </c>
      <c r="AE6" s="668" t="s">
        <v>65</v>
      </c>
      <c r="AF6" s="668" t="s">
        <v>66</v>
      </c>
      <c r="AG6" s="668" t="s">
        <v>67</v>
      </c>
      <c r="AH6" s="668" t="s">
        <v>205</v>
      </c>
      <c r="AI6" s="851" t="s">
        <v>206</v>
      </c>
      <c r="AJ6" s="671" t="s">
        <v>69</v>
      </c>
      <c r="AK6" s="668" t="s">
        <v>65</v>
      </c>
      <c r="AL6" s="668" t="s">
        <v>66</v>
      </c>
      <c r="AM6" s="668" t="s">
        <v>67</v>
      </c>
      <c r="AN6" s="668" t="s">
        <v>205</v>
      </c>
      <c r="AO6" s="670" t="s">
        <v>206</v>
      </c>
      <c r="AP6" s="648"/>
      <c r="AQ6" s="650"/>
    </row>
    <row r="7" spans="1:43" s="849" customFormat="1" ht="32" x14ac:dyDescent="0.15">
      <c r="A7" s="843"/>
      <c r="B7" s="1104" t="str">
        <f t="shared" ref="B7:G7" si="0">INDEX(TECH_OPT_DESC_Cls1,MATCH(B6,TECH_OPT_ROWS_Cls1,0))</f>
        <v>Conventional Diesel ICE</v>
      </c>
      <c r="C7" s="1105" t="str">
        <f t="shared" si="0"/>
        <v>Adv Conv</v>
      </c>
      <c r="D7" s="1105" t="str">
        <f t="shared" si="0"/>
        <v>HEV</v>
      </c>
      <c r="E7" s="1105" t="str">
        <f t="shared" si="0"/>
        <v>BEV</v>
      </c>
      <c r="F7" s="1105" t="str">
        <f t="shared" si="0"/>
        <v>FCEV</v>
      </c>
      <c r="G7" s="1106">
        <f t="shared" si="0"/>
        <v>0</v>
      </c>
      <c r="H7" s="1104" t="str">
        <f t="shared" ref="H7:M7" si="1">INDEX(TECH_OPT_DESC_Cls2,MATCH(H6,TECH_OPT_ROWS_Cls2,0))</f>
        <v>Conventional Diesel ICE</v>
      </c>
      <c r="I7" s="1105" t="str">
        <f t="shared" si="1"/>
        <v>Adv Conv</v>
      </c>
      <c r="J7" s="1105" t="str">
        <f t="shared" si="1"/>
        <v>ISG</v>
      </c>
      <c r="K7" s="1105" t="str">
        <f t="shared" si="1"/>
        <v>PHEV</v>
      </c>
      <c r="L7" s="1105" t="str">
        <f t="shared" si="1"/>
        <v>BEV</v>
      </c>
      <c r="M7" s="1106" t="str">
        <f t="shared" si="1"/>
        <v>FCHEV</v>
      </c>
      <c r="N7" s="1104" t="str">
        <f t="shared" ref="N7:S7" si="2">INDEX(TECH_OPT_DESC_Cls3,MATCH(N6,TECH_OPT_ROWS_Cls3,0))</f>
        <v>Conventional Diesel ICE</v>
      </c>
      <c r="O7" s="1105" t="str">
        <f t="shared" si="2"/>
        <v>Adv Conv</v>
      </c>
      <c r="P7" s="1105" t="str">
        <f t="shared" si="2"/>
        <v>ISG</v>
      </c>
      <c r="Q7" s="1105" t="str">
        <f t="shared" si="2"/>
        <v>HEV</v>
      </c>
      <c r="R7" s="1105" t="str">
        <f t="shared" si="2"/>
        <v>PHEV</v>
      </c>
      <c r="S7" s="1106" t="str">
        <f t="shared" si="2"/>
        <v>BEV</v>
      </c>
      <c r="T7" s="860" t="s">
        <v>70</v>
      </c>
      <c r="U7" s="848" t="s">
        <v>138</v>
      </c>
      <c r="W7" s="843"/>
      <c r="X7" s="844" t="str">
        <f t="shared" ref="X7:AC7" si="3">INDEX(TECH_OPT_DESC_Cls1,MATCH(X6,TECH_OPT_ROWS_Cls1,0))</f>
        <v>Conventional Diesel ICE</v>
      </c>
      <c r="Y7" s="845" t="str">
        <f t="shared" si="3"/>
        <v>Adv Conv</v>
      </c>
      <c r="Z7" s="845" t="str">
        <f t="shared" si="3"/>
        <v>HEV</v>
      </c>
      <c r="AA7" s="858" t="str">
        <f t="shared" si="3"/>
        <v>BEV</v>
      </c>
      <c r="AB7" s="845" t="str">
        <f t="shared" si="3"/>
        <v>FCEV</v>
      </c>
      <c r="AC7" s="846">
        <f t="shared" si="3"/>
        <v>0</v>
      </c>
      <c r="AD7" s="844" t="str">
        <f t="shared" ref="AD7:AI7" si="4">INDEX(TECH_OPT_DESC_Cls2,MATCH(AD6,TECH_OPT_ROWS_Cls2,0))</f>
        <v>Conventional Diesel ICE</v>
      </c>
      <c r="AE7" s="845" t="str">
        <f t="shared" si="4"/>
        <v>Adv Conv</v>
      </c>
      <c r="AF7" s="845" t="str">
        <f t="shared" si="4"/>
        <v>ISG</v>
      </c>
      <c r="AG7" s="858" t="str">
        <f t="shared" si="4"/>
        <v>PHEV</v>
      </c>
      <c r="AH7" s="845" t="str">
        <f t="shared" si="4"/>
        <v>BEV</v>
      </c>
      <c r="AI7" s="846" t="str">
        <f t="shared" si="4"/>
        <v>FCHEV</v>
      </c>
      <c r="AJ7" s="844" t="str">
        <f t="shared" ref="AJ7:AO7" si="5">INDEX(TECH_OPT_DESC_Cls3,MATCH(AJ6,TECH_OPT_ROWS_Cls3,0))</f>
        <v>Conventional Diesel ICE</v>
      </c>
      <c r="AK7" s="845" t="str">
        <f t="shared" si="5"/>
        <v>Adv Conv</v>
      </c>
      <c r="AL7" s="845" t="str">
        <f t="shared" si="5"/>
        <v>ISG</v>
      </c>
      <c r="AM7" s="858" t="str">
        <f t="shared" si="5"/>
        <v>HEV</v>
      </c>
      <c r="AN7" s="845" t="str">
        <f t="shared" si="5"/>
        <v>PHEV</v>
      </c>
      <c r="AO7" s="859" t="str">
        <f t="shared" si="5"/>
        <v>BEV</v>
      </c>
      <c r="AP7" s="860"/>
      <c r="AQ7" s="848"/>
    </row>
    <row r="8" spans="1:43" ht="17" thickBot="1" x14ac:dyDescent="0.25">
      <c r="A8" s="405" t="s">
        <v>3</v>
      </c>
      <c r="B8" s="1107" t="str">
        <f t="shared" ref="B8:G8" si="6">INDEX(TECH_OPT_FUEL1_Cls1,MATCH(B6,TECH_OPT_ROWS_Cls1,0))</f>
        <v>Diesel</v>
      </c>
      <c r="C8" s="1108" t="str">
        <f t="shared" si="6"/>
        <v>Diesel</v>
      </c>
      <c r="D8" s="1108" t="str">
        <f t="shared" si="6"/>
        <v>Diesel</v>
      </c>
      <c r="E8" s="1108" t="str">
        <f t="shared" si="6"/>
        <v>Electricity</v>
      </c>
      <c r="F8" s="1108" t="str">
        <f t="shared" si="6"/>
        <v>Hydrogen</v>
      </c>
      <c r="G8" s="1109" t="str">
        <f t="shared" si="6"/>
        <v>Diesel</v>
      </c>
      <c r="H8" s="1107" t="str">
        <f t="shared" ref="H8:M8" si="7">INDEX(TECH_OPT_FUEL1_Cls2,MATCH(H6,TECH_OPT_ROWS_Cls2,0))</f>
        <v>Diesel</v>
      </c>
      <c r="I8" s="1108" t="str">
        <f t="shared" si="7"/>
        <v>Diesel</v>
      </c>
      <c r="J8" s="1108" t="str">
        <f t="shared" si="7"/>
        <v>Diesel</v>
      </c>
      <c r="K8" s="1108" t="str">
        <f t="shared" si="7"/>
        <v>Diesel</v>
      </c>
      <c r="L8" s="1108" t="str">
        <f t="shared" si="7"/>
        <v>Electricity</v>
      </c>
      <c r="M8" s="1109" t="str">
        <f t="shared" si="7"/>
        <v>Hydrogen</v>
      </c>
      <c r="N8" s="1107" t="str">
        <f t="shared" ref="N8:S8" si="8">INDEX(TECH_OPT_FUEL1_Cls3,MATCH(N6,TECH_OPT_ROWS_Cls3,0))</f>
        <v>Diesel</v>
      </c>
      <c r="O8" s="1108" t="str">
        <f t="shared" si="8"/>
        <v>Diesel</v>
      </c>
      <c r="P8" s="1108" t="str">
        <f t="shared" si="8"/>
        <v>Diesel</v>
      </c>
      <c r="Q8" s="1108" t="str">
        <f t="shared" si="8"/>
        <v>Diesel</v>
      </c>
      <c r="R8" s="1108" t="str">
        <f t="shared" si="8"/>
        <v>Diesel</v>
      </c>
      <c r="S8" s="1109" t="str">
        <f t="shared" si="8"/>
        <v>Electricity</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2" t="str">
        <f t="shared" si="9"/>
        <v>Diesel</v>
      </c>
      <c r="AD8" s="681" t="str">
        <f t="shared" ref="AD8:AI8" si="10">INDEX(TECH_OPT_FUEL1_Cls2,MATCH(AD6,TECH_OPT_ROWS_Cls2,0))</f>
        <v>Diesel</v>
      </c>
      <c r="AE8" s="669" t="str">
        <f t="shared" si="10"/>
        <v>Diesel</v>
      </c>
      <c r="AF8" s="669" t="str">
        <f t="shared" si="10"/>
        <v>Diesel</v>
      </c>
      <c r="AG8" s="669" t="str">
        <f t="shared" si="10"/>
        <v>Diesel</v>
      </c>
      <c r="AH8" s="669" t="str">
        <f t="shared" si="10"/>
        <v>Electricity</v>
      </c>
      <c r="AI8" s="852" t="str">
        <f t="shared" si="10"/>
        <v>Hydrogen</v>
      </c>
      <c r="AJ8" s="681" t="str">
        <f t="shared" ref="AJ8:AO8" si="11">INDEX(TECH_OPT_FUEL1_Cls3,MATCH(AJ6,TECH_OPT_ROWS_Cls3,0))</f>
        <v>Diesel</v>
      </c>
      <c r="AK8" s="669" t="str">
        <f t="shared" si="11"/>
        <v>Diesel</v>
      </c>
      <c r="AL8" s="669" t="str">
        <f t="shared" si="11"/>
        <v>Diesel</v>
      </c>
      <c r="AM8" s="669" t="str">
        <f t="shared" si="11"/>
        <v>Diesel</v>
      </c>
      <c r="AN8" s="669" t="str">
        <f t="shared" si="11"/>
        <v>Diesel</v>
      </c>
      <c r="AO8" s="682" t="str">
        <f t="shared" si="11"/>
        <v>Electricity</v>
      </c>
      <c r="AP8" s="419" t="s">
        <v>70</v>
      </c>
      <c r="AQ8" s="418" t="s">
        <v>138</v>
      </c>
    </row>
    <row r="9" spans="1:43" ht="16" thickTop="1" x14ac:dyDescent="0.2">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3">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4">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4">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5">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6">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1">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4">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4">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4">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5">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6">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1">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4">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4">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4">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5">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6">
        <f t="shared" si="13"/>
        <v>0.96473415876553392</v>
      </c>
      <c r="I23" s="660">
        <f>'7&amp;8 Day'!$M90+'7&amp;8 Day'!$Z90</f>
        <v>2.1253673284782906E-2</v>
      </c>
      <c r="J23" s="660">
        <f>'7&amp;8 Day'!$M142+'7&amp;8 Day'!$Z142</f>
        <v>1.4012167949683206E-2</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0.99146946296636718</v>
      </c>
      <c r="U23" s="434">
        <f>SUM(C23:G23)*'Market Data'!$E$52+SUM(I23:M23)*'Market Data'!$O$52+SUM(O23:S23)*+N23*'Market Data'!$Y$52</f>
        <v>8.5305370336327194E-3</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76640.915008361961</v>
      </c>
      <c r="AE23" s="467">
        <f>IF('Market Penetration'!I23=0,0,1000*I23*'Market Data'!$O$51/('Market Penetration'!I23*'Market Data'!$M$51))</f>
        <v>91226.413387916269</v>
      </c>
      <c r="AF23" s="467">
        <f>IF('Market Penetration'!J23=0,0,1000*J23*'Market Data'!$O$51/('Market Penetration'!J23*'Market Data'!$M$51))</f>
        <v>82969.828471106492</v>
      </c>
      <c r="AG23" s="467">
        <f>IF('Market Penetration'!K23=0,0,1000*K23*'Market Data'!$O$51/('Market Penetration'!K23*'Market Data'!$M$51))</f>
        <v>0</v>
      </c>
      <c r="AH23" s="467">
        <f>IF('Market Penetration'!L23=0,0,1000*L23*'Market Data'!$O$51/('Market Penetration'!L23*'Market Data'!$M$51))</f>
        <v>0</v>
      </c>
      <c r="AI23" s="861">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81381.327776067934</v>
      </c>
      <c r="AQ23" s="469">
        <f>IF('Market Penetration'!U23=0,0,1000*U23*('Market Data'!$E$51+'Market Data'!$O$51+'Market Data'!$Y$51)/('Market Penetration'!U23*('Market Data'!$C$51+'Market Data'!$M$51+'Market Data'!$W$51)))</f>
        <v>87756.561447294502</v>
      </c>
    </row>
    <row r="24" spans="1:43" ht="15" x14ac:dyDescent="0.2">
      <c r="A24" s="403">
        <v>2022</v>
      </c>
      <c r="B24" s="423">
        <f t="shared" si="12"/>
        <v>0.97500126354324201</v>
      </c>
      <c r="C24" s="424">
        <f>'7&amp;8 Sleep'!$M91+'7&amp;8 Sleep'!$Z91</f>
        <v>1.5928931240959662E-2</v>
      </c>
      <c r="D24" s="424">
        <f>'7&amp;8 Sleep'!$M143+'7&amp;8 Sleep'!$Z143</f>
        <v>9.0698052157983603E-3</v>
      </c>
      <c r="E24" s="700">
        <f>'7&amp;8 Sleep'!$M195+'7&amp;8 Sleep'!$Z195</f>
        <v>0</v>
      </c>
      <c r="F24" s="424">
        <f>'7&amp;8 Sleep'!$M248+'7&amp;8 Sleep'!$Z248</f>
        <v>0</v>
      </c>
      <c r="G24" s="658">
        <f>'7&amp;8 Sleep'!$M301+'7&amp;8 Sleep'!$Z301</f>
        <v>0</v>
      </c>
      <c r="H24" s="854">
        <f t="shared" si="13"/>
        <v>0.91334194003108427</v>
      </c>
      <c r="I24" s="658">
        <f>'7&amp;8 Day'!$M91+'7&amp;8 Day'!$Z91</f>
        <v>5.1302847321071564E-2</v>
      </c>
      <c r="J24" s="658">
        <f>'7&amp;8 Day'!$M143+'7&amp;8 Day'!$Z143</f>
        <v>3.5355212647844178E-2</v>
      </c>
      <c r="K24" s="658">
        <f>'7&amp;8 Day'!$M195+'7&amp;8 Day'!$Z195</f>
        <v>0</v>
      </c>
      <c r="L24" s="658">
        <f>'7&amp;8 Day'!$M248+'7&amp;8 Day'!$Z248</f>
        <v>0</v>
      </c>
      <c r="M24" s="705">
        <f>'7&amp;8 Day'!$M301+'7&amp;8 Day'!$Z301</f>
        <v>0</v>
      </c>
      <c r="N24" s="423">
        <f t="shared" si="14"/>
        <v>0.96947894335037121</v>
      </c>
      <c r="O24" s="424">
        <f>'7&amp;8 SU'!$M91+'7&amp;8 SU'!$Z91</f>
        <v>1.3442526151545836E-2</v>
      </c>
      <c r="P24" s="424">
        <f>'7&amp;8 SU'!$M143+'7&amp;8 SU'!$Z143</f>
        <v>1.5346331006377958E-2</v>
      </c>
      <c r="Q24" s="700">
        <f>'7&amp;8 SU'!$M195+'7&amp;8 SU'!$Z195</f>
        <v>1.7321994917049374E-3</v>
      </c>
      <c r="R24" s="424">
        <f>'7&amp;8 SU'!$M248+'7&amp;8 SU'!$Z248</f>
        <v>0</v>
      </c>
      <c r="S24" s="658">
        <f>'7&amp;8 SU'!$M301+'7&amp;8 SU'!$Z301</f>
        <v>0</v>
      </c>
      <c r="T24" s="423">
        <f>B24*'Market Data'!$E$52+H24*'Market Data'!$O$52+N24*+N24*'Market Data'!$Y$52</f>
        <v>0.95693757112704292</v>
      </c>
      <c r="U24" s="425">
        <f>SUM(C24:G24)*'Market Data'!$E$52+SUM(I24:M24)*'Market Data'!$O$52+SUM(O24:S24)*+N24*'Market Data'!$Y$52</f>
        <v>4.0325349123884226E-2</v>
      </c>
      <c r="W24" s="403">
        <v>2022</v>
      </c>
      <c r="X24" s="460">
        <f>IF('Market Penetration'!B24=0,0,1000*B24*'Market Data'!$E$51/('Market Penetration'!B24*'Market Data'!$C$51))</f>
        <v>114221.2637172859</v>
      </c>
      <c r="Y24" s="461">
        <f>IF('Market Penetration'!C24=0,0,1000*C24*'Market Data'!$E$51/('Market Penetration'!C24*'Market Data'!$C$51))</f>
        <v>106807.56329719957</v>
      </c>
      <c r="Z24" s="461">
        <f>IF('Market Penetration'!D24=0,0,1000*D24*'Market Data'!$E$51/('Market Penetration'!D24*'Market Data'!$C$51))</f>
        <v>140769.36289023803</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76098.68438595219</v>
      </c>
      <c r="AE24" s="461">
        <f>IF('Market Penetration'!I24=0,0,1000*I24*'Market Data'!$O$51/('Market Penetration'!I24*'Market Data'!$M$51))</f>
        <v>86480.542696537508</v>
      </c>
      <c r="AF24" s="461">
        <f>IF('Market Penetration'!J24=0,0,1000*J24*'Market Data'!$O$51/('Market Penetration'!J24*'Market Data'!$M$51))</f>
        <v>89671.590906356083</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27142.522953793545</v>
      </c>
      <c r="AK24" s="461">
        <f>IF('Market Penetration'!O24=0,0,1000*O24*'Market Data'!$Y$51/('Market Penetration'!O24*'Market Data'!$W$51))</f>
        <v>29343.386941581935</v>
      </c>
      <c r="AL24" s="461">
        <f>IF('Market Penetration'!P24=0,0,1000*P24*'Market Data'!$Y$51/('Market Penetration'!P24*'Market Data'!$W$51))</f>
        <v>31417.848370165455</v>
      </c>
      <c r="AM24" s="695">
        <f>IF('Market Penetration'!Q24=0,0,1000*Q24*'Market Data'!$Y$51/('Market Penetration'!Q24*'Market Data'!$W$51))</f>
        <v>97554.651970270163</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81013.244836137019</v>
      </c>
      <c r="AQ24" s="462">
        <f>IF('Market Penetration'!U24=0,0,1000*U24*('Market Data'!$E$51+'Market Data'!$O$51+'Market Data'!$Y$51)/('Market Penetration'!U24*('Market Data'!$C$51+'Market Data'!$M$51+'Market Data'!$W$51)))</f>
        <v>86146.244413679466</v>
      </c>
    </row>
    <row r="25" spans="1:43" ht="15" x14ac:dyDescent="0.2">
      <c r="A25" s="403">
        <v>2023</v>
      </c>
      <c r="B25" s="423">
        <f t="shared" si="12"/>
        <v>0.93551636818153605</v>
      </c>
      <c r="C25" s="424">
        <f>'7&amp;8 Sleep'!$M92+'7&amp;8 Sleep'!$Z92</f>
        <v>3.8506518821436485E-2</v>
      </c>
      <c r="D25" s="424">
        <f>'7&amp;8 Sleep'!$M144+'7&amp;8 Sleep'!$Z144</f>
        <v>2.5977112997027468E-2</v>
      </c>
      <c r="E25" s="700">
        <f>'7&amp;8 Sleep'!$M196+'7&amp;8 Sleep'!$Z196</f>
        <v>0</v>
      </c>
      <c r="F25" s="424">
        <f>'7&amp;8 Sleep'!$M249+'7&amp;8 Sleep'!$Z249</f>
        <v>0</v>
      </c>
      <c r="G25" s="658">
        <f>'7&amp;8 Sleep'!$M302+'7&amp;8 Sleep'!$Z302</f>
        <v>0</v>
      </c>
      <c r="H25" s="854">
        <f t="shared" si="13"/>
        <v>0.81488274037403319</v>
      </c>
      <c r="I25" s="658">
        <f>'7&amp;8 Day'!$M92+'7&amp;8 Day'!$Z92</f>
        <v>0.10754991219209312</v>
      </c>
      <c r="J25" s="658">
        <f>'7&amp;8 Day'!$M144+'7&amp;8 Day'!$Z144</f>
        <v>7.7567347433873696E-2</v>
      </c>
      <c r="K25" s="658">
        <f>'7&amp;8 Day'!$M196+'7&amp;8 Day'!$Z196</f>
        <v>0</v>
      </c>
      <c r="L25" s="658">
        <f>'7&amp;8 Day'!$M249+'7&amp;8 Day'!$Z249</f>
        <v>0</v>
      </c>
      <c r="M25" s="705">
        <f>'7&amp;8 Day'!$M302+'7&amp;8 Day'!$Z302</f>
        <v>0</v>
      </c>
      <c r="N25" s="423">
        <f t="shared" si="14"/>
        <v>0.92650026900292881</v>
      </c>
      <c r="O25" s="424">
        <f>'7&amp;8 SU'!$M92+'7&amp;8 SU'!$Z92</f>
        <v>3.261961184850494E-2</v>
      </c>
      <c r="P25" s="424">
        <f>'7&amp;8 SU'!$M144+'7&amp;8 SU'!$Z144</f>
        <v>3.521953764949521E-2</v>
      </c>
      <c r="Q25" s="700">
        <f>'7&amp;8 SU'!$M196+'7&amp;8 SU'!$Z196</f>
        <v>5.6605814990710124E-3</v>
      </c>
      <c r="R25" s="424">
        <f>'7&amp;8 SU'!$M249+'7&amp;8 SU'!$Z249</f>
        <v>0</v>
      </c>
      <c r="S25" s="658">
        <f>'7&amp;8 SU'!$M302+'7&amp;8 SU'!$Z302</f>
        <v>0</v>
      </c>
      <c r="T25" s="423">
        <f>B25*'Market Data'!$E$52+H25*'Market Data'!$O$52+N25*+N25*'Market Data'!$Y$52</f>
        <v>0.89942059047205669</v>
      </c>
      <c r="U25" s="425">
        <f>SUM(C25:G25)*'Market Data'!$E$52+SUM(I25:M25)*'Market Data'!$O$52+SUM(O25:S25)*+N25*'Market Data'!$Y$52</f>
        <v>9.3988070716060398E-2</v>
      </c>
      <c r="W25" s="403">
        <v>2023</v>
      </c>
      <c r="X25" s="460">
        <f>IF('Market Penetration'!B25=0,0,1000*B25*'Market Data'!$E$51/('Market Penetration'!B25*'Market Data'!$C$51))</f>
        <v>114033.10442279154</v>
      </c>
      <c r="Y25" s="461">
        <f>IF('Market Penetration'!C25=0,0,1000*C25*'Market Data'!$E$51/('Market Penetration'!C25*'Market Data'!$C$51))</f>
        <v>107468.34577715541</v>
      </c>
      <c r="Z25" s="461">
        <f>IF('Market Penetration'!D25=0,0,1000*D25*'Market Data'!$E$51/('Market Penetration'!D25*'Market Data'!$C$51))</f>
        <v>138592.93523795556</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74333.980858799099</v>
      </c>
      <c r="AE25" s="461">
        <f>IF('Market Penetration'!I25=0,0,1000*I25*'Market Data'!$O$51/('Market Penetration'!I25*'Market Data'!$M$51))</f>
        <v>83395.096074227244</v>
      </c>
      <c r="AF25" s="461">
        <f>IF('Market Penetration'!J25=0,0,1000*J25*'Market Data'!$O$51/('Market Penetration'!J25*'Market Data'!$M$51))</f>
        <v>105178.73047419776</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26964.948765811416</v>
      </c>
      <c r="AK25" s="461">
        <f>IF('Market Penetration'!O25=0,0,1000*O25*'Market Data'!$Y$51/('Market Penetration'!O25*'Market Data'!$W$51))</f>
        <v>28752.767191183062</v>
      </c>
      <c r="AL25" s="461">
        <f>IF('Market Penetration'!P25=0,0,1000*P25*'Market Data'!$Y$51/('Market Penetration'!P25*'Market Data'!$W$51))</f>
        <v>31311.594004243365</v>
      </c>
      <c r="AM25" s="695">
        <f>IF('Market Penetration'!Q25=0,0,1000*Q25*'Market Data'!$Y$51/('Market Penetration'!Q25*'Market Data'!$W$51))</f>
        <v>88881.269987293112</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80185.417436978998</v>
      </c>
      <c r="AQ25" s="462">
        <f>IF('Market Penetration'!U25=0,0,1000*U25*('Market Data'!$E$51+'Market Data'!$O$51+'Market Data'!$Y$51)/('Market Penetration'!U25*('Market Data'!$C$51+'Market Data'!$M$51+'Market Data'!$W$51)))</f>
        <v>88379.847169240311</v>
      </c>
    </row>
    <row r="26" spans="1:43" ht="15" x14ac:dyDescent="0.2">
      <c r="A26" s="403">
        <v>2024</v>
      </c>
      <c r="B26" s="423">
        <f t="shared" si="12"/>
        <v>0.84210443039600769</v>
      </c>
      <c r="C26" s="424">
        <f>'7&amp;8 Sleep'!$M93+'7&amp;8 Sleep'!$Z93</f>
        <v>9.1397921213851346E-2</v>
      </c>
      <c r="D26" s="424">
        <f>'7&amp;8 Sleep'!$M145+'7&amp;8 Sleep'!$Z145</f>
        <v>6.6497648390141037E-2</v>
      </c>
      <c r="E26" s="700">
        <f>'7&amp;8 Sleep'!$M197+'7&amp;8 Sleep'!$Z197</f>
        <v>0</v>
      </c>
      <c r="F26" s="424">
        <f>'7&amp;8 Sleep'!$M250+'7&amp;8 Sleep'!$Z250</f>
        <v>0</v>
      </c>
      <c r="G26" s="658">
        <f>'7&amp;8 Sleep'!$M303+'7&amp;8 Sleep'!$Z303</f>
        <v>0</v>
      </c>
      <c r="H26" s="854">
        <f t="shared" si="13"/>
        <v>0.6855328581761535</v>
      </c>
      <c r="I26" s="658">
        <f>'7&amp;8 Day'!$M93+'7&amp;8 Day'!$Z93</f>
        <v>0.16814041051209749</v>
      </c>
      <c r="J26" s="658">
        <f>'7&amp;8 Day'!$M145+'7&amp;8 Day'!$Z145</f>
        <v>0.14632673131174898</v>
      </c>
      <c r="K26" s="658">
        <f>'7&amp;8 Day'!$M197+'7&amp;8 Day'!$Z197</f>
        <v>0</v>
      </c>
      <c r="L26" s="658">
        <f>'7&amp;8 Day'!$M250+'7&amp;8 Day'!$Z250</f>
        <v>0</v>
      </c>
      <c r="M26" s="705">
        <f>'7&amp;8 Day'!$M303+'7&amp;8 Day'!$Z303</f>
        <v>0</v>
      </c>
      <c r="N26" s="423">
        <f t="shared" si="14"/>
        <v>0.85150688705888999</v>
      </c>
      <c r="O26" s="424">
        <f>'7&amp;8 SU'!$M93+'7&amp;8 SU'!$Z93</f>
        <v>6.5039633530284593E-2</v>
      </c>
      <c r="P26" s="424">
        <f>'7&amp;8 SU'!$M145+'7&amp;8 SU'!$Z145</f>
        <v>6.7054888099945892E-2</v>
      </c>
      <c r="Q26" s="700">
        <f>'7&amp;8 SU'!$M197+'7&amp;8 SU'!$Z197</f>
        <v>1.6398591310879462E-2</v>
      </c>
      <c r="R26" s="424">
        <f>'7&amp;8 SU'!$M250+'7&amp;8 SU'!$Z250</f>
        <v>0</v>
      </c>
      <c r="S26" s="658">
        <f>'7&amp;8 SU'!$M303+'7&amp;8 SU'!$Z303</f>
        <v>0</v>
      </c>
      <c r="T26" s="423">
        <f>B26*'Market Data'!$E$52+H26*'Market Data'!$O$52+N26*+N26*'Market Data'!$Y$52</f>
        <v>0.79373496434018209</v>
      </c>
      <c r="U26" s="425">
        <f>SUM(C26:G26)*'Market Data'!$E$52+SUM(I26:M26)*'Market Data'!$O$52+SUM(O26:S26)*+N26*'Market Data'!$Y$52</f>
        <v>0.19294840979808461</v>
      </c>
      <c r="W26" s="403">
        <v>2024</v>
      </c>
      <c r="X26" s="460">
        <f>IF('Market Penetration'!B26=0,0,1000*B26*'Market Data'!$E$51/('Market Penetration'!B26*'Market Data'!$C$51))</f>
        <v>113050.52611377821</v>
      </c>
      <c r="Y26" s="461">
        <f>IF('Market Penetration'!C26=0,0,1000*C26*'Market Data'!$E$51/('Market Penetration'!C26*'Market Data'!$C$51))</f>
        <v>112681.61810870325</v>
      </c>
      <c r="Z26" s="461">
        <f>IF('Market Penetration'!D26=0,0,1000*D26*'Market Data'!$E$51/('Market Penetration'!D26*'Market Data'!$C$51))</f>
        <v>135819.12585027103</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68509.744843053311</v>
      </c>
      <c r="AE26" s="461">
        <f>IF('Market Penetration'!I26=0,0,1000*I26*'Market Data'!$O$51/('Market Penetration'!I26*'Market Data'!$M$51))</f>
        <v>100995.02013942011</v>
      </c>
      <c r="AF26" s="461">
        <f>IF('Market Penetration'!J26=0,0,1000*J26*'Market Data'!$O$51/('Market Penetration'!J26*'Market Data'!$M$51))</f>
        <v>110989.55136282946</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26434.068676714982</v>
      </c>
      <c r="AK26" s="461">
        <f>IF('Market Penetration'!O26=0,0,1000*O26*'Market Data'!$Y$51/('Market Penetration'!O26*'Market Data'!$W$51))</f>
        <v>28824.602444397777</v>
      </c>
      <c r="AL26" s="461">
        <f>IF('Market Penetration'!P26=0,0,1000*P26*'Market Data'!$Y$51/('Market Penetration'!P26*'Market Data'!$W$51))</f>
        <v>33339.608493750085</v>
      </c>
      <c r="AM26" s="695">
        <f>IF('Market Penetration'!Q26=0,0,1000*Q26*'Market Data'!$Y$51/('Market Penetration'!Q26*'Market Data'!$W$51))</f>
        <v>81072.420313633847</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77149.273421222693</v>
      </c>
      <c r="AQ26" s="462">
        <f>IF('Market Penetration'!U26=0,0,1000*U26*('Market Data'!$E$51+'Market Data'!$O$51+'Market Data'!$Y$51)/('Market Penetration'!U26*('Market Data'!$C$51+'Market Data'!$M$51+'Market Data'!$W$51)))</f>
        <v>96865.795657550174</v>
      </c>
    </row>
    <row r="27" spans="1:43" ht="15" x14ac:dyDescent="0.2">
      <c r="A27" s="402">
        <v>2025</v>
      </c>
      <c r="B27" s="426">
        <f t="shared" si="12"/>
        <v>0.68419332819043133</v>
      </c>
      <c r="C27" s="427">
        <f>'7&amp;8 Sleep'!$M94+'7&amp;8 Sleep'!$Z94</f>
        <v>0.18410656562789671</v>
      </c>
      <c r="D27" s="427">
        <f>'7&amp;8 Sleep'!$M146+'7&amp;8 Sleep'!$Z146</f>
        <v>0.13170010618167194</v>
      </c>
      <c r="E27" s="701">
        <f>'7&amp;8 Sleep'!$M198+'7&amp;8 Sleep'!$Z198</f>
        <v>0</v>
      </c>
      <c r="F27" s="427">
        <f>'7&amp;8 Sleep'!$M251+'7&amp;8 Sleep'!$Z251</f>
        <v>0</v>
      </c>
      <c r="G27" s="659">
        <f>'7&amp;8 Sleep'!$M304+'7&amp;8 Sleep'!$Z304</f>
        <v>0</v>
      </c>
      <c r="H27" s="855">
        <f t="shared" si="13"/>
        <v>0.55929421987437</v>
      </c>
      <c r="I27" s="659">
        <f>'7&amp;8 Day'!$M94+'7&amp;8 Day'!$Z94</f>
        <v>0.22799318582076217</v>
      </c>
      <c r="J27" s="659">
        <f>'7&amp;8 Day'!$M146+'7&amp;8 Day'!$Z146</f>
        <v>0.21271259430486777</v>
      </c>
      <c r="K27" s="659">
        <f>'7&amp;8 Day'!$M198+'7&amp;8 Day'!$Z198</f>
        <v>0</v>
      </c>
      <c r="L27" s="659">
        <f>'7&amp;8 Day'!$M251+'7&amp;8 Day'!$Z251</f>
        <v>0</v>
      </c>
      <c r="M27" s="706">
        <f>'7&amp;8 Day'!$M304+'7&amp;8 Day'!$Z304</f>
        <v>0</v>
      </c>
      <c r="N27" s="426">
        <f t="shared" si="14"/>
        <v>0.79800390094000928</v>
      </c>
      <c r="O27" s="427">
        <f>'7&amp;8 SU'!$M94+'7&amp;8 SU'!$Z94</f>
        <v>7.0530247530251527E-2</v>
      </c>
      <c r="P27" s="427">
        <f>'7&amp;8 SU'!$M146+'7&amp;8 SU'!$Z146</f>
        <v>9.419040372435275E-2</v>
      </c>
      <c r="Q27" s="701">
        <f>'7&amp;8 SU'!$M198+'7&amp;8 SU'!$Z198</f>
        <v>3.7275447805386455E-2</v>
      </c>
      <c r="R27" s="427">
        <f>'7&amp;8 SU'!$M251+'7&amp;8 SU'!$Z251</f>
        <v>0</v>
      </c>
      <c r="S27" s="659">
        <f>'7&amp;8 SU'!$M304+'7&amp;8 SU'!$Z304</f>
        <v>0</v>
      </c>
      <c r="T27" s="426">
        <f>B27*'Market Data'!$E$52+H27*'Market Data'!$O$52+N27*+N27*'Market Data'!$Y$52</f>
        <v>0.64973194885052277</v>
      </c>
      <c r="U27" s="428">
        <f>SUM(C27:G27)*'Market Data'!$E$52+SUM(I27:M27)*'Market Data'!$O$52+SUM(O27:S27)*+N27*'Market Data'!$Y$52</f>
        <v>0.33215336270747325</v>
      </c>
      <c r="W27" s="402">
        <v>2025</v>
      </c>
      <c r="X27" s="463">
        <f>IF('Market Penetration'!B27=0,0,1000*B27*'Market Data'!$E$51/('Market Penetration'!B27*'Market Data'!$C$51))</f>
        <v>110731.17076723205</v>
      </c>
      <c r="Y27" s="464">
        <f>IF('Market Penetration'!C27=0,0,1000*C27*'Market Data'!$E$51/('Market Penetration'!C27*'Market Data'!$C$51))</f>
        <v>115510.894321895</v>
      </c>
      <c r="Z27" s="464">
        <f>IF('Market Penetration'!D27=0,0,1000*D27*'Market Data'!$E$51/('Market Penetration'!D27*'Market Data'!$C$51))</f>
        <v>134810.50441363631</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62264.913163545767</v>
      </c>
      <c r="AE27" s="464">
        <f>IF('Market Penetration'!I27=0,0,1000*I27*'Market Data'!$O$51/('Market Penetration'!I27*'Market Data'!$M$51))</f>
        <v>108938.69629896728</v>
      </c>
      <c r="AF27" s="464">
        <f>IF('Market Penetration'!J27=0,0,1000*J27*'Market Data'!$O$51/('Market Penetration'!J27*'Market Data'!$M$51))</f>
        <v>111122.03411450167</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24884.681420592337</v>
      </c>
      <c r="AK27" s="464">
        <f>IF('Market Penetration'!O27=0,0,1000*O27*'Market Data'!$Y$51/('Market Penetration'!O27*'Market Data'!$W$51))</f>
        <v>36141.03771097766</v>
      </c>
      <c r="AL27" s="464">
        <f>IF('Market Penetration'!P27=0,0,1000*P27*'Market Data'!$Y$51/('Market Penetration'!P27*'Market Data'!$W$51))</f>
        <v>43540.208386949147</v>
      </c>
      <c r="AM27" s="696">
        <f>IF('Market Penetration'!Q27=0,0,1000*Q27*'Market Data'!$Y$51/('Market Penetration'!Q27*'Market Data'!$W$51))</f>
        <v>74624.283409314899</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70786.56211187852</v>
      </c>
      <c r="AQ27" s="465">
        <f>IF('Market Penetration'!U27=0,0,1000*U27*('Market Data'!$E$51+'Market Data'!$O$51+'Market Data'!$Y$51)/('Market Penetration'!U27*('Market Data'!$C$51+'Market Data'!$M$51+'Market Data'!$W$51)))</f>
        <v>107095.49852392904</v>
      </c>
    </row>
    <row r="28" spans="1:43" ht="15" x14ac:dyDescent="0.2">
      <c r="A28" s="429">
        <v>2026</v>
      </c>
      <c r="B28" s="430">
        <f t="shared" si="12"/>
        <v>0.59878394650201161</v>
      </c>
      <c r="C28" s="431">
        <f>'7&amp;8 Sleep'!$M95+'7&amp;8 Sleep'!$Z95</f>
        <v>0.22489262946611011</v>
      </c>
      <c r="D28" s="431">
        <f>'7&amp;8 Sleep'!$M147+'7&amp;8 Sleep'!$Z147</f>
        <v>0.17632342403187831</v>
      </c>
      <c r="E28" s="702">
        <f>'7&amp;8 Sleep'!$M199+'7&amp;8 Sleep'!$Z199</f>
        <v>0</v>
      </c>
      <c r="F28" s="431">
        <f>'7&amp;8 Sleep'!$M252+'7&amp;8 Sleep'!$Z252</f>
        <v>0</v>
      </c>
      <c r="G28" s="660">
        <f>'7&amp;8 Sleep'!$M305+'7&amp;8 Sleep'!$Z305</f>
        <v>0</v>
      </c>
      <c r="H28" s="856">
        <f t="shared" si="13"/>
        <v>0.42185190520958338</v>
      </c>
      <c r="I28" s="660">
        <f>'7&amp;8 Day'!$M95+'7&amp;8 Day'!$Z95</f>
        <v>0.29398468256832411</v>
      </c>
      <c r="J28" s="660">
        <f>'7&amp;8 Day'!$M147+'7&amp;8 Day'!$Z147</f>
        <v>0.28416341222209252</v>
      </c>
      <c r="K28" s="660">
        <f>'7&amp;8 Day'!$M199+'7&amp;8 Day'!$Z199</f>
        <v>0</v>
      </c>
      <c r="L28" s="660">
        <f>'7&amp;8 Day'!$M252+'7&amp;8 Day'!$Z252</f>
        <v>0</v>
      </c>
      <c r="M28" s="707">
        <f>'7&amp;8 Day'!$M305+'7&amp;8 Day'!$Z305</f>
        <v>0</v>
      </c>
      <c r="N28" s="430">
        <f t="shared" si="14"/>
        <v>0.68717531326492987</v>
      </c>
      <c r="O28" s="431">
        <f>'7&amp;8 SU'!$M95+'7&amp;8 SU'!$Z95</f>
        <v>0.10454512282177919</v>
      </c>
      <c r="P28" s="431">
        <f>'7&amp;8 SU'!$M147+'7&amp;8 SU'!$Z147</f>
        <v>0.14970513353419737</v>
      </c>
      <c r="Q28" s="702">
        <f>'7&amp;8 SU'!$M199+'7&amp;8 SU'!$Z199</f>
        <v>5.8573533506374641E-2</v>
      </c>
      <c r="R28" s="431">
        <f>'7&amp;8 SU'!$M252+'7&amp;8 SU'!$Z252</f>
        <v>8.968727190431292E-7</v>
      </c>
      <c r="S28" s="660">
        <f>'7&amp;8 SU'!$M305+'7&amp;8 SU'!$Z305</f>
        <v>0</v>
      </c>
      <c r="T28" s="433">
        <f>B28*'Market Data'!$E$52+H28*'Market Data'!$O$52+N28*+N28*'Market Data'!$Y$52</f>
        <v>0.54463448223965016</v>
      </c>
      <c r="U28" s="434">
        <f>SUM(C28:G28)*'Market Data'!$E$52+SUM(I28:M28)*'Market Data'!$O$52+SUM(O28:S28)*+N28*'Market Data'!$Y$52</f>
        <v>0.42731189809371301</v>
      </c>
      <c r="W28" s="429">
        <v>2026</v>
      </c>
      <c r="X28" s="466">
        <f>IF('Market Penetration'!B28=0,0,1000*B28*'Market Data'!$E$51/('Market Penetration'!B28*'Market Data'!$C$51))</f>
        <v>111590.59495008249</v>
      </c>
      <c r="Y28" s="467">
        <f>IF('Market Penetration'!C28=0,0,1000*C28*'Market Data'!$E$51/('Market Penetration'!C28*'Market Data'!$C$51))</f>
        <v>106963.12869159353</v>
      </c>
      <c r="Z28" s="467">
        <f>IF('Market Penetration'!D28=0,0,1000*D28*'Market Data'!$E$51/('Market Penetration'!D28*'Market Data'!$C$51))</f>
        <v>137621.78925068633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55706.55138150719</v>
      </c>
      <c r="AE28" s="467">
        <f>IF('Market Penetration'!I28=0,0,1000*I28*'Market Data'!$O$51/('Market Penetration'!I28*'Market Data'!$M$51))</f>
        <v>106033.24374855626</v>
      </c>
      <c r="AF28" s="467">
        <f>IF('Market Penetration'!J28=0,0,1000*J28*'Market Data'!$O$51/('Market Penetration'!J28*'Market Data'!$M$51))</f>
        <v>107464.49092139062</v>
      </c>
      <c r="AG28" s="467">
        <f>IF('Market Penetration'!K28=0,0,1000*K28*'Market Data'!$O$51/('Market Penetration'!K28*'Market Data'!$M$51))</f>
        <v>0</v>
      </c>
      <c r="AH28" s="467">
        <f>IF('Market Penetration'!L28=0,0,1000*L28*'Market Data'!$O$51/('Market Penetration'!L28*'Market Data'!$M$51))</f>
        <v>0</v>
      </c>
      <c r="AI28" s="861">
        <f>IF('Market Penetration'!M28=0,0,1000*M28*'Market Data'!$O$51/('Market Penetration'!M28*'Market Data'!$M$51))</f>
        <v>0</v>
      </c>
      <c r="AJ28" s="466">
        <f>IF('Market Penetration'!N28=0,0,1000*N28*'Market Data'!$Y$51/('Market Penetration'!N28*'Market Data'!$W$51))</f>
        <v>23164.285157351991</v>
      </c>
      <c r="AK28" s="467">
        <f>IF('Market Penetration'!O28=0,0,1000*O28*'Market Data'!$Y$51/('Market Penetration'!O28*'Market Data'!$W$51))</f>
        <v>39362.017724647405</v>
      </c>
      <c r="AL28" s="467">
        <f>IF('Market Penetration'!P28=0,0,1000*P28*'Market Data'!$Y$51/('Market Penetration'!P28*'Market Data'!$W$51))</f>
        <v>42303.92757950649</v>
      </c>
      <c r="AM28" s="697">
        <f>IF('Market Penetration'!Q28=0,0,1000*Q28*'Market Data'!$Y$51/('Market Penetration'!Q28*'Market Data'!$W$51))</f>
        <v>71229.256713712384</v>
      </c>
      <c r="AN28" s="467">
        <f>IF('Market Penetration'!R28=0,0,1000*R28*'Market Data'!$Y$51/('Market Penetration'!R28*'Market Data'!$W$51))</f>
        <v>224999.99999999997</v>
      </c>
      <c r="AO28" s="692">
        <f>IF('Market Penetration'!S28=0,0,1000*S28*'Market Data'!$Y$51/('Market Penetration'!S28*'Market Data'!$W$51))</f>
        <v>0</v>
      </c>
      <c r="AP28" s="468">
        <f>IF('Market Penetration'!T28=0,0,1000*T28*('Market Data'!$E$51+'Market Data'!$O$51+'Market Data'!$Y$51)/('Market Penetration'!T28*('Market Data'!$C$51+'Market Data'!$M$51+'Market Data'!$W$51)))</f>
        <v>67414.841267562297</v>
      </c>
      <c r="AQ28" s="469">
        <f>IF('Market Penetration'!U28=0,0,1000*U28*('Market Data'!$E$51+'Market Data'!$O$51+'Market Data'!$Y$51)/('Market Penetration'!U28*('Market Data'!$C$51+'Market Data'!$M$51+'Market Data'!$W$51)))</f>
        <v>101707.88175079037</v>
      </c>
    </row>
    <row r="29" spans="1:43" ht="15" x14ac:dyDescent="0.2">
      <c r="A29" s="403">
        <v>2027</v>
      </c>
      <c r="B29" s="423">
        <f t="shared" si="12"/>
        <v>0.52515790500456005</v>
      </c>
      <c r="C29" s="424">
        <f>'7&amp;8 Sleep'!$M96+'7&amp;8 Sleep'!$Z96</f>
        <v>0.28083845692270154</v>
      </c>
      <c r="D29" s="424">
        <f>'7&amp;8 Sleep'!$M148+'7&amp;8 Sleep'!$Z148</f>
        <v>0.1940036380727384</v>
      </c>
      <c r="E29" s="700">
        <f>'7&amp;8 Sleep'!$M200+'7&amp;8 Sleep'!$Z200</f>
        <v>0</v>
      </c>
      <c r="F29" s="424">
        <f>'7&amp;8 Sleep'!$M253+'7&amp;8 Sleep'!$Z253</f>
        <v>0</v>
      </c>
      <c r="G29" s="658">
        <f>'7&amp;8 Sleep'!$M306+'7&amp;8 Sleep'!$Z306</f>
        <v>0</v>
      </c>
      <c r="H29" s="854">
        <f t="shared" si="13"/>
        <v>0.34349137881498559</v>
      </c>
      <c r="I29" s="658">
        <f>'7&amp;8 Day'!$M96+'7&amp;8 Day'!$Z96</f>
        <v>0.33209024097497086</v>
      </c>
      <c r="J29" s="658">
        <f>'7&amp;8 Day'!$M148+'7&amp;8 Day'!$Z148</f>
        <v>0.3244183802100436</v>
      </c>
      <c r="K29" s="658">
        <f>'7&amp;8 Day'!$M200+'7&amp;8 Day'!$Z200</f>
        <v>0</v>
      </c>
      <c r="L29" s="658">
        <f>'7&amp;8 Day'!$M253+'7&amp;8 Day'!$Z253</f>
        <v>0</v>
      </c>
      <c r="M29" s="705">
        <f>'7&amp;8 Day'!$M306+'7&amp;8 Day'!$Z306</f>
        <v>0</v>
      </c>
      <c r="N29" s="423">
        <f t="shared" si="14"/>
        <v>0.61508590263243912</v>
      </c>
      <c r="O29" s="424">
        <f>'7&amp;8 SU'!$M96+'7&amp;8 SU'!$Z96</f>
        <v>0.11337134559649019</v>
      </c>
      <c r="P29" s="424">
        <f>'7&amp;8 SU'!$M148+'7&amp;8 SU'!$Z148</f>
        <v>0.19521487153470823</v>
      </c>
      <c r="Q29" s="700">
        <f>'7&amp;8 SU'!$M200+'7&amp;8 SU'!$Z200</f>
        <v>7.6315905095283382E-2</v>
      </c>
      <c r="R29" s="424">
        <f>'7&amp;8 SU'!$M253+'7&amp;8 SU'!$Z253</f>
        <v>1.1975141079020346E-5</v>
      </c>
      <c r="S29" s="658">
        <f>'7&amp;8 SU'!$M306+'7&amp;8 SU'!$Z306</f>
        <v>0</v>
      </c>
      <c r="T29" s="423">
        <f>B29*'Market Data'!$E$52+H29*'Market Data'!$O$52+N29*+N29*'Market Data'!$Y$52</f>
        <v>0.46804693018621968</v>
      </c>
      <c r="U29" s="425">
        <f>SUM(C29:G29)*'Market Data'!$E$52+SUM(I29:M29)*'Market Data'!$O$52+SUM(O29:S29)*+N29*'Market Data'!$Y$52</f>
        <v>0.49743458661932149</v>
      </c>
      <c r="W29" s="403">
        <v>2027</v>
      </c>
      <c r="X29" s="460">
        <f>IF('Market Penetration'!B29=0,0,1000*B29*'Market Data'!$E$51/('Market Penetration'!B29*'Market Data'!$C$51))</f>
        <v>111160.80878778188</v>
      </c>
      <c r="Y29" s="461">
        <f>IF('Market Penetration'!C29=0,0,1000*C29*'Market Data'!$E$51/('Market Penetration'!C29*'Market Data'!$C$51))</f>
        <v>106826.95597097813</v>
      </c>
      <c r="Z29" s="461">
        <f>IF('Market Penetration'!D29=0,0,1000*D29*'Market Data'!$E$51/('Market Penetration'!D29*'Market Data'!$C$51))</f>
        <v>138928.91151532112</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51047.030947158804</v>
      </c>
      <c r="AE29" s="461">
        <f>IF('Market Penetration'!I29=0,0,1000*I29*'Market Data'!$O$51/('Market Penetration'!I29*'Market Data'!$M$51))</f>
        <v>104360.85646468302</v>
      </c>
      <c r="AF29" s="461">
        <f>IF('Market Penetration'!J29=0,0,1000*J29*'Market Data'!$O$51/('Market Penetration'!J29*'Market Data'!$M$51))</f>
        <v>105381.17554148527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21549.473521145817</v>
      </c>
      <c r="AK29" s="461">
        <f>IF('Market Penetration'!O29=0,0,1000*O29*'Market Data'!$Y$51/('Market Penetration'!O29*'Market Data'!$W$51))</f>
        <v>48187.94893976493</v>
      </c>
      <c r="AL29" s="461">
        <f>IF('Market Penetration'!P29=0,0,1000*P29*'Market Data'!$Y$51/('Market Penetration'!P29*'Market Data'!$W$51))</f>
        <v>41872.369954808171</v>
      </c>
      <c r="AM29" s="695">
        <f>IF('Market Penetration'!Q29=0,0,1000*Q29*'Market Data'!$Y$51/('Market Penetration'!Q29*'Market Data'!$W$51))</f>
        <v>67863.069996635721</v>
      </c>
      <c r="AN29" s="461">
        <f>IF('Market Penetration'!R29=0,0,1000*R29*'Market Data'!$Y$51/('Market Penetration'!R29*'Market Data'!$W$51))</f>
        <v>213638.06368167853</v>
      </c>
      <c r="AO29" s="690">
        <f>IF('Market Penetration'!S29=0,0,1000*S29*'Market Data'!$Y$51/('Market Penetration'!S29*'Market Data'!$W$51))</f>
        <v>0</v>
      </c>
      <c r="AP29" s="460">
        <f>IF('Market Penetration'!T29=0,0,1000*T29*('Market Data'!$E$51+'Market Data'!$O$51+'Market Data'!$Y$51)/('Market Penetration'!T29*('Market Data'!$C$51+'Market Data'!$M$51+'Market Data'!$W$51)))</f>
        <v>63721.228487824294</v>
      </c>
      <c r="AQ29" s="462">
        <f>IF('Market Penetration'!U29=0,0,1000*U29*('Market Data'!$E$51+'Market Data'!$O$51+'Market Data'!$Y$51)/('Market Penetration'!U29*('Market Data'!$C$51+'Market Data'!$M$51+'Market Data'!$W$51)))</f>
        <v>100797.52012525915</v>
      </c>
    </row>
    <row r="30" spans="1:43" ht="15" x14ac:dyDescent="0.2">
      <c r="A30" s="403">
        <v>2028</v>
      </c>
      <c r="B30" s="423">
        <f t="shared" si="12"/>
        <v>0.47944976320534782</v>
      </c>
      <c r="C30" s="424">
        <f>'7&amp;8 Sleep'!$M97+'7&amp;8 Sleep'!$Z97</f>
        <v>0.29276057644526754</v>
      </c>
      <c r="D30" s="424">
        <f>'7&amp;8 Sleep'!$M149+'7&amp;8 Sleep'!$Z149</f>
        <v>0.22778966034938467</v>
      </c>
      <c r="E30" s="700">
        <f>'7&amp;8 Sleep'!$M201+'7&amp;8 Sleep'!$Z201</f>
        <v>0</v>
      </c>
      <c r="F30" s="424">
        <f>'7&amp;8 Sleep'!$M254+'7&amp;8 Sleep'!$Z254</f>
        <v>0</v>
      </c>
      <c r="G30" s="658">
        <f>'7&amp;8 Sleep'!$M307+'7&amp;8 Sleep'!$Z307</f>
        <v>0</v>
      </c>
      <c r="H30" s="854">
        <f t="shared" si="13"/>
        <v>0.28763822364099734</v>
      </c>
      <c r="I30" s="658">
        <f>'7&amp;8 Day'!$M97+'7&amp;8 Day'!$Z97</f>
        <v>0.36028787583100375</v>
      </c>
      <c r="J30" s="658">
        <f>'7&amp;8 Day'!$M149+'7&amp;8 Day'!$Z149</f>
        <v>0.35207390052799892</v>
      </c>
      <c r="K30" s="658">
        <f>'7&amp;8 Day'!$M201+'7&amp;8 Day'!$Z201</f>
        <v>0</v>
      </c>
      <c r="L30" s="658">
        <f>'7&amp;8 Day'!$M254+'7&amp;8 Day'!$Z254</f>
        <v>0</v>
      </c>
      <c r="M30" s="705">
        <f>'7&amp;8 Day'!$M307+'7&amp;8 Day'!$Z307</f>
        <v>0</v>
      </c>
      <c r="N30" s="423">
        <f t="shared" si="14"/>
        <v>0.56036426514205928</v>
      </c>
      <c r="O30" s="424">
        <f>'7&amp;8 SU'!$M97+'7&amp;8 SU'!$Z97</f>
        <v>0.13250407160511768</v>
      </c>
      <c r="P30" s="424">
        <f>'7&amp;8 SU'!$M149+'7&amp;8 SU'!$Z149</f>
        <v>0.21570633908897319</v>
      </c>
      <c r="Q30" s="700">
        <f>'7&amp;8 SU'!$M201+'7&amp;8 SU'!$Z201</f>
        <v>9.1305735238035909E-2</v>
      </c>
      <c r="R30" s="424">
        <f>'7&amp;8 SU'!$M254+'7&amp;8 SU'!$Z254</f>
        <v>1.1958892581396772E-4</v>
      </c>
      <c r="S30" s="658">
        <f>'7&amp;8 SU'!$M307+'7&amp;8 SU'!$Z307</f>
        <v>0</v>
      </c>
      <c r="T30" s="423">
        <f>B30*'Market Data'!$E$52+H30*'Market Data'!$O$52+N30*+N30*'Market Data'!$Y$52</f>
        <v>0.41821547611731419</v>
      </c>
      <c r="U30" s="425">
        <f>SUM(C30:G30)*'Market Data'!$E$52+SUM(I30:M30)*'Market Data'!$O$52+SUM(O30:S30)*+N30*'Market Data'!$Y$52</f>
        <v>0.54235869139392145</v>
      </c>
      <c r="W30" s="403">
        <v>2028</v>
      </c>
      <c r="X30" s="460">
        <f>IF('Market Penetration'!B30=0,0,1000*B30*'Market Data'!$E$51/('Market Penetration'!B30*'Market Data'!$C$51))</f>
        <v>109976.91670178511</v>
      </c>
      <c r="Y30" s="461">
        <f>IF('Market Penetration'!C30=0,0,1000*C30*'Market Data'!$E$51/('Market Penetration'!C30*'Market Data'!$C$51))</f>
        <v>106940.65079689454</v>
      </c>
      <c r="Z30" s="461">
        <f>IF('Market Penetration'!D30=0,0,1000*D30*'Market Data'!$E$51/('Market Penetration'!D30*'Market Data'!$C$51))</f>
        <v>137845.96359241905</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47374.715109789868</v>
      </c>
      <c r="AE30" s="461">
        <f>IF('Market Penetration'!I30=0,0,1000*I30*'Market Data'!$O$51/('Market Penetration'!I30*'Market Data'!$M$51))</f>
        <v>102590.37144203312</v>
      </c>
      <c r="AF30" s="461">
        <f>IF('Market Penetration'!J30=0,0,1000*J30*'Market Data'!$O$51/('Market Penetration'!J30*'Market Data'!$M$51))</f>
        <v>103365.27357686333</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20465.80498213289</v>
      </c>
      <c r="AK30" s="461">
        <f>IF('Market Penetration'!O30=0,0,1000*O30*'Market Data'!$Y$51/('Market Penetration'!O30*'Market Data'!$W$51))</f>
        <v>48598.602307277419</v>
      </c>
      <c r="AL30" s="461">
        <f>IF('Market Penetration'!P30=0,0,1000*P30*'Market Data'!$Y$51/('Market Penetration'!P30*'Market Data'!$W$51))</f>
        <v>41953.59473545738</v>
      </c>
      <c r="AM30" s="695">
        <f>IF('Market Penetration'!Q30=0,0,1000*Q30*'Market Data'!$Y$51/('Market Penetration'!Q30*'Market Data'!$W$51))</f>
        <v>63706.610059687133</v>
      </c>
      <c r="AN30" s="461">
        <f>IF('Market Penetration'!R30=0,0,1000*R30*'Market Data'!$Y$51/('Market Penetration'!R30*'Market Data'!$W$51))</f>
        <v>190149.79206971769</v>
      </c>
      <c r="AO30" s="690">
        <f>IF('Market Penetration'!S30=0,0,1000*S30*'Market Data'!$Y$51/('Market Penetration'!S30*'Market Data'!$W$51))</f>
        <v>0</v>
      </c>
      <c r="AP30" s="460">
        <f>IF('Market Penetration'!T30=0,0,1000*T30*('Market Data'!$E$51+'Market Data'!$O$51+'Market Data'!$Y$51)/('Market Penetration'!T30*('Market Data'!$C$51+'Market Data'!$M$51+'Market Data'!$W$51)))</f>
        <v>61159.120520719443</v>
      </c>
      <c r="AQ30" s="462">
        <f>IF('Market Penetration'!U30=0,0,1000*U30*('Market Data'!$E$51+'Market Data'!$O$51+'Market Data'!$Y$51)/('Market Penetration'!U30*('Market Data'!$C$51+'Market Data'!$M$51+'Market Data'!$W$51)))</f>
        <v>99660.51051379343</v>
      </c>
    </row>
    <row r="31" spans="1:43" ht="15" x14ac:dyDescent="0.2">
      <c r="A31" s="403">
        <v>2029</v>
      </c>
      <c r="B31" s="423">
        <f t="shared" si="12"/>
        <v>0.4739160042438324</v>
      </c>
      <c r="C31" s="424">
        <f>'7&amp;8 Sleep'!$M98+'7&amp;8 Sleep'!$Z98</f>
        <v>0.30692085019144022</v>
      </c>
      <c r="D31" s="424">
        <f>'7&amp;8 Sleep'!$M150+'7&amp;8 Sleep'!$Z150</f>
        <v>0.21916314556472735</v>
      </c>
      <c r="E31" s="700">
        <f>'7&amp;8 Sleep'!$M202+'7&amp;8 Sleep'!$Z202</f>
        <v>0</v>
      </c>
      <c r="F31" s="424">
        <f>'7&amp;8 Sleep'!$M255+'7&amp;8 Sleep'!$Z255</f>
        <v>0</v>
      </c>
      <c r="G31" s="658">
        <f>'7&amp;8 Sleep'!$M308+'7&amp;8 Sleep'!$Z308</f>
        <v>0</v>
      </c>
      <c r="H31" s="854">
        <f t="shared" si="13"/>
        <v>0.26123962744286855</v>
      </c>
      <c r="I31" s="658">
        <f>'7&amp;8 Day'!$M98+'7&amp;8 Day'!$Z98</f>
        <v>0.37174623021347708</v>
      </c>
      <c r="J31" s="658">
        <f>'7&amp;8 Day'!$M150+'7&amp;8 Day'!$Z150</f>
        <v>0.36701414234365431</v>
      </c>
      <c r="K31" s="658">
        <f>'7&amp;8 Day'!$M202+'7&amp;8 Day'!$Z202</f>
        <v>0</v>
      </c>
      <c r="L31" s="658">
        <f>'7&amp;8 Day'!$M255+'7&amp;8 Day'!$Z255</f>
        <v>0</v>
      </c>
      <c r="M31" s="705">
        <f>'7&amp;8 Day'!$M308+'7&amp;8 Day'!$Z308</f>
        <v>0</v>
      </c>
      <c r="N31" s="423">
        <f t="shared" si="14"/>
        <v>0.53738345801871201</v>
      </c>
      <c r="O31" s="424">
        <f>'7&amp;8 SU'!$M98+'7&amp;8 SU'!$Z98</f>
        <v>0.14108728656848835</v>
      </c>
      <c r="P31" s="424">
        <f>'7&amp;8 SU'!$M150+'7&amp;8 SU'!$Z150</f>
        <v>0.22020584202293342</v>
      </c>
      <c r="Q31" s="700">
        <f>'7&amp;8 SU'!$M202+'7&amp;8 SU'!$Z202</f>
        <v>0.1007210904028063</v>
      </c>
      <c r="R31" s="424">
        <f>'7&amp;8 SU'!$M255+'7&amp;8 SU'!$Z255</f>
        <v>6.0232298705998678E-4</v>
      </c>
      <c r="S31" s="658">
        <f>'7&amp;8 SU'!$M308+'7&amp;8 SU'!$Z308</f>
        <v>0</v>
      </c>
      <c r="T31" s="423">
        <f>B31*'Market Data'!$E$52+H31*'Market Data'!$O$52+N31*+N31*'Market Data'!$Y$52</f>
        <v>0.4058686027172464</v>
      </c>
      <c r="U31" s="425">
        <f>SUM(C31:G31)*'Market Data'!$E$52+SUM(I31:M31)*'Market Data'!$O$52+SUM(O31:S31)*+N31*'Market Data'!$Y$52</f>
        <v>0.55264468261298449</v>
      </c>
      <c r="W31" s="403">
        <v>2029</v>
      </c>
      <c r="X31" s="460">
        <f>IF('Market Penetration'!B31=0,0,1000*B31*'Market Data'!$E$51/('Market Penetration'!B31*'Market Data'!$C$51))</f>
        <v>110300.64300898278</v>
      </c>
      <c r="Y31" s="461">
        <f>IF('Market Penetration'!C31=0,0,1000*C31*'Market Data'!$E$51/('Market Penetration'!C31*'Market Data'!$C$51))</f>
        <v>106766.33178063645</v>
      </c>
      <c r="Z31" s="461">
        <f>IF('Market Penetration'!D31=0,0,1000*D31*'Market Data'!$E$51/('Market Penetration'!D31*'Market Data'!$C$51))</f>
        <v>138854.91888051157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45573.534696377756</v>
      </c>
      <c r="AE31" s="461">
        <f>IF('Market Penetration'!I31=0,0,1000*I31*'Market Data'!$O$51/('Market Penetration'!I31*'Market Data'!$M$51))</f>
        <v>101649.42506595704</v>
      </c>
      <c r="AF31" s="461">
        <f>IF('Market Penetration'!J31=0,0,1000*J31*'Market Data'!$O$51/('Market Penetration'!J31*'Market Data'!$M$51))</f>
        <v>101943.54718227855</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19887.741275429402</v>
      </c>
      <c r="AK31" s="461">
        <f>IF('Market Penetration'!O31=0,0,1000*O31*'Market Data'!$Y$51/('Market Penetration'!O31*'Market Data'!$W$51))</f>
        <v>50591.092084379343</v>
      </c>
      <c r="AL31" s="461">
        <f>IF('Market Penetration'!P31=0,0,1000*P31*'Market Data'!$Y$51/('Market Penetration'!P31*'Market Data'!$W$51))</f>
        <v>42204.552692352547</v>
      </c>
      <c r="AM31" s="695">
        <f>IF('Market Penetration'!Q31=0,0,1000*Q31*'Market Data'!$Y$51/('Market Penetration'!Q31*'Market Data'!$W$51))</f>
        <v>60981.038696502364</v>
      </c>
      <c r="AN31" s="461">
        <f>IF('Market Penetration'!R31=0,0,1000*R31*'Market Data'!$Y$51/('Market Penetration'!R31*'Market Data'!$W$51))</f>
        <v>170584.62999180314</v>
      </c>
      <c r="AO31" s="690">
        <f>IF('Market Penetration'!S31=0,0,1000*S31*'Market Data'!$Y$51/('Market Penetration'!S31*'Market Data'!$W$51))</f>
        <v>0</v>
      </c>
      <c r="AP31" s="460">
        <f>IF('Market Penetration'!T31=0,0,1000*T31*('Market Data'!$E$51+'Market Data'!$O$51+'Market Data'!$Y$51)/('Market Penetration'!T31*('Market Data'!$C$51+'Market Data'!$M$51+'Market Data'!$W$51)))</f>
        <v>60742.953553433072</v>
      </c>
      <c r="AQ31" s="462">
        <f>IF('Market Penetration'!U31=0,0,1000*U31*('Market Data'!$E$51+'Market Data'!$O$51+'Market Data'!$Y$51)/('Market Penetration'!U31*('Market Data'!$C$51+'Market Data'!$M$51+'Market Data'!$W$51)))</f>
        <v>98713.40881768112</v>
      </c>
    </row>
    <row r="32" spans="1:43" ht="15" x14ac:dyDescent="0.2">
      <c r="A32" s="402">
        <v>2030</v>
      </c>
      <c r="B32" s="426">
        <f t="shared" si="12"/>
        <v>0.46575297916417924</v>
      </c>
      <c r="C32" s="427">
        <f>'7&amp;8 Sleep'!$M99+'7&amp;8 Sleep'!$Z99</f>
        <v>0.30018362719385988</v>
      </c>
      <c r="D32" s="427">
        <f>'7&amp;8 Sleep'!$M151+'7&amp;8 Sleep'!$Z151</f>
        <v>0.23406339364196085</v>
      </c>
      <c r="E32" s="701">
        <f>'7&amp;8 Sleep'!$M203+'7&amp;8 Sleep'!$Z203</f>
        <v>0</v>
      </c>
      <c r="F32" s="427">
        <f>'7&amp;8 Sleep'!$M256+'7&amp;8 Sleep'!$Z256</f>
        <v>0</v>
      </c>
      <c r="G32" s="659">
        <f>'7&amp;8 Sleep'!$M309+'7&amp;8 Sleep'!$Z309</f>
        <v>0</v>
      </c>
      <c r="H32" s="855">
        <f t="shared" si="13"/>
        <v>0.23305555771560593</v>
      </c>
      <c r="I32" s="659">
        <f>'7&amp;8 Day'!$M99+'7&amp;8 Day'!$Z99</f>
        <v>0.38412206433386065</v>
      </c>
      <c r="J32" s="659">
        <f>'7&amp;8 Day'!$M151+'7&amp;8 Day'!$Z151</f>
        <v>0.38282237795053337</v>
      </c>
      <c r="K32" s="659">
        <f>'7&amp;8 Day'!$M203+'7&amp;8 Day'!$Z203</f>
        <v>0</v>
      </c>
      <c r="L32" s="659">
        <f>'7&amp;8 Day'!$M256+'7&amp;8 Day'!$Z256</f>
        <v>0</v>
      </c>
      <c r="M32" s="706">
        <f>'7&amp;8 Day'!$M309+'7&amp;8 Day'!$Z309</f>
        <v>0</v>
      </c>
      <c r="N32" s="426">
        <f t="shared" si="14"/>
        <v>0.51632468237731544</v>
      </c>
      <c r="O32" s="427">
        <f>'7&amp;8 SU'!$M99+'7&amp;8 SU'!$Z99</f>
        <v>0.14907328888190222</v>
      </c>
      <c r="P32" s="427">
        <f>'7&amp;8 SU'!$M151+'7&amp;8 SU'!$Z151</f>
        <v>0.22140755968630008</v>
      </c>
      <c r="Q32" s="701">
        <f>'7&amp;8 SU'!$M203+'7&amp;8 SU'!$Z203</f>
        <v>0.11088916988529202</v>
      </c>
      <c r="R32" s="427">
        <f>'7&amp;8 SU'!$M256+'7&amp;8 SU'!$Z256</f>
        <v>2.3052991691902306E-3</v>
      </c>
      <c r="S32" s="659">
        <f>'7&amp;8 SU'!$M309+'7&amp;8 SU'!$Z309</f>
        <v>0</v>
      </c>
      <c r="T32" s="426">
        <f>B32*'Market Data'!$E$52+H32*'Market Data'!$O$52+N32*+N32*'Market Data'!$Y$52</f>
        <v>0.39160474106700338</v>
      </c>
      <c r="U32" s="428">
        <f>SUM(C32:G32)*'Market Data'!$E$52+SUM(I32:M32)*'Market Data'!$O$52+SUM(O32:S32)*+N32*'Market Data'!$Y$52</f>
        <v>0.56502002680428054</v>
      </c>
      <c r="W32" s="402">
        <v>2030</v>
      </c>
      <c r="X32" s="463">
        <f>IF('Market Penetration'!B32=0,0,1000*B32*'Market Data'!$E$51/('Market Penetration'!B32*'Market Data'!$C$51))</f>
        <v>109532.6577889623</v>
      </c>
      <c r="Y32" s="464">
        <f>IF('Market Penetration'!C32=0,0,1000*C32*'Market Data'!$E$51/('Market Penetration'!C32*'Market Data'!$C$51))</f>
        <v>106957.36677575533</v>
      </c>
      <c r="Z32" s="464">
        <f>IF('Market Penetration'!D32=0,0,1000*D32*'Market Data'!$E$51/('Market Penetration'!D32*'Market Data'!$C$51))</f>
        <v>138426.51826114013</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43677.833096239701</v>
      </c>
      <c r="AE32" s="464">
        <f>IF('Market Penetration'!I32=0,0,1000*I32*'Market Data'!$O$51/('Market Penetration'!I32*'Market Data'!$M$51))</f>
        <v>100153.00530803471</v>
      </c>
      <c r="AF32" s="464">
        <f>IF('Market Penetration'!J32=0,0,1000*J32*'Market Data'!$O$51/('Market Penetration'!J32*'Market Data'!$M$51))</f>
        <v>100256.25211288809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19449.822903353801</v>
      </c>
      <c r="AK32" s="464">
        <f>IF('Market Penetration'!O32=0,0,1000*O32*'Market Data'!$Y$51/('Market Penetration'!O32*'Market Data'!$W$51))</f>
        <v>50011.697543844828</v>
      </c>
      <c r="AL32" s="464">
        <f>IF('Market Penetration'!P32=0,0,1000*P32*'Market Data'!$Y$51/('Market Penetration'!P32*'Market Data'!$W$51))</f>
        <v>42492.141847609266</v>
      </c>
      <c r="AM32" s="696">
        <f>IF('Market Penetration'!Q32=0,0,1000*Q32*'Market Data'!$Y$51/('Market Penetration'!Q32*'Market Data'!$W$51))</f>
        <v>57461.868272401487</v>
      </c>
      <c r="AN32" s="464">
        <f>IF('Market Penetration'!R32=0,0,1000*R32*'Market Data'!$Y$51/('Market Penetration'!R32*'Market Data'!$W$51))</f>
        <v>155713.38506696004</v>
      </c>
      <c r="AO32" s="691">
        <f>IF('Market Penetration'!S32=0,0,1000*S32*'Market Data'!$Y$51/('Market Penetration'!S32*'Market Data'!$W$51))</f>
        <v>0</v>
      </c>
      <c r="AP32" s="463">
        <f>IF('Market Penetration'!T32=0,0,1000*T32*('Market Data'!$E$51+'Market Data'!$O$51+'Market Data'!$Y$51)/('Market Penetration'!T32*('Market Data'!$C$51+'Market Data'!$M$51+'Market Data'!$W$51)))</f>
        <v>60120.931734317339</v>
      </c>
      <c r="AQ32" s="465">
        <f>IF('Market Penetration'!U32=0,0,1000*U32*('Market Data'!$E$51+'Market Data'!$O$51+'Market Data'!$Y$51)/('Market Penetration'!U32*('Market Data'!$C$51+'Market Data'!$M$51+'Market Data'!$W$51)))</f>
        <v>97981.506238219459</v>
      </c>
    </row>
    <row r="33" spans="1:43" ht="15" x14ac:dyDescent="0.2">
      <c r="A33" s="429">
        <v>2031</v>
      </c>
      <c r="B33" s="430">
        <f t="shared" si="12"/>
        <v>0.46651202140700188</v>
      </c>
      <c r="C33" s="431">
        <f>'7&amp;8 Sleep'!$M100+'7&amp;8 Sleep'!$Z100</f>
        <v>0.29458940799379474</v>
      </c>
      <c r="D33" s="431">
        <f>'7&amp;8 Sleep'!$M152+'7&amp;8 Sleep'!$Z152</f>
        <v>0.23889857059920339</v>
      </c>
      <c r="E33" s="702">
        <f>'7&amp;8 Sleep'!$M204+'7&amp;8 Sleep'!$Z204</f>
        <v>0</v>
      </c>
      <c r="F33" s="431">
        <f>'7&amp;8 Sleep'!$M257+'7&amp;8 Sleep'!$Z257</f>
        <v>0</v>
      </c>
      <c r="G33" s="660">
        <f>'7&amp;8 Sleep'!$M310+'7&amp;8 Sleep'!$Z310</f>
        <v>0</v>
      </c>
      <c r="H33" s="856">
        <f t="shared" si="13"/>
        <v>0.23133988820145768</v>
      </c>
      <c r="I33" s="660">
        <f>'7&amp;8 Day'!$M100+'7&amp;8 Day'!$Z100</f>
        <v>0.38441479290923553</v>
      </c>
      <c r="J33" s="660">
        <f>'7&amp;8 Day'!$M152+'7&amp;8 Day'!$Z152</f>
        <v>0.38424254263205371</v>
      </c>
      <c r="K33" s="660">
        <f>'7&amp;8 Day'!$M204+'7&amp;8 Day'!$Z204</f>
        <v>2.7762572530622703E-6</v>
      </c>
      <c r="L33" s="660">
        <f>'7&amp;8 Day'!$M257+'7&amp;8 Day'!$Z257</f>
        <v>0</v>
      </c>
      <c r="M33" s="707">
        <f>'7&amp;8 Day'!$M310+'7&amp;8 Day'!$Z310</f>
        <v>0</v>
      </c>
      <c r="N33" s="430">
        <f t="shared" si="14"/>
        <v>0.51401362802523254</v>
      </c>
      <c r="O33" s="431">
        <f>'7&amp;8 SU'!$M100+'7&amp;8 SU'!$Z100</f>
        <v>0.15102373772924338</v>
      </c>
      <c r="P33" s="431">
        <f>'7&amp;8 SU'!$M152+'7&amp;8 SU'!$Z152</f>
        <v>0.22006297026548102</v>
      </c>
      <c r="Q33" s="702">
        <f>'7&amp;8 SU'!$M204+'7&amp;8 SU'!$Z204</f>
        <v>0.11102382899208368</v>
      </c>
      <c r="R33" s="431">
        <f>'7&amp;8 SU'!$M257+'7&amp;8 SU'!$Z257</f>
        <v>3.8758349879594012E-3</v>
      </c>
      <c r="S33" s="660">
        <f>'7&amp;8 SU'!$M310+'7&amp;8 SU'!$Z310</f>
        <v>0</v>
      </c>
      <c r="T33" s="433">
        <f>B33*'Market Data'!$E$52+H33*'Market Data'!$O$52+N33*+N33*'Market Data'!$Y$52</f>
        <v>0.39148356044135063</v>
      </c>
      <c r="U33" s="434">
        <f>SUM(C33:G33)*'Market Data'!$E$52+SUM(I33:M33)*'Market Data'!$O$52+SUM(O33:S33)*+N33*'Market Data'!$Y$52</f>
        <v>0.56493395575648353</v>
      </c>
      <c r="W33" s="429">
        <v>2031</v>
      </c>
      <c r="X33" s="466">
        <f>IF('Market Penetration'!B33=0,0,1000*B33*'Market Data'!$E$51/('Market Penetration'!B33*'Market Data'!$C$51))</f>
        <v>109340.18050108664</v>
      </c>
      <c r="Y33" s="467">
        <f>IF('Market Penetration'!C33=0,0,1000*C33*'Market Data'!$E$51/('Market Penetration'!C33*'Market Data'!$C$51))</f>
        <v>107086.47437519299</v>
      </c>
      <c r="Z33" s="467">
        <f>IF('Market Penetration'!D33=0,0,1000*D33*'Market Data'!$E$51/('Market Penetration'!D33*'Market Data'!$C$51))</f>
        <v>137925.66568659703</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43590.269343297114</v>
      </c>
      <c r="AE33" s="467">
        <f>IF('Market Penetration'!I33=0,0,1000*I33*'Market Data'!$O$51/('Market Penetration'!I33*'Market Data'!$M$51))</f>
        <v>100054.07297108353</v>
      </c>
      <c r="AF33" s="467">
        <f>IF('Market Penetration'!J33=0,0,1000*J33*'Market Data'!$O$51/('Market Penetration'!J33*'Market Data'!$M$51))</f>
        <v>100054.07297108353</v>
      </c>
      <c r="AG33" s="467">
        <f>IF('Market Penetration'!K33=0,0,1000*K33*'Market Data'!$O$51/('Market Penetration'!K33*'Market Data'!$M$51))</f>
        <v>220702.9179341534</v>
      </c>
      <c r="AH33" s="467">
        <f>IF('Market Penetration'!L33=0,0,1000*L33*'Market Data'!$O$51/('Market Penetration'!L33*'Market Data'!$M$51))</f>
        <v>0</v>
      </c>
      <c r="AI33" s="861">
        <f>IF('Market Penetration'!M33=0,0,1000*M33*'Market Data'!$O$51/('Market Penetration'!M33*'Market Data'!$M$51))</f>
        <v>0</v>
      </c>
      <c r="AJ33" s="466">
        <f>IF('Market Penetration'!N33=0,0,1000*N33*'Market Data'!$Y$51/('Market Penetration'!N33*'Market Data'!$W$51))</f>
        <v>19396.513643137932</v>
      </c>
      <c r="AK33" s="467">
        <f>IF('Market Penetration'!O33=0,0,1000*O33*'Market Data'!$Y$51/('Market Penetration'!O33*'Market Data'!$W$51))</f>
        <v>49488.492411676882</v>
      </c>
      <c r="AL33" s="467">
        <f>IF('Market Penetration'!P33=0,0,1000*P33*'Market Data'!$Y$51/('Market Penetration'!P33*'Market Data'!$W$51))</f>
        <v>42618.277362134548</v>
      </c>
      <c r="AM33" s="697">
        <f>IF('Market Penetration'!Q33=0,0,1000*Q33*'Market Data'!$Y$51/('Market Penetration'!Q33*'Market Data'!$W$51))</f>
        <v>57198.573643190757</v>
      </c>
      <c r="AN33" s="467">
        <f>IF('Market Penetration'!R33=0,0,1000*R33*'Market Data'!$Y$51/('Market Penetration'!R33*'Market Data'!$W$51))</f>
        <v>150223.22709480906</v>
      </c>
      <c r="AO33" s="692">
        <f>IF('Market Penetration'!S33=0,0,1000*S33*'Market Data'!$Y$51/('Market Penetration'!S33*'Market Data'!$W$51))</f>
        <v>0</v>
      </c>
      <c r="AP33" s="468">
        <f>IF('Market Penetration'!T33=0,0,1000*T33*('Market Data'!$E$51+'Market Data'!$O$51+'Market Data'!$Y$51)/('Market Penetration'!T33*('Market Data'!$C$51+'Market Data'!$M$51+'Market Data'!$W$51)))</f>
        <v>60115.491027656608</v>
      </c>
      <c r="AQ33" s="469">
        <f>IF('Market Penetration'!U33=0,0,1000*U33*('Market Data'!$E$51+'Market Data'!$O$51+'Market Data'!$Y$51)/('Market Penetration'!U33*('Market Data'!$C$51+'Market Data'!$M$51+'Market Data'!$W$51)))</f>
        <v>97942.35578397577</v>
      </c>
    </row>
    <row r="34" spans="1:43" ht="15" x14ac:dyDescent="0.2">
      <c r="A34" s="403">
        <v>2032</v>
      </c>
      <c r="B34" s="423">
        <f t="shared" si="12"/>
        <v>0.4703059032412662</v>
      </c>
      <c r="C34" s="424">
        <f>'7&amp;8 Sleep'!$M101+'7&amp;8 Sleep'!$Z101</f>
        <v>0.2889263980489466</v>
      </c>
      <c r="D34" s="424">
        <f>'7&amp;8 Sleep'!$M153+'7&amp;8 Sleep'!$Z153</f>
        <v>0.2407676987097872</v>
      </c>
      <c r="E34" s="700">
        <f>'7&amp;8 Sleep'!$M205+'7&amp;8 Sleep'!$Z205</f>
        <v>0</v>
      </c>
      <c r="F34" s="424">
        <f>'7&amp;8 Sleep'!$M258+'7&amp;8 Sleep'!$Z258</f>
        <v>0</v>
      </c>
      <c r="G34" s="658">
        <f>'7&amp;8 Sleep'!$M311+'7&amp;8 Sleep'!$Z311</f>
        <v>0</v>
      </c>
      <c r="H34" s="854">
        <f t="shared" si="13"/>
        <v>0.22424415250814755</v>
      </c>
      <c r="I34" s="658">
        <f>'7&amp;8 Day'!$M101+'7&amp;8 Day'!$Z101</f>
        <v>0.38808522253877215</v>
      </c>
      <c r="J34" s="658">
        <f>'7&amp;8 Day'!$M153+'7&amp;8 Day'!$Z153</f>
        <v>0.38722647513996045</v>
      </c>
      <c r="K34" s="658">
        <f>'7&amp;8 Day'!$M205+'7&amp;8 Day'!$Z205</f>
        <v>4.4414981311981748E-4</v>
      </c>
      <c r="L34" s="658">
        <f>'7&amp;8 Day'!$M258+'7&amp;8 Day'!$Z258</f>
        <v>0</v>
      </c>
      <c r="M34" s="705">
        <f>'7&amp;8 Day'!$M311+'7&amp;8 Day'!$Z311</f>
        <v>0</v>
      </c>
      <c r="N34" s="423">
        <f t="shared" si="14"/>
        <v>0.50564917853714886</v>
      </c>
      <c r="O34" s="424">
        <f>'7&amp;8 SU'!$M101+'7&amp;8 SU'!$Z101</f>
        <v>0.15127822449828809</v>
      </c>
      <c r="P34" s="424">
        <f>'7&amp;8 SU'!$M153+'7&amp;8 SU'!$Z153</f>
        <v>0.22605192672361546</v>
      </c>
      <c r="Q34" s="700">
        <f>'7&amp;8 SU'!$M205+'7&amp;8 SU'!$Z205</f>
        <v>0.11130030066553256</v>
      </c>
      <c r="R34" s="424">
        <f>'7&amp;8 SU'!$M258+'7&amp;8 SU'!$Z258</f>
        <v>5.7203695754149478E-3</v>
      </c>
      <c r="S34" s="658">
        <f>'7&amp;8 SU'!$M311+'7&amp;8 SU'!$Z311</f>
        <v>0</v>
      </c>
      <c r="T34" s="423">
        <f>B34*'Market Data'!$E$52+H34*'Market Data'!$O$52+N34*+N34*'Market Data'!$Y$52</f>
        <v>0.39153823808993576</v>
      </c>
      <c r="U34" s="425">
        <f>SUM(C34:G34)*'Market Data'!$E$52+SUM(I34:M34)*'Market Data'!$O$52+SUM(O34:S34)*+N34*'Market Data'!$Y$52</f>
        <v>0.56412916759996978</v>
      </c>
      <c r="W34" s="403">
        <v>2032</v>
      </c>
      <c r="X34" s="460">
        <f>IF('Market Penetration'!B34=0,0,1000*B34*'Market Data'!$E$51/('Market Penetration'!B34*'Market Data'!$C$51))</f>
        <v>109152.70919069186</v>
      </c>
      <c r="Y34" s="461">
        <f>IF('Market Penetration'!C34=0,0,1000*C34*'Market Data'!$E$51/('Market Penetration'!C34*'Market Data'!$C$51))</f>
        <v>107160.3239556078</v>
      </c>
      <c r="Z34" s="461">
        <f>IF('Market Penetration'!D34=0,0,1000*D34*'Market Data'!$E$51/('Market Penetration'!D34*'Market Data'!$C$51))</f>
        <v>137996.43878395626</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43048.580285770018</v>
      </c>
      <c r="AE34" s="461">
        <f>IF('Market Penetration'!I34=0,0,1000*I34*'Market Data'!$O$51/('Market Penetration'!I34*'Market Data'!$M$51))</f>
        <v>99592.628145979892</v>
      </c>
      <c r="AF34" s="461">
        <f>IF('Market Penetration'!J34=0,0,1000*J34*'Market Data'!$O$51/('Market Penetration'!J34*'Market Data'!$M$51))</f>
        <v>99755.788019950487</v>
      </c>
      <c r="AG34" s="461">
        <f>IF('Market Penetration'!K34=0,0,1000*K34*'Market Data'!$O$51/('Market Penetration'!K34*'Market Data'!$M$51))</f>
        <v>220861.04114199674</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19283.761823950535</v>
      </c>
      <c r="AK34" s="461">
        <f>IF('Market Penetration'!O34=0,0,1000*O34*'Market Data'!$Y$51/('Market Penetration'!O34*'Market Data'!$W$51))</f>
        <v>49156.004320497064</v>
      </c>
      <c r="AL34" s="461">
        <f>IF('Market Penetration'!P34=0,0,1000*P34*'Market Data'!$Y$51/('Market Penetration'!P34*'Market Data'!$W$51))</f>
        <v>41951.261610824418</v>
      </c>
      <c r="AM34" s="695">
        <f>IF('Market Penetration'!Q34=0,0,1000*Q34*'Market Data'!$Y$51/('Market Penetration'!Q34*'Market Data'!$W$51))</f>
        <v>56908.373684644597</v>
      </c>
      <c r="AN34" s="461">
        <f>IF('Market Penetration'!R34=0,0,1000*R34*'Market Data'!$Y$51/('Market Penetration'!R34*'Market Data'!$W$51))</f>
        <v>146020.1729728565</v>
      </c>
      <c r="AO34" s="690">
        <f>IF('Market Penetration'!S34=0,0,1000*S34*'Market Data'!$Y$51/('Market Penetration'!S34*'Market Data'!$W$51))</f>
        <v>0</v>
      </c>
      <c r="AP34" s="460">
        <f>IF('Market Penetration'!T34=0,0,1000*T34*('Market Data'!$E$51+'Market Data'!$O$51+'Market Data'!$Y$51)/('Market Penetration'!T34*('Market Data'!$C$51+'Market Data'!$M$51+'Market Data'!$W$51)))</f>
        <v>60314.583143468655</v>
      </c>
      <c r="AQ34" s="462">
        <f>IF('Market Penetration'!U34=0,0,1000*U34*('Market Data'!$E$51+'Market Data'!$O$51+'Market Data'!$Y$51)/('Market Penetration'!U34*('Market Data'!$C$51+'Market Data'!$M$51+'Market Data'!$W$51)))</f>
        <v>97454.95519436842</v>
      </c>
    </row>
    <row r="35" spans="1:43" ht="15" x14ac:dyDescent="0.2">
      <c r="A35" s="403">
        <v>2033</v>
      </c>
      <c r="B35" s="423">
        <f t="shared" si="12"/>
        <v>0.45691749919576075</v>
      </c>
      <c r="C35" s="424">
        <f>'7&amp;8 Sleep'!$M102+'7&amp;8 Sleep'!$Z102</f>
        <v>0.2764426782503826</v>
      </c>
      <c r="D35" s="424">
        <f>'7&amp;8 Sleep'!$M154+'7&amp;8 Sleep'!$Z154</f>
        <v>0.26663982255385671</v>
      </c>
      <c r="E35" s="700">
        <f>'7&amp;8 Sleep'!$M206+'7&amp;8 Sleep'!$Z206</f>
        <v>0</v>
      </c>
      <c r="F35" s="424">
        <f>'7&amp;8 Sleep'!$M259+'7&amp;8 Sleep'!$Z259</f>
        <v>0</v>
      </c>
      <c r="G35" s="658">
        <f>'7&amp;8 Sleep'!$M312+'7&amp;8 Sleep'!$Z312</f>
        <v>0</v>
      </c>
      <c r="H35" s="854">
        <f t="shared" si="13"/>
        <v>0.21723749264960601</v>
      </c>
      <c r="I35" s="658">
        <f>'7&amp;8 Day'!$M102+'7&amp;8 Day'!$Z102</f>
        <v>0.3894695206156002</v>
      </c>
      <c r="J35" s="658">
        <f>'7&amp;8 Day'!$M154+'7&amp;8 Day'!$Z154</f>
        <v>0.38929500539371648</v>
      </c>
      <c r="K35" s="658">
        <f>'7&amp;8 Day'!$M206+'7&amp;8 Day'!$Z206</f>
        <v>3.9979813410772769E-3</v>
      </c>
      <c r="L35" s="658">
        <f>'7&amp;8 Day'!$M259+'7&amp;8 Day'!$Z259</f>
        <v>0</v>
      </c>
      <c r="M35" s="705">
        <f>'7&amp;8 Day'!$M312+'7&amp;8 Day'!$Z312</f>
        <v>0</v>
      </c>
      <c r="N35" s="423">
        <f t="shared" si="14"/>
        <v>0.49996910997068311</v>
      </c>
      <c r="O35" s="424">
        <f>'7&amp;8 SU'!$M102+'7&amp;8 SU'!$Z102</f>
        <v>0.1544369692632174</v>
      </c>
      <c r="P35" s="424">
        <f>'7&amp;8 SU'!$M154+'7&amp;8 SU'!$Z154</f>
        <v>0.22515185404784671</v>
      </c>
      <c r="Q35" s="700">
        <f>'7&amp;8 SU'!$M206+'7&amp;8 SU'!$Z206</f>
        <v>0.11241438168237614</v>
      </c>
      <c r="R35" s="424">
        <f>'7&amp;8 SU'!$M259+'7&amp;8 SU'!$Z259</f>
        <v>8.0276850358765844E-3</v>
      </c>
      <c r="S35" s="658">
        <f>'7&amp;8 SU'!$M312+'7&amp;8 SU'!$Z312</f>
        <v>0</v>
      </c>
      <c r="T35" s="423">
        <f>B35*'Market Data'!$E$52+H35*'Market Data'!$O$52+N35*+N35*'Market Data'!$Y$52</f>
        <v>0.38038193851842411</v>
      </c>
      <c r="U35" s="425">
        <f>SUM(C35:G35)*'Market Data'!$E$52+SUM(I35:M35)*'Market Data'!$O$52+SUM(O35:S35)*+N35*'Market Data'!$Y$52</f>
        <v>0.57477608766915644</v>
      </c>
      <c r="W35" s="403">
        <v>2033</v>
      </c>
      <c r="X35" s="460">
        <f>IF('Market Penetration'!B35=0,0,1000*B35*'Market Data'!$E$51/('Market Penetration'!B35*'Market Data'!$C$51))</f>
        <v>107950.41499355514</v>
      </c>
      <c r="Y35" s="461">
        <f>IF('Market Penetration'!C35=0,0,1000*C35*'Market Data'!$E$51/('Market Penetration'!C35*'Market Data'!$C$51))</f>
        <v>107125.55761014707</v>
      </c>
      <c r="Z35" s="461">
        <f>IF('Market Penetration'!D35=0,0,1000*D35*'Market Data'!$E$51/('Market Penetration'!D35*'Market Data'!$C$51))</f>
        <v>137696.40673408055</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42468.769459813782</v>
      </c>
      <c r="AE35" s="461">
        <f>IF('Market Penetration'!I35=0,0,1000*I35*'Market Data'!$O$51/('Market Penetration'!I35*'Market Data'!$M$51))</f>
        <v>99133.692513237096</v>
      </c>
      <c r="AF35" s="461">
        <f>IF('Market Penetration'!J35=0,0,1000*J35*'Market Data'!$O$51/('Market Penetration'!J35*'Market Data'!$M$51))</f>
        <v>99133.692513237082</v>
      </c>
      <c r="AG35" s="461">
        <f>IF('Market Penetration'!K35=0,0,1000*K35*'Market Data'!$O$51/('Market Penetration'!K35*'Market Data'!$M$51))</f>
        <v>214392.3775504287</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19188.617273121257</v>
      </c>
      <c r="AK35" s="461">
        <f>IF('Market Penetration'!O35=0,0,1000*O35*'Market Data'!$Y$51/('Market Penetration'!O35*'Market Data'!$W$51))</f>
        <v>48372.020143275149</v>
      </c>
      <c r="AL35" s="461">
        <f>IF('Market Penetration'!P35=0,0,1000*P35*'Market Data'!$Y$51/('Market Penetration'!P35*'Market Data'!$W$51))</f>
        <v>41907.205092869699</v>
      </c>
      <c r="AM35" s="695">
        <f>IF('Market Penetration'!Q35=0,0,1000*Q35*'Market Data'!$Y$51/('Market Penetration'!Q35*'Market Data'!$W$51))</f>
        <v>56077.896412541624</v>
      </c>
      <c r="AN35" s="461">
        <f>IF('Market Penetration'!R35=0,0,1000*R35*'Market Data'!$Y$51/('Market Penetration'!R35*'Market Data'!$W$51))</f>
        <v>140900.2978723569</v>
      </c>
      <c r="AO35" s="690">
        <f>IF('Market Penetration'!S35=0,0,1000*S35*'Market Data'!$Y$51/('Market Penetration'!S35*'Market Data'!$W$51))</f>
        <v>0</v>
      </c>
      <c r="AP35" s="460">
        <f>IF('Market Penetration'!T35=0,0,1000*T35*('Market Data'!$E$51+'Market Data'!$O$51+'Market Data'!$Y$51)/('Market Penetration'!T35*('Market Data'!$C$51+'Market Data'!$M$51+'Market Data'!$W$51)))</f>
        <v>59405.111695705804</v>
      </c>
      <c r="AQ35" s="462">
        <f>IF('Market Penetration'!U35=0,0,1000*U35*('Market Data'!$E$51+'Market Data'!$O$51+'Market Data'!$Y$51)/('Market Penetration'!U35*('Market Data'!$C$51+'Market Data'!$M$51+'Market Data'!$W$51)))</f>
        <v>97800.42296555065</v>
      </c>
    </row>
    <row r="36" spans="1:43" ht="15" x14ac:dyDescent="0.2">
      <c r="A36" s="403">
        <v>2034</v>
      </c>
      <c r="B36" s="423">
        <f t="shared" si="12"/>
        <v>0.45193470874893937</v>
      </c>
      <c r="C36" s="424">
        <f>'7&amp;8 Sleep'!$M103+'7&amp;8 Sleep'!$Z103</f>
        <v>0.27582637756335704</v>
      </c>
      <c r="D36" s="424">
        <f>'7&amp;8 Sleep'!$M155+'7&amp;8 Sleep'!$Z155</f>
        <v>0.27223891368770353</v>
      </c>
      <c r="E36" s="700">
        <f>'7&amp;8 Sleep'!$M207+'7&amp;8 Sleep'!$Z207</f>
        <v>0</v>
      </c>
      <c r="F36" s="424">
        <f>'7&amp;8 Sleep'!$M260+'7&amp;8 Sleep'!$Z260</f>
        <v>0</v>
      </c>
      <c r="G36" s="658">
        <f>'7&amp;8 Sleep'!$M313+'7&amp;8 Sleep'!$Z313</f>
        <v>0</v>
      </c>
      <c r="H36" s="854">
        <f t="shared" si="13"/>
        <v>0.21717643221692118</v>
      </c>
      <c r="I36" s="658">
        <f>'7&amp;8 Day'!$M103+'7&amp;8 Day'!$Z103</f>
        <v>0.3854704485015768</v>
      </c>
      <c r="J36" s="658">
        <f>'7&amp;8 Day'!$M155+'7&amp;8 Day'!$Z155</f>
        <v>0.38529772520157757</v>
      </c>
      <c r="K36" s="658">
        <f>'7&amp;8 Day'!$M207+'7&amp;8 Day'!$Z207</f>
        <v>1.2055394079924422E-2</v>
      </c>
      <c r="L36" s="658">
        <f>'7&amp;8 Day'!$M260+'7&amp;8 Day'!$Z260</f>
        <v>0</v>
      </c>
      <c r="M36" s="705">
        <f>'7&amp;8 Day'!$M313+'7&amp;8 Day'!$Z313</f>
        <v>0</v>
      </c>
      <c r="N36" s="423">
        <f t="shared" si="14"/>
        <v>0.49728358675646089</v>
      </c>
      <c r="O36" s="424">
        <f>'7&amp;8 SU'!$M103+'7&amp;8 SU'!$Z103</f>
        <v>0.15452747487176183</v>
      </c>
      <c r="P36" s="424">
        <f>'7&amp;8 SU'!$M155+'7&amp;8 SU'!$Z155</f>
        <v>0.22448964371921565</v>
      </c>
      <c r="Q36" s="700">
        <f>'7&amp;8 SU'!$M207+'7&amp;8 SU'!$Z207</f>
        <v>0.11311691813126568</v>
      </c>
      <c r="R36" s="424">
        <f>'7&amp;8 SU'!$M260+'7&amp;8 SU'!$Z260</f>
        <v>1.0582376521295966E-2</v>
      </c>
      <c r="S36" s="658">
        <f>'7&amp;8 SU'!$M313+'7&amp;8 SU'!$Z313</f>
        <v>0</v>
      </c>
      <c r="T36" s="423">
        <f>B36*'Market Data'!$E$52+H36*'Market Data'!$O$52+N36*+N36*'Market Data'!$Y$52</f>
        <v>0.37679635379508769</v>
      </c>
      <c r="U36" s="425">
        <f>SUM(C36:G36)*'Market Data'!$E$52+SUM(I36:M36)*'Market Data'!$O$52+SUM(O36:S36)*+N36*'Market Data'!$Y$52</f>
        <v>0.57812083894790756</v>
      </c>
      <c r="W36" s="403">
        <v>2034</v>
      </c>
      <c r="X36" s="460">
        <f>IF('Market Penetration'!B36=0,0,1000*B36*'Market Data'!$E$51/('Market Penetration'!B36*'Market Data'!$C$51))</f>
        <v>107612.25102470488</v>
      </c>
      <c r="Y36" s="461">
        <f>IF('Market Penetration'!C36=0,0,1000*C36*'Market Data'!$E$51/('Market Penetration'!C36*'Market Data'!$C$51))</f>
        <v>107123.41601847007</v>
      </c>
      <c r="Z36" s="461">
        <f>IF('Market Penetration'!D36=0,0,1000*D36*'Market Data'!$E$51/('Market Penetration'!D36*'Market Data'!$C$51))</f>
        <v>137832.95288817678</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42461.931401864647</v>
      </c>
      <c r="AE36" s="461">
        <f>IF('Market Penetration'!I36=0,0,1000*I36*'Market Data'!$O$51/('Market Penetration'!I36*'Market Data'!$M$51))</f>
        <v>98633.874406187329</v>
      </c>
      <c r="AF36" s="461">
        <f>IF('Market Penetration'!J36=0,0,1000*J36*'Market Data'!$O$51/('Market Penetration'!J36*'Market Data'!$M$51))</f>
        <v>98633.874406187329</v>
      </c>
      <c r="AG36" s="461">
        <f>IF('Market Penetration'!K36=0,0,1000*K36*'Market Data'!$O$51/('Market Penetration'!K36*'Market Data'!$M$51))</f>
        <v>199179.64658450897</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19126.258459656983</v>
      </c>
      <c r="AK36" s="461">
        <f>IF('Market Penetration'!O36=0,0,1000*O36*'Market Data'!$Y$51/('Market Penetration'!O36*'Market Data'!$W$51))</f>
        <v>48252.066637947559</v>
      </c>
      <c r="AL36" s="461">
        <f>IF('Market Penetration'!P36=0,0,1000*P36*'Market Data'!$Y$51/('Market Penetration'!P36*'Market Data'!$W$51))</f>
        <v>41793.580082618675</v>
      </c>
      <c r="AM36" s="695">
        <f>IF('Market Penetration'!Q36=0,0,1000*Q36*'Market Data'!$Y$51/('Market Penetration'!Q36*'Market Data'!$W$51))</f>
        <v>55732.836798192584</v>
      </c>
      <c r="AN36" s="461">
        <f>IF('Market Penetration'!R36=0,0,1000*R36*'Market Data'!$Y$51/('Market Penetration'!R36*'Market Data'!$W$51))</f>
        <v>134221.57126617545</v>
      </c>
      <c r="AO36" s="690">
        <f>IF('Market Penetration'!S36=0,0,1000*S36*'Market Data'!$Y$51/('Market Penetration'!S36*'Market Data'!$W$51))</f>
        <v>0</v>
      </c>
      <c r="AP36" s="460">
        <f>IF('Market Penetration'!T36=0,0,1000*T36*('Market Data'!$E$51+'Market Data'!$O$51+'Market Data'!$Y$51)/('Market Penetration'!T36*('Market Data'!$C$51+'Market Data'!$M$51+'Market Data'!$W$51)))</f>
        <v>59096.0082518485</v>
      </c>
      <c r="AQ36" s="462">
        <f>IF('Market Penetration'!U36=0,0,1000*U36*('Market Data'!$E$51+'Market Data'!$O$51+'Market Data'!$Y$51)/('Market Penetration'!U36*('Market Data'!$C$51+'Market Data'!$M$51+'Market Data'!$W$51)))</f>
        <v>97916.67150364496</v>
      </c>
    </row>
    <row r="37" spans="1:43" ht="15" x14ac:dyDescent="0.2">
      <c r="A37" s="402">
        <v>2035</v>
      </c>
      <c r="B37" s="426">
        <f t="shared" si="12"/>
        <v>0.44802692476997885</v>
      </c>
      <c r="C37" s="427">
        <f>'7&amp;8 Sleep'!$M104+'7&amp;8 Sleep'!$Z104</f>
        <v>0.27400486324740425</v>
      </c>
      <c r="D37" s="427">
        <f>'7&amp;8 Sleep'!$M156+'7&amp;8 Sleep'!$Z156</f>
        <v>0.2779682119826169</v>
      </c>
      <c r="E37" s="701">
        <f>'7&amp;8 Sleep'!$M208+'7&amp;8 Sleep'!$Z208</f>
        <v>0</v>
      </c>
      <c r="F37" s="427">
        <f>'7&amp;8 Sleep'!$M261+'7&amp;8 Sleep'!$Z261</f>
        <v>0</v>
      </c>
      <c r="G37" s="659">
        <f>'7&amp;8 Sleep'!$M314+'7&amp;8 Sleep'!$Z314</f>
        <v>0</v>
      </c>
      <c r="H37" s="855">
        <f t="shared" si="13"/>
        <v>0.21653437298031319</v>
      </c>
      <c r="I37" s="659">
        <f>'7&amp;8 Day'!$M104+'7&amp;8 Day'!$Z104</f>
        <v>0.37656611201148638</v>
      </c>
      <c r="J37" s="659">
        <f>'7&amp;8 Day'!$M156+'7&amp;8 Day'!$Z156</f>
        <v>0.37639737860588462</v>
      </c>
      <c r="K37" s="659">
        <f>'7&amp;8 Day'!$M208+'7&amp;8 Day'!$Z208</f>
        <v>3.0502136402315853E-2</v>
      </c>
      <c r="L37" s="659">
        <f>'7&amp;8 Day'!$M261+'7&amp;8 Day'!$Z261</f>
        <v>0</v>
      </c>
      <c r="M37" s="706">
        <f>'7&amp;8 Day'!$M314+'7&amp;8 Day'!$Z314</f>
        <v>0</v>
      </c>
      <c r="N37" s="426">
        <f t="shared" si="14"/>
        <v>0.49723864977918342</v>
      </c>
      <c r="O37" s="427">
        <f>'7&amp;8 SU'!$M104+'7&amp;8 SU'!$Z104</f>
        <v>0.15428255467763288</v>
      </c>
      <c r="P37" s="427">
        <f>'7&amp;8 SU'!$M156+'7&amp;8 SU'!$Z156</f>
        <v>0.22073736709800923</v>
      </c>
      <c r="Q37" s="701">
        <f>'7&amp;8 SU'!$M208+'7&amp;8 SU'!$Z208</f>
        <v>0.11339575377271553</v>
      </c>
      <c r="R37" s="427">
        <f>'7&amp;8 SU'!$M261+'7&amp;8 SU'!$Z261</f>
        <v>1.4345674672458926E-2</v>
      </c>
      <c r="S37" s="659">
        <f>'7&amp;8 SU'!$M314+'7&amp;8 SU'!$Z314</f>
        <v>0</v>
      </c>
      <c r="T37" s="426">
        <f>B37*'Market Data'!$E$52+H37*'Market Data'!$O$52+N37*+N37*'Market Data'!$Y$52</f>
        <v>0.37402495967350669</v>
      </c>
      <c r="U37" s="428">
        <f>SUM(C37:G37)*'Market Data'!$E$52+SUM(I37:M37)*'Market Data'!$O$52+SUM(O37:S37)*+N37*'Market Data'!$Y$52</f>
        <v>0.58088820319293799</v>
      </c>
      <c r="W37" s="402">
        <v>2035</v>
      </c>
      <c r="X37" s="463">
        <f>IF('Market Penetration'!B37=0,0,1000*B37*'Market Data'!$E$51/('Market Penetration'!B37*'Market Data'!$C$51))</f>
        <v>107309.85995503759</v>
      </c>
      <c r="Y37" s="464">
        <f>IF('Market Penetration'!C37=0,0,1000*C37*'Market Data'!$E$51/('Market Penetration'!C37*'Market Data'!$C$51))</f>
        <v>107488.47026168127</v>
      </c>
      <c r="Z37" s="464">
        <f>IF('Market Penetration'!D37=0,0,1000*D37*'Market Data'!$E$51/('Market Penetration'!D37*'Market Data'!$C$51))</f>
        <v>137240.52867838065</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42504.876334407418</v>
      </c>
      <c r="AE37" s="464">
        <f>IF('Market Penetration'!I37=0,0,1000*I37*'Market Data'!$O$51/('Market Penetration'!I37*'Market Data'!$M$51))</f>
        <v>97537.491370067131</v>
      </c>
      <c r="AF37" s="464">
        <f>IF('Market Penetration'!J37=0,0,1000*J37*'Market Data'!$O$51/('Market Penetration'!J37*'Market Data'!$M$51))</f>
        <v>97537.491370067102</v>
      </c>
      <c r="AG37" s="464">
        <f>IF('Market Penetration'!K37=0,0,1000*K37*'Market Data'!$O$51/('Market Penetration'!K37*'Market Data'!$M$51))</f>
        <v>173800.28173638711</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19125.510517842402</v>
      </c>
      <c r="AK37" s="464">
        <f>IF('Market Penetration'!O37=0,0,1000*O37*'Market Data'!$Y$51/('Market Penetration'!O37*'Market Data'!$W$51))</f>
        <v>48007.460645664447</v>
      </c>
      <c r="AL37" s="464">
        <f>IF('Market Penetration'!P37=0,0,1000*P37*'Market Data'!$Y$51/('Market Penetration'!P37*'Market Data'!$W$51))</f>
        <v>41807.884322256476</v>
      </c>
      <c r="AM37" s="696">
        <f>IF('Market Penetration'!Q37=0,0,1000*Q37*'Market Data'!$Y$51/('Market Penetration'!Q37*'Market Data'!$W$51))</f>
        <v>54658.37649150053</v>
      </c>
      <c r="AN37" s="464">
        <f>IF('Market Penetration'!R37=0,0,1000*R37*'Market Data'!$Y$51/('Market Penetration'!R37*'Market Data'!$W$51))</f>
        <v>124152.61344781873</v>
      </c>
      <c r="AO37" s="691">
        <f>IF('Market Penetration'!S37=0,0,1000*S37*'Market Data'!$Y$51/('Market Penetration'!S37*'Market Data'!$W$51))</f>
        <v>0</v>
      </c>
      <c r="AP37" s="463">
        <f>IF('Market Penetration'!T37=0,0,1000*T37*('Market Data'!$E$51+'Market Data'!$O$51+'Market Data'!$Y$51)/('Market Penetration'!T37*('Market Data'!$C$51+'Market Data'!$M$51+'Market Data'!$W$51)))</f>
        <v>58859.402884680283</v>
      </c>
      <c r="AQ37" s="465">
        <f>IF('Market Penetration'!U37=0,0,1000*U37*('Market Data'!$E$51+'Market Data'!$O$51+'Market Data'!$Y$51)/('Market Penetration'!U37*('Market Data'!$C$51+'Market Data'!$M$51+'Market Data'!$W$51)))</f>
        <v>98029.167471513647</v>
      </c>
    </row>
    <row r="38" spans="1:43" ht="15" x14ac:dyDescent="0.2">
      <c r="A38" s="429">
        <v>2036</v>
      </c>
      <c r="B38" s="430">
        <f t="shared" si="12"/>
        <v>0.41939878973669109</v>
      </c>
      <c r="C38" s="431">
        <f>'7&amp;8 Sleep'!$M105+'7&amp;8 Sleep'!$Z105</f>
        <v>0.21913461720827299</v>
      </c>
      <c r="D38" s="431">
        <f>'7&amp;8 Sleep'!$M157+'7&amp;8 Sleep'!$Z157</f>
        <v>0.36146659305503592</v>
      </c>
      <c r="E38" s="702">
        <f>'7&amp;8 Sleep'!$M209+'7&amp;8 Sleep'!$Z209</f>
        <v>0</v>
      </c>
      <c r="F38" s="431">
        <f>'7&amp;8 Sleep'!$M262+'7&amp;8 Sleep'!$Z262</f>
        <v>0</v>
      </c>
      <c r="G38" s="660">
        <f>'7&amp;8 Sleep'!$M315+'7&amp;8 Sleep'!$Z315</f>
        <v>0</v>
      </c>
      <c r="H38" s="856">
        <f t="shared" si="13"/>
        <v>0.21127802864078926</v>
      </c>
      <c r="I38" s="660">
        <f>'7&amp;8 Day'!$M105+'7&amp;8 Day'!$Z105</f>
        <v>0.37563697002964219</v>
      </c>
      <c r="J38" s="660">
        <f>'7&amp;8 Day'!$M157+'7&amp;8 Day'!$Z157</f>
        <v>0.37381270002192207</v>
      </c>
      <c r="K38" s="660">
        <f>'7&amp;8 Day'!$M209+'7&amp;8 Day'!$Z209</f>
        <v>3.9272301307646487E-2</v>
      </c>
      <c r="L38" s="660">
        <f>'7&amp;8 Day'!$M262+'7&amp;8 Day'!$Z262</f>
        <v>0</v>
      </c>
      <c r="M38" s="707">
        <f>'7&amp;8 Day'!$M315+'7&amp;8 Day'!$Z315</f>
        <v>0</v>
      </c>
      <c r="N38" s="430">
        <f t="shared" si="14"/>
        <v>0.48235156535702572</v>
      </c>
      <c r="O38" s="431">
        <f>'7&amp;8 SU'!$M105+'7&amp;8 SU'!$Z105</f>
        <v>0.15927802976250394</v>
      </c>
      <c r="P38" s="431">
        <f>'7&amp;8 SU'!$M157+'7&amp;8 SU'!$Z157</f>
        <v>0.23302221132930986</v>
      </c>
      <c r="Q38" s="702">
        <f>'7&amp;8 SU'!$M209+'7&amp;8 SU'!$Z209</f>
        <v>0.10967095866500144</v>
      </c>
      <c r="R38" s="431">
        <f>'7&amp;8 SU'!$M262+'7&amp;8 SU'!$Z262</f>
        <v>1.5677234886158978E-2</v>
      </c>
      <c r="S38" s="660">
        <f>'7&amp;8 SU'!$M315+'7&amp;8 SU'!$Z315</f>
        <v>0</v>
      </c>
      <c r="T38" s="433">
        <f>B38*'Market Data'!$E$52+H38*'Market Data'!$O$52+N38*+N38*'Market Data'!$Y$52</f>
        <v>0.35230980551429725</v>
      </c>
      <c r="U38" s="434">
        <f>SUM(C38:G38)*'Market Data'!$E$52+SUM(I38:M38)*'Market Data'!$O$52+SUM(O38:S38)*+N38*'Market Data'!$Y$52</f>
        <v>0.60126830733201253</v>
      </c>
      <c r="W38" s="429">
        <v>2036</v>
      </c>
      <c r="X38" s="466">
        <f>IF('Market Penetration'!B38=0,0,1000*B38*'Market Data'!$E$51/('Market Penetration'!B38*'Market Data'!$C$51))</f>
        <v>102481.56853375345</v>
      </c>
      <c r="Y38" s="467">
        <f>IF('Market Penetration'!C38=0,0,1000*C38*'Market Data'!$E$51/('Market Penetration'!C38*'Market Data'!$C$51))</f>
        <v>112248.60908683884</v>
      </c>
      <c r="Z38" s="467">
        <f>IF('Market Penetration'!D38=0,0,1000*D38*'Market Data'!$E$51/('Market Penetration'!D38*'Market Data'!$C$51))</f>
        <v>133629.80521171822</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42232.840050166174</v>
      </c>
      <c r="AE38" s="467">
        <f>IF('Market Penetration'!I38=0,0,1000*I38*'Market Data'!$O$51/('Market Penetration'!I38*'Market Data'!$M$51))</f>
        <v>96499.168900290286</v>
      </c>
      <c r="AF38" s="467">
        <f>IF('Market Penetration'!J38=0,0,1000*J38*'Market Data'!$O$51/('Market Penetration'!J38*'Market Data'!$M$51))</f>
        <v>96884.185518540849</v>
      </c>
      <c r="AG38" s="467">
        <f>IF('Market Penetration'!K38=0,0,1000*K38*'Market Data'!$O$51/('Market Penetration'!K38*'Market Data'!$M$51))</f>
        <v>166484.78139227102</v>
      </c>
      <c r="AH38" s="467">
        <f>IF('Market Penetration'!L38=0,0,1000*L38*'Market Data'!$O$51/('Market Penetration'!L38*'Market Data'!$M$51))</f>
        <v>0</v>
      </c>
      <c r="AI38" s="861">
        <f>IF('Market Penetration'!M38=0,0,1000*M38*'Market Data'!$O$51/('Market Penetration'!M38*'Market Data'!$M$51))</f>
        <v>0</v>
      </c>
      <c r="AJ38" s="466">
        <f>IF('Market Penetration'!N38=0,0,1000*N38*'Market Data'!$Y$51/('Market Penetration'!N38*'Market Data'!$W$51))</f>
        <v>18900.569124204958</v>
      </c>
      <c r="AK38" s="467">
        <f>IF('Market Penetration'!O38=0,0,1000*O38*'Market Data'!$Y$51/('Market Penetration'!O38*'Market Data'!$W$51))</f>
        <v>47163.533140528845</v>
      </c>
      <c r="AL38" s="467">
        <f>IF('Market Penetration'!P38=0,0,1000*P38*'Market Data'!$Y$51/('Market Penetration'!P38*'Market Data'!$W$51))</f>
        <v>41062.004530950624</v>
      </c>
      <c r="AM38" s="697">
        <f>IF('Market Penetration'!Q38=0,0,1000*Q38*'Market Data'!$Y$51/('Market Penetration'!Q38*'Market Data'!$W$51))</f>
        <v>55409.147288557957</v>
      </c>
      <c r="AN38" s="467">
        <f>IF('Market Penetration'!R38=0,0,1000*R38*'Market Data'!$Y$51/('Market Penetration'!R38*'Market Data'!$W$51))</f>
        <v>120031.53040026881</v>
      </c>
      <c r="AO38" s="692">
        <f>IF('Market Penetration'!S38=0,0,1000*S38*'Market Data'!$Y$51/('Market Penetration'!S38*'Market Data'!$W$51))</f>
        <v>0</v>
      </c>
      <c r="AP38" s="468">
        <f>IF('Market Penetration'!T38=0,0,1000*T38*('Market Data'!$E$51+'Market Data'!$O$51+'Market Data'!$Y$51)/('Market Penetration'!T38*('Market Data'!$C$51+'Market Data'!$M$51+'Market Data'!$W$51)))</f>
        <v>56511.975563478933</v>
      </c>
      <c r="AQ38" s="469">
        <f>IF('Market Penetration'!U38=0,0,1000*U38*('Market Data'!$E$51+'Market Data'!$O$51+'Market Data'!$Y$51)/('Market Penetration'!U38*('Market Data'!$C$51+'Market Data'!$M$51+'Market Data'!$W$51)))</f>
        <v>99449.508223420082</v>
      </c>
    </row>
    <row r="39" spans="1:43" ht="15" x14ac:dyDescent="0.2">
      <c r="A39" s="403">
        <v>2037</v>
      </c>
      <c r="B39" s="423">
        <f t="shared" si="12"/>
        <v>0.39984908475159064</v>
      </c>
      <c r="C39" s="424">
        <f>'7&amp;8 Sleep'!$M106+'7&amp;8 Sleep'!$Z106</f>
        <v>0.20429912891693064</v>
      </c>
      <c r="D39" s="424">
        <f>'7&amp;8 Sleep'!$M158+'7&amp;8 Sleep'!$Z158</f>
        <v>0.39585178633147872</v>
      </c>
      <c r="E39" s="700">
        <f>'7&amp;8 Sleep'!$M210+'7&amp;8 Sleep'!$Z210</f>
        <v>0</v>
      </c>
      <c r="F39" s="424">
        <f>'7&amp;8 Sleep'!$M263+'7&amp;8 Sleep'!$Z263</f>
        <v>0</v>
      </c>
      <c r="G39" s="658">
        <f>'7&amp;8 Sleep'!$M316+'7&amp;8 Sleep'!$Z316</f>
        <v>0</v>
      </c>
      <c r="H39" s="854">
        <f t="shared" si="13"/>
        <v>0.20431769904067998</v>
      </c>
      <c r="I39" s="658">
        <f>'7&amp;8 Day'!$M106+'7&amp;8 Day'!$Z106</f>
        <v>0.37472721649029023</v>
      </c>
      <c r="J39" s="658">
        <f>'7&amp;8 Day'!$M158+'7&amp;8 Day'!$Z158</f>
        <v>0.37296080186942399</v>
      </c>
      <c r="K39" s="658">
        <f>'7&amp;8 Day'!$M210+'7&amp;8 Day'!$Z210</f>
        <v>4.7994282599605781E-2</v>
      </c>
      <c r="L39" s="658">
        <f>'7&amp;8 Day'!$M263+'7&amp;8 Day'!$Z263</f>
        <v>0</v>
      </c>
      <c r="M39" s="705">
        <f>'7&amp;8 Day'!$M316+'7&amp;8 Day'!$Z316</f>
        <v>0</v>
      </c>
      <c r="N39" s="423">
        <f t="shared" si="14"/>
        <v>0.48193230905204854</v>
      </c>
      <c r="O39" s="424">
        <f>'7&amp;8 SU'!$M106+'7&amp;8 SU'!$Z106</f>
        <v>0.15859998147260221</v>
      </c>
      <c r="P39" s="424">
        <f>'7&amp;8 SU'!$M158+'7&amp;8 SU'!$Z158</f>
        <v>0.23237583850220672</v>
      </c>
      <c r="Q39" s="700">
        <f>'7&amp;8 SU'!$M210+'7&amp;8 SU'!$Z210</f>
        <v>0.11033910348063886</v>
      </c>
      <c r="R39" s="424">
        <f>'7&amp;8 SU'!$M263+'7&amp;8 SU'!$Z263</f>
        <v>1.675276749250381E-2</v>
      </c>
      <c r="S39" s="658">
        <f>'7&amp;8 SU'!$M316+'7&amp;8 SU'!$Z316</f>
        <v>0</v>
      </c>
      <c r="T39" s="423">
        <f>B39*'Market Data'!$E$52+H39*'Market Data'!$O$52+N39*+N39*'Market Data'!$Y$52</f>
        <v>0.33752230509452036</v>
      </c>
      <c r="U39" s="425">
        <f>SUM(C39:G39)*'Market Data'!$E$52+SUM(I39:M39)*'Market Data'!$O$52+SUM(O39:S39)*+N39*'Market Data'!$Y$52</f>
        <v>0.61601820951411379</v>
      </c>
      <c r="W39" s="403">
        <v>2037</v>
      </c>
      <c r="X39" s="460">
        <f>IF('Market Penetration'!B39=0,0,1000*B39*'Market Data'!$E$51/('Market Penetration'!B39*'Market Data'!$C$51))</f>
        <v>99174.312204790884</v>
      </c>
      <c r="Y39" s="461">
        <f>IF('Market Penetration'!C39=0,0,1000*C39*'Market Data'!$E$51/('Market Penetration'!C39*'Market Data'!$C$51))</f>
        <v>121072.68390335073</v>
      </c>
      <c r="Z39" s="461">
        <f>IF('Market Penetration'!D39=0,0,1000*D39*'Market Data'!$E$51/('Market Penetration'!D39*'Market Data'!$C$51))</f>
        <v>130624.65983629531</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41678.695857561863</v>
      </c>
      <c r="AE39" s="461">
        <f>IF('Market Penetration'!I39=0,0,1000*I39*'Market Data'!$O$51/('Market Penetration'!I39*'Market Data'!$M$51))</f>
        <v>95892.111096777619</v>
      </c>
      <c r="AF39" s="461">
        <f>IF('Market Penetration'!J39=0,0,1000*J39*'Market Data'!$O$51/('Market Penetration'!J39*'Market Data'!$M$51))</f>
        <v>96126.2869044791</v>
      </c>
      <c r="AG39" s="461">
        <f>IF('Market Penetration'!K39=0,0,1000*K39*'Market Data'!$O$51/('Market Penetration'!K39*'Market Data'!$M$51))</f>
        <v>160160.9290610076</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18887.999929958249</v>
      </c>
      <c r="AK39" s="461">
        <f>IF('Market Penetration'!O39=0,0,1000*O39*'Market Data'!$Y$51/('Market Penetration'!O39*'Market Data'!$W$51))</f>
        <v>47117.691865028217</v>
      </c>
      <c r="AL39" s="461">
        <f>IF('Market Penetration'!P39=0,0,1000*P39*'Market Data'!$Y$51/('Market Penetration'!P39*'Market Data'!$W$51))</f>
        <v>41028.230274953865</v>
      </c>
      <c r="AM39" s="695">
        <f>IF('Market Penetration'!Q39=0,0,1000*Q39*'Market Data'!$Y$51/('Market Penetration'!Q39*'Market Data'!$W$51))</f>
        <v>55347.304033475455</v>
      </c>
      <c r="AN39" s="461">
        <f>IF('Market Penetration'!R39=0,0,1000*R39*'Market Data'!$Y$51/('Market Penetration'!R39*'Market Data'!$W$51))</f>
        <v>116559.11513933887</v>
      </c>
      <c r="AO39" s="690">
        <f>IF('Market Penetration'!S39=0,0,1000*S39*'Market Data'!$Y$51/('Market Penetration'!S39*'Market Data'!$W$51))</f>
        <v>0</v>
      </c>
      <c r="AP39" s="460">
        <f>IF('Market Penetration'!T39=0,0,1000*T39*('Market Data'!$E$51+'Market Data'!$O$51+'Market Data'!$Y$51)/('Market Penetration'!T39*('Market Data'!$C$51+'Market Data'!$M$51+'Market Data'!$W$51)))</f>
        <v>54713.217652507949</v>
      </c>
      <c r="AQ39" s="462">
        <f>IF('Market Penetration'!U39=0,0,1000*U39*('Market Data'!$E$51+'Market Data'!$O$51+'Market Data'!$Y$51)/('Market Penetration'!U39*('Market Data'!$C$51+'Market Data'!$M$51+'Market Data'!$W$51)))</f>
        <v>100800.1839922511</v>
      </c>
    </row>
    <row r="40" spans="1:43" ht="15" x14ac:dyDescent="0.2">
      <c r="A40" s="403">
        <v>2038</v>
      </c>
      <c r="B40" s="423">
        <f t="shared" si="12"/>
        <v>0.3548255118632202</v>
      </c>
      <c r="C40" s="424">
        <f>'7&amp;8 Sleep'!$M107+'7&amp;8 Sleep'!$Z107</f>
        <v>0.24182327651210453</v>
      </c>
      <c r="D40" s="424">
        <f>'7&amp;8 Sleep'!$M159+'7&amp;8 Sleep'!$Z159</f>
        <v>0.40335121162467524</v>
      </c>
      <c r="E40" s="700">
        <f>'7&amp;8 Sleep'!$M211+'7&amp;8 Sleep'!$Z211</f>
        <v>0</v>
      </c>
      <c r="F40" s="424">
        <f>'7&amp;8 Sleep'!$M264+'7&amp;8 Sleep'!$Z264</f>
        <v>0</v>
      </c>
      <c r="G40" s="658">
        <f>'7&amp;8 Sleep'!$M317+'7&amp;8 Sleep'!$Z317</f>
        <v>0</v>
      </c>
      <c r="H40" s="854">
        <f t="shared" si="13"/>
        <v>0.20431656217020655</v>
      </c>
      <c r="I40" s="658">
        <f>'7&amp;8 Day'!$M107+'7&amp;8 Day'!$Z107</f>
        <v>0.36890563545363453</v>
      </c>
      <c r="J40" s="658">
        <f>'7&amp;8 Day'!$M159+'7&amp;8 Day'!$Z159</f>
        <v>0.36874033458818156</v>
      </c>
      <c r="K40" s="658">
        <f>'7&amp;8 Day'!$M211+'7&amp;8 Day'!$Z211</f>
        <v>5.8037467787977415E-2</v>
      </c>
      <c r="L40" s="658">
        <f>'7&amp;8 Day'!$M264+'7&amp;8 Day'!$Z264</f>
        <v>0</v>
      </c>
      <c r="M40" s="705">
        <f>'7&amp;8 Day'!$M317+'7&amp;8 Day'!$Z317</f>
        <v>0</v>
      </c>
      <c r="N40" s="423">
        <f t="shared" si="14"/>
        <v>0.48191317384073806</v>
      </c>
      <c r="O40" s="424">
        <f>'7&amp;8 SU'!$M107+'7&amp;8 SU'!$Z107</f>
        <v>0.15920004732268012</v>
      </c>
      <c r="P40" s="424">
        <f>'7&amp;8 SU'!$M159+'7&amp;8 SU'!$Z159</f>
        <v>0.22847550072687586</v>
      </c>
      <c r="Q40" s="700">
        <f>'7&amp;8 SU'!$M211+'7&amp;8 SU'!$Z211</f>
        <v>0.11226163897520858</v>
      </c>
      <c r="R40" s="424">
        <f>'7&amp;8 SU'!$M264+'7&amp;8 SU'!$Z264</f>
        <v>1.8149639134497401E-2</v>
      </c>
      <c r="S40" s="658">
        <f>'7&amp;8 SU'!$M317+'7&amp;8 SU'!$Z317</f>
        <v>0</v>
      </c>
      <c r="T40" s="423">
        <f>B40*'Market Data'!$E$52+H40*'Market Data'!$O$52+N40*+N40*'Market Data'!$Y$52</f>
        <v>0.30742530316434852</v>
      </c>
      <c r="U40" s="425">
        <f>SUM(C40:G40)*'Market Data'!$E$52+SUM(I40:M40)*'Market Data'!$O$52+SUM(O40:S40)*+N40*'Market Data'!$Y$52</f>
        <v>0.64611349542901231</v>
      </c>
      <c r="W40" s="403">
        <v>2038</v>
      </c>
      <c r="X40" s="460">
        <f>IF('Market Penetration'!B40=0,0,1000*B40*'Market Data'!$E$51/('Market Penetration'!B40*'Market Data'!$C$51))</f>
        <v>94584.217857370197</v>
      </c>
      <c r="Y40" s="461">
        <f>IF('Market Penetration'!C40=0,0,1000*C40*'Market Data'!$E$51/('Market Penetration'!C40*'Market Data'!$C$51))</f>
        <v>131480.11054403917</v>
      </c>
      <c r="Z40" s="461">
        <f>IF('Market Penetration'!D40=0,0,1000*D40*'Market Data'!$E$51/('Market Penetration'!D40*'Market Data'!$C$51))</f>
        <v>127684.02887533509</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41678.562190234865</v>
      </c>
      <c r="AE40" s="461">
        <f>IF('Market Penetration'!I40=0,0,1000*I40*'Market Data'!$O$51/('Market Penetration'!I40*'Market Data'!$M$51))</f>
        <v>95650.828019523426</v>
      </c>
      <c r="AF40" s="461">
        <f>IF('Market Penetration'!J40=0,0,1000*J40*'Market Data'!$O$51/('Market Penetration'!J40*'Market Data'!$M$51))</f>
        <v>95650.828019523426</v>
      </c>
      <c r="AG40" s="461">
        <f>IF('Market Penetration'!K40=0,0,1000*K40*'Market Data'!$O$51/('Market Penetration'!K40*'Market Data'!$M$51))</f>
        <v>154553.41039542563</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18888.3489516052</v>
      </c>
      <c r="AK40" s="461">
        <f>IF('Market Penetration'!O40=0,0,1000*O40*'Market Data'!$Y$51/('Market Penetration'!O40*'Market Data'!$W$51))</f>
        <v>46977.466829183693</v>
      </c>
      <c r="AL40" s="461">
        <f>IF('Market Penetration'!P40=0,0,1000*P40*'Market Data'!$Y$51/('Market Penetration'!P40*'Market Data'!$W$51))</f>
        <v>41113.924324238345</v>
      </c>
      <c r="AM40" s="695">
        <f>IF('Market Penetration'!Q40=0,0,1000*Q40*'Market Data'!$Y$51/('Market Penetration'!Q40*'Market Data'!$W$51))</f>
        <v>54433.533980912573</v>
      </c>
      <c r="AN40" s="461">
        <f>IF('Market Penetration'!R40=0,0,1000*R40*'Market Data'!$Y$51/('Market Penetration'!R40*'Market Data'!$W$51))</f>
        <v>113238.45510075938</v>
      </c>
      <c r="AO40" s="690">
        <f>IF('Market Penetration'!S40=0,0,1000*S40*'Market Data'!$Y$51/('Market Penetration'!S40*'Market Data'!$W$51))</f>
        <v>0</v>
      </c>
      <c r="AP40" s="460">
        <f>IF('Market Penetration'!T40=0,0,1000*T40*('Market Data'!$E$51+'Market Data'!$O$51+'Market Data'!$Y$51)/('Market Penetration'!T40*('Market Data'!$C$51+'Market Data'!$M$51+'Market Data'!$W$51)))</f>
        <v>51396.873504070179</v>
      </c>
      <c r="AQ40" s="462">
        <f>IF('Market Penetration'!U40=0,0,1000*U40*('Market Data'!$E$51+'Market Data'!$O$51+'Market Data'!$Y$51)/('Market Penetration'!U40*('Market Data'!$C$51+'Market Data'!$M$51+'Market Data'!$W$51)))</f>
        <v>102576.98952387352</v>
      </c>
    </row>
    <row r="41" spans="1:43" ht="15" x14ac:dyDescent="0.2">
      <c r="A41" s="403">
        <v>2039</v>
      </c>
      <c r="B41" s="423">
        <f t="shared" si="12"/>
        <v>0.30958236773128567</v>
      </c>
      <c r="C41" s="424">
        <f>'7&amp;8 Sleep'!$M108+'7&amp;8 Sleep'!$Z108</f>
        <v>0.29041562794972592</v>
      </c>
      <c r="D41" s="424">
        <f>'7&amp;8 Sleep'!$M160+'7&amp;8 Sleep'!$Z160</f>
        <v>0.40000200431898847</v>
      </c>
      <c r="E41" s="700">
        <f>'7&amp;8 Sleep'!$M212+'7&amp;8 Sleep'!$Z212</f>
        <v>0</v>
      </c>
      <c r="F41" s="424">
        <f>'7&amp;8 Sleep'!$M265+'7&amp;8 Sleep'!$Z265</f>
        <v>0</v>
      </c>
      <c r="G41" s="658">
        <f>'7&amp;8 Sleep'!$M318+'7&amp;8 Sleep'!$Z318</f>
        <v>0</v>
      </c>
      <c r="H41" s="854">
        <f t="shared" si="13"/>
        <v>0.20379545055426318</v>
      </c>
      <c r="I41" s="658">
        <f>'7&amp;8 Day'!$M108+'7&amp;8 Day'!$Z108</f>
        <v>0.36184714514013894</v>
      </c>
      <c r="J41" s="658">
        <f>'7&amp;8 Day'!$M160+'7&amp;8 Day'!$Z160</f>
        <v>0.36150846182622443</v>
      </c>
      <c r="K41" s="658">
        <f>'7&amp;8 Day'!$M212+'7&amp;8 Day'!$Z212</f>
        <v>7.2839789078543465E-2</v>
      </c>
      <c r="L41" s="658">
        <f>'7&amp;8 Day'!$M265+'7&amp;8 Day'!$Z265</f>
        <v>0</v>
      </c>
      <c r="M41" s="705">
        <f>'7&amp;8 Day'!$M318+'7&amp;8 Day'!$Z318</f>
        <v>9.1534008299635896E-6</v>
      </c>
      <c r="N41" s="423">
        <f t="shared" si="14"/>
        <v>0.48092431133040181</v>
      </c>
      <c r="O41" s="424">
        <f>'7&amp;8 SU'!$M108+'7&amp;8 SU'!$Z108</f>
        <v>0.16078909509017048</v>
      </c>
      <c r="P41" s="424">
        <f>'7&amp;8 SU'!$M160+'7&amp;8 SU'!$Z160</f>
        <v>0.22647573850358743</v>
      </c>
      <c r="Q41" s="700">
        <f>'7&amp;8 SU'!$M212+'7&amp;8 SU'!$Z212</f>
        <v>0.11157687557124958</v>
      </c>
      <c r="R41" s="424">
        <f>'7&amp;8 SU'!$M265+'7&amp;8 SU'!$Z265</f>
        <v>2.0194641921410707E-2</v>
      </c>
      <c r="S41" s="658">
        <f>'7&amp;8 SU'!$M318+'7&amp;8 SU'!$Z318</f>
        <v>3.9337583179959625E-5</v>
      </c>
      <c r="T41" s="423">
        <f>B41*'Market Data'!$E$52+H41*'Market Data'!$O$52+N41*+N41*'Market Data'!$Y$52</f>
        <v>0.27697202539862992</v>
      </c>
      <c r="U41" s="425">
        <f>SUM(C41:G41)*'Market Data'!$E$52+SUM(I41:M41)*'Market Data'!$O$52+SUM(O41:S41)*+N41*'Market Data'!$Y$52</f>
        <v>0.67647809357977762</v>
      </c>
      <c r="W41" s="403">
        <v>2039</v>
      </c>
      <c r="X41" s="460">
        <f>IF('Market Penetration'!B41=0,0,1000*B41*'Market Data'!$E$51/('Market Penetration'!B41*'Market Data'!$C$51))</f>
        <v>91289.095316700346</v>
      </c>
      <c r="Y41" s="461">
        <f>IF('Market Penetration'!C41=0,0,1000*C41*'Market Data'!$E$51/('Market Penetration'!C41*'Market Data'!$C$51))</f>
        <v>132785.31081503493</v>
      </c>
      <c r="Z41" s="461">
        <f>IF('Market Penetration'!D41=0,0,1000*D41*'Market Data'!$E$51/('Market Penetration'!D41*'Market Data'!$C$51))</f>
        <v>126131.68178676357</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41677.935614293579</v>
      </c>
      <c r="AE41" s="461">
        <f>IF('Market Penetration'!I41=0,0,1000*I41*'Market Data'!$O$51/('Market Penetration'!I41*'Market Data'!$M$51))</f>
        <v>95074.389759856524</v>
      </c>
      <c r="AF41" s="461">
        <f>IF('Market Penetration'!J41=0,0,1000*J41*'Market Data'!$O$51/('Market Penetration'!J41*'Market Data'!$M$51))</f>
        <v>95175.070134112058</v>
      </c>
      <c r="AG41" s="461">
        <f>IF('Market Penetration'!K41=0,0,1000*K41*'Market Data'!$O$51/('Market Penetration'!K41*'Market Data'!$M$51))</f>
        <v>147014.21060249154</v>
      </c>
      <c r="AH41" s="461">
        <f>IF('Market Penetration'!L41=0,0,1000*L41*'Market Data'!$O$51/('Market Penetration'!L41*'Market Data'!$M$51))</f>
        <v>0</v>
      </c>
      <c r="AI41" s="462">
        <f>IF('Market Penetration'!M41=0,0,1000*M41*'Market Data'!$O$51/('Market Penetration'!M41*'Market Data'!$M$51))</f>
        <v>157147.42276614078</v>
      </c>
      <c r="AJ41" s="460">
        <f>IF('Market Penetration'!N41=0,0,1000*N41*'Market Data'!$Y$51/('Market Penetration'!N41*'Market Data'!$W$51))</f>
        <v>18860.990680133331</v>
      </c>
      <c r="AK41" s="461">
        <f>IF('Market Penetration'!O41=0,0,1000*O41*'Market Data'!$Y$51/('Market Penetration'!O41*'Market Data'!$W$51))</f>
        <v>46507.818795167244</v>
      </c>
      <c r="AL41" s="461">
        <f>IF('Market Penetration'!P41=0,0,1000*P41*'Market Data'!$Y$51/('Market Penetration'!P41*'Market Data'!$W$51))</f>
        <v>41215.231234847983</v>
      </c>
      <c r="AM41" s="695">
        <f>IF('Market Penetration'!Q41=0,0,1000*Q41*'Market Data'!$Y$51/('Market Penetration'!Q41*'Market Data'!$W$51))</f>
        <v>54537.37719025914</v>
      </c>
      <c r="AN41" s="461">
        <f>IF('Market Penetration'!R41=0,0,1000*R41*'Market Data'!$Y$51/('Market Penetration'!R41*'Market Data'!$W$51))</f>
        <v>108911.38353015682</v>
      </c>
      <c r="AO41" s="690">
        <f>IF('Market Penetration'!S41=0,0,1000*S41*'Market Data'!$Y$51/('Market Penetration'!S41*'Market Data'!$W$51))</f>
        <v>71616.08895539795</v>
      </c>
      <c r="AP41" s="460">
        <f>IF('Market Penetration'!T41=0,0,1000*T41*('Market Data'!$E$51+'Market Data'!$O$51+'Market Data'!$Y$51)/('Market Penetration'!T41*('Market Data'!$C$51+'Market Data'!$M$51+'Market Data'!$W$51)))</f>
        <v>48284.532465336415</v>
      </c>
      <c r="AQ41" s="462">
        <f>IF('Market Penetration'!U41=0,0,1000*U41*('Market Data'!$E$51+'Market Data'!$O$51+'Market Data'!$Y$51)/('Market Penetration'!U41*('Market Data'!$C$51+'Market Data'!$M$51+'Market Data'!$W$51)))</f>
        <v>103374.28828669795</v>
      </c>
    </row>
    <row r="42" spans="1:43" ht="15" x14ac:dyDescent="0.2">
      <c r="A42" s="402">
        <v>2040</v>
      </c>
      <c r="B42" s="426">
        <f t="shared" si="12"/>
        <v>0.26564930244567453</v>
      </c>
      <c r="C42" s="427">
        <f>'7&amp;8 Sleep'!$M109+'7&amp;8 Sleep'!$Z109</f>
        <v>0.32718663432259237</v>
      </c>
      <c r="D42" s="427">
        <f>'7&amp;8 Sleep'!$M161+'7&amp;8 Sleep'!$Z161</f>
        <v>0.40716406323173315</v>
      </c>
      <c r="E42" s="701">
        <f>'7&amp;8 Sleep'!$M213+'7&amp;8 Sleep'!$Z213</f>
        <v>0</v>
      </c>
      <c r="F42" s="427">
        <f>'7&amp;8 Sleep'!$M266+'7&amp;8 Sleep'!$Z266</f>
        <v>0</v>
      </c>
      <c r="G42" s="659">
        <f>'7&amp;8 Sleep'!$M319+'7&amp;8 Sleep'!$Z319</f>
        <v>0</v>
      </c>
      <c r="H42" s="855">
        <f t="shared" si="13"/>
        <v>0.20379529659447926</v>
      </c>
      <c r="I42" s="659">
        <f>'7&amp;8 Day'!$M109+'7&amp;8 Day'!$Z109</f>
        <v>0.35202180175320597</v>
      </c>
      <c r="J42" s="659">
        <f>'7&amp;8 Day'!$M161+'7&amp;8 Day'!$Z161</f>
        <v>0.3516875209883864</v>
      </c>
      <c r="K42" s="659">
        <f>'7&amp;8 Day'!$M213+'7&amp;8 Day'!$Z213</f>
        <v>8.5754354512781489E-2</v>
      </c>
      <c r="L42" s="659">
        <f>'7&amp;8 Day'!$M266+'7&amp;8 Day'!$Z266</f>
        <v>0</v>
      </c>
      <c r="M42" s="706">
        <f>'7&amp;8 Day'!$M319+'7&amp;8 Day'!$Z319</f>
        <v>6.7410261511468735E-3</v>
      </c>
      <c r="N42" s="426">
        <f t="shared" si="14"/>
        <v>0.4809240384906005</v>
      </c>
      <c r="O42" s="427">
        <f>'7&amp;8 SU'!$M109+'7&amp;8 SU'!$Z109</f>
        <v>0.15983346016661693</v>
      </c>
      <c r="P42" s="427">
        <f>'7&amp;8 SU'!$M161+'7&amp;8 SU'!$Z161</f>
        <v>0.22543769450878387</v>
      </c>
      <c r="Q42" s="701">
        <f>'7&amp;8 SU'!$M213+'7&amp;8 SU'!$Z213</f>
        <v>0.11073263433580094</v>
      </c>
      <c r="R42" s="427">
        <f>'7&amp;8 SU'!$M266+'7&amp;8 SU'!$Z266</f>
        <v>2.2772028790740865E-2</v>
      </c>
      <c r="S42" s="659">
        <f>'7&amp;8 SU'!$M319+'7&amp;8 SU'!$Z319</f>
        <v>3.0014370745691982E-4</v>
      </c>
      <c r="T42" s="426">
        <f>B42*'Market Data'!$E$52+H42*'Market Data'!$O$52+N42*+N42*'Market Data'!$Y$52</f>
        <v>0.24760581884281618</v>
      </c>
      <c r="U42" s="428">
        <f>SUM(C42:G42)*'Market Data'!$E$52+SUM(I42:M42)*'Market Data'!$O$52+SUM(O42:S42)*+N42*'Market Data'!$Y$52</f>
        <v>0.70584427566775254</v>
      </c>
      <c r="W42" s="402">
        <v>2040</v>
      </c>
      <c r="X42" s="463">
        <f>IF('Market Penetration'!B42=0,0,1000*B42*'Market Data'!$E$51/('Market Penetration'!B42*'Market Data'!$C$51))</f>
        <v>88578.339004666675</v>
      </c>
      <c r="Y42" s="464">
        <f>IF('Market Penetration'!C42=0,0,1000*C42*'Market Data'!$E$51/('Market Penetration'!C42*'Market Data'!$C$51))</f>
        <v>130227.0642356694</v>
      </c>
      <c r="Z42" s="464">
        <f>IF('Market Penetration'!D42=0,0,1000*D42*'Market Data'!$E$51/('Market Penetration'!D42*'Market Data'!$C$51))</f>
        <v>125738.64347788721</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41677.917477994786</v>
      </c>
      <c r="AE42" s="464">
        <f>IF('Market Penetration'!I42=0,0,1000*I42*'Market Data'!$O$51/('Market Penetration'!I42*'Market Data'!$M$51))</f>
        <v>94437.695469137194</v>
      </c>
      <c r="AF42" s="464">
        <f>IF('Market Penetration'!J42=0,0,1000*J42*'Market Data'!$O$51/('Market Penetration'!J42*'Market Data'!$M$51))</f>
        <v>94539.490006441367</v>
      </c>
      <c r="AG42" s="464">
        <f>IF('Market Penetration'!K42=0,0,1000*K42*'Market Data'!$O$51/('Market Penetration'!K42*'Market Data'!$M$51))</f>
        <v>139370.94880883527</v>
      </c>
      <c r="AH42" s="464">
        <f>IF('Market Penetration'!L42=0,0,1000*L42*'Market Data'!$O$51/('Market Penetration'!L42*'Market Data'!$M$51))</f>
        <v>0</v>
      </c>
      <c r="AI42" s="465">
        <f>IF('Market Penetration'!M42=0,0,1000*M42*'Market Data'!$O$51/('Market Penetration'!M42*'Market Data'!$M$51))</f>
        <v>182427.12325607112</v>
      </c>
      <c r="AJ42" s="463">
        <f>IF('Market Penetration'!N42=0,0,1000*N42*'Market Data'!$Y$51/('Market Penetration'!N42*'Market Data'!$W$51))</f>
        <v>18860.984328233237</v>
      </c>
      <c r="AK42" s="464">
        <f>IF('Market Penetration'!O42=0,0,1000*O42*'Market Data'!$Y$51/('Market Penetration'!O42*'Market Data'!$W$51))</f>
        <v>46398.540019858374</v>
      </c>
      <c r="AL42" s="464">
        <f>IF('Market Penetration'!P42=0,0,1000*P42*'Market Data'!$Y$51/('Market Penetration'!P42*'Market Data'!$W$51))</f>
        <v>41128.859368224832</v>
      </c>
      <c r="AM42" s="696">
        <f>IF('Market Penetration'!Q42=0,0,1000*Q42*'Market Data'!$Y$51/('Market Penetration'!Q42*'Market Data'!$W$51))</f>
        <v>54413.498166672194</v>
      </c>
      <c r="AN42" s="464">
        <f>IF('Market Penetration'!R42=0,0,1000*R42*'Market Data'!$Y$51/('Market Penetration'!R42*'Market Data'!$W$51))</f>
        <v>104078.90008069215</v>
      </c>
      <c r="AO42" s="691">
        <f>IF('Market Penetration'!S42=0,0,1000*S42*'Market Data'!$Y$51/('Market Penetration'!S42*'Market Data'!$W$51))</f>
        <v>71590.187312641923</v>
      </c>
      <c r="AP42" s="463">
        <f>IF('Market Penetration'!T42=0,0,1000*T42*('Market Data'!$E$51+'Market Data'!$O$51+'Market Data'!$Y$51)/('Market Penetration'!T42*('Market Data'!$C$51+'Market Data'!$M$51+'Market Data'!$W$51)))</f>
        <v>45232.327024270671</v>
      </c>
      <c r="AQ42" s="465">
        <f>IF('Market Penetration'!U42=0,0,1000*U42*('Market Data'!$E$51+'Market Data'!$O$51+'Market Data'!$Y$51)/('Market Penetration'!U42*('Market Data'!$C$51+'Market Data'!$M$51+'Market Data'!$W$51)))</f>
        <v>103707.1972970096</v>
      </c>
    </row>
    <row r="43" spans="1:43" ht="15" x14ac:dyDescent="0.2">
      <c r="A43" s="403">
        <v>2041</v>
      </c>
      <c r="B43" s="430">
        <f t="shared" si="12"/>
        <v>0.23062681734927137</v>
      </c>
      <c r="C43" s="431">
        <f>'7&amp;8 Sleep'!$M110+'7&amp;8 Sleep'!$Z110</f>
        <v>0.3520341054494357</v>
      </c>
      <c r="D43" s="431">
        <f>'7&amp;8 Sleep'!$M162+'7&amp;8 Sleep'!$Z162</f>
        <v>0.41733055486797072</v>
      </c>
      <c r="E43" s="702">
        <f>'7&amp;8 Sleep'!$M214+'7&amp;8 Sleep'!$Z214</f>
        <v>0</v>
      </c>
      <c r="F43" s="431">
        <f>'7&amp;8 Sleep'!$M267+'7&amp;8 Sleep'!$Z267</f>
        <v>8.5223333221384425E-6</v>
      </c>
      <c r="G43" s="660">
        <f>'7&amp;8 Sleep'!$M320+'7&amp;8 Sleep'!$Z320</f>
        <v>0</v>
      </c>
      <c r="H43" s="856">
        <f t="shared" si="13"/>
        <v>0.20023128967991799</v>
      </c>
      <c r="I43" s="660">
        <f>'7&amp;8 Day'!$M110+'7&amp;8 Day'!$Z110</f>
        <v>0.32037522203688218</v>
      </c>
      <c r="J43" s="660">
        <f>'7&amp;8 Day'!$M162+'7&amp;8 Day'!$Z162</f>
        <v>0.32022593919016951</v>
      </c>
      <c r="K43" s="660">
        <f>'7&amp;8 Day'!$M214+'7&amp;8 Day'!$Z214</f>
        <v>0.10049618740630716</v>
      </c>
      <c r="L43" s="660">
        <f>'7&amp;8 Day'!$M267+'7&amp;8 Day'!$Z267</f>
        <v>0</v>
      </c>
      <c r="M43" s="707">
        <f>'7&amp;8 Day'!$M320+'7&amp;8 Day'!$Z320</f>
        <v>5.8671361686723177E-2</v>
      </c>
      <c r="N43" s="430">
        <f t="shared" si="14"/>
        <v>0.47281192064858946</v>
      </c>
      <c r="O43" s="431">
        <f>'7&amp;8 SU'!$M110+'7&amp;8 SU'!$Z110</f>
        <v>0.15963914506308791</v>
      </c>
      <c r="P43" s="431">
        <f>'7&amp;8 SU'!$M162+'7&amp;8 SU'!$Z162</f>
        <v>0.22953675899188025</v>
      </c>
      <c r="Q43" s="702">
        <f>'7&amp;8 SU'!$M214+'7&amp;8 SU'!$Z214</f>
        <v>0.10916820363791677</v>
      </c>
      <c r="R43" s="431">
        <f>'7&amp;8 SU'!$M267+'7&amp;8 SU'!$Z267</f>
        <v>2.7052779702843061E-2</v>
      </c>
      <c r="S43" s="660">
        <f>'7&amp;8 SU'!$M320+'7&amp;8 SU'!$Z320</f>
        <v>1.7911919556825818E-3</v>
      </c>
      <c r="T43" s="433">
        <f>B43*'Market Data'!$E$52+H43*'Market Data'!$O$52+N43*+N43*'Market Data'!$Y$52</f>
        <v>0.22263983392606412</v>
      </c>
      <c r="U43" s="434">
        <f>SUM(C43:G43)*'Market Data'!$E$52+SUM(I43:M43)*'Market Data'!$O$52+SUM(O43:S43)*+N43*'Market Data'!$Y$52</f>
        <v>0.7300827787767038</v>
      </c>
      <c r="W43" s="403">
        <v>2041</v>
      </c>
      <c r="X43" s="466">
        <f>IF('Market Penetration'!B43=0,0,1000*B43*'Market Data'!$E$51/('Market Penetration'!B43*'Market Data'!$C$51))</f>
        <v>86399.259920938697</v>
      </c>
      <c r="Y43" s="467">
        <f>IF('Market Penetration'!C43=0,0,1000*C43*'Market Data'!$E$51/('Market Penetration'!C43*'Market Data'!$C$51))</f>
        <v>128683.4012642126</v>
      </c>
      <c r="Z43" s="467">
        <f>IF('Market Penetration'!D43=0,0,1000*D43*'Market Data'!$E$51/('Market Penetration'!D43*'Market Data'!$C$51))</f>
        <v>124776.26555336901</v>
      </c>
      <c r="AA43" s="697">
        <f>IF('Market Penetration'!E43=0,0,1000*E43*'Market Data'!$E$51/('Market Penetration'!E43*'Market Data'!$C$51))</f>
        <v>0</v>
      </c>
      <c r="AB43" s="467">
        <f>IF('Market Penetration'!F43=0,0,1000*F43*'Market Data'!$E$51/('Market Penetration'!F43*'Market Data'!$C$51))</f>
        <v>238771.07529067885</v>
      </c>
      <c r="AC43" s="692">
        <f>IF('Market Penetration'!G43=0,0,1000*G43*'Market Data'!$E$51/('Market Penetration'!G43*'Market Data'!$C$51))</f>
        <v>0</v>
      </c>
      <c r="AD43" s="466">
        <f>IF('Market Penetration'!H43=0,0,1000*H43*'Market Data'!$O$51/('Market Penetration'!H43*'Market Data'!$M$51))</f>
        <v>41331.526291069647</v>
      </c>
      <c r="AE43" s="467">
        <f>IF('Market Penetration'!I43=0,0,1000*I43*'Market Data'!$O$51/('Market Penetration'!I43*'Market Data'!$M$51))</f>
        <v>92580.686316015985</v>
      </c>
      <c r="AF43" s="467">
        <f>IF('Market Penetration'!J43=0,0,1000*J43*'Market Data'!$O$51/('Market Penetration'!J43*'Market Data'!$M$51))</f>
        <v>92579.8374738907</v>
      </c>
      <c r="AG43" s="467">
        <f>IF('Market Penetration'!K43=0,0,1000*K43*'Market Data'!$O$51/('Market Penetration'!K43*'Market Data'!$M$51))</f>
        <v>128614.78472411107</v>
      </c>
      <c r="AH43" s="467">
        <f>IF('Market Penetration'!L43=0,0,1000*L43*'Market Data'!$O$51/('Market Penetration'!L43*'Market Data'!$M$51))</f>
        <v>0</v>
      </c>
      <c r="AI43" s="861">
        <f>IF('Market Penetration'!M43=0,0,1000*M43*'Market Data'!$O$51/('Market Penetration'!M43*'Market Data'!$M$51))</f>
        <v>132061.71665341625</v>
      </c>
      <c r="AJ43" s="466">
        <f>IF('Market Penetration'!N43=0,0,1000*N43*'Market Data'!$Y$51/('Market Penetration'!N43*'Market Data'!$W$51))</f>
        <v>18750.953475978586</v>
      </c>
      <c r="AK43" s="467">
        <f>IF('Market Penetration'!O43=0,0,1000*O43*'Market Data'!$Y$51/('Market Penetration'!O43*'Market Data'!$W$51))</f>
        <v>46046.005160668683</v>
      </c>
      <c r="AL43" s="467">
        <f>IF('Market Penetration'!P43=0,0,1000*P43*'Market Data'!$Y$51/('Market Penetration'!P43*'Market Data'!$W$51))</f>
        <v>40448.472619226501</v>
      </c>
      <c r="AM43" s="697">
        <f>IF('Market Penetration'!Q43=0,0,1000*Q43*'Market Data'!$Y$51/('Market Penetration'!Q43*'Market Data'!$W$51))</f>
        <v>54065.340094343352</v>
      </c>
      <c r="AN43" s="467">
        <f>IF('Market Penetration'!R43=0,0,1000*R43*'Market Data'!$Y$51/('Market Penetration'!R43*'Market Data'!$W$51))</f>
        <v>96425.34927662772</v>
      </c>
      <c r="AO43" s="692">
        <f>IF('Market Penetration'!S43=0,0,1000*S43*'Market Data'!$Y$51/('Market Penetration'!S43*'Market Data'!$W$51))</f>
        <v>70056.888268057824</v>
      </c>
      <c r="AP43" s="468">
        <f>IF('Market Penetration'!T43=0,0,1000*T43*('Market Data'!$E$51+'Market Data'!$O$51+'Market Data'!$Y$51)/('Market Penetration'!T43*('Market Data'!$C$51+'Market Data'!$M$51+'Market Data'!$W$51)))</f>
        <v>42672.789415970401</v>
      </c>
      <c r="AQ43" s="469">
        <f>IF('Market Penetration'!U43=0,0,1000*U43*('Market Data'!$E$51+'Market Data'!$O$51+'Market Data'!$Y$51)/('Market Penetration'!U43*('Market Data'!$C$51+'Market Data'!$M$51+'Market Data'!$W$51)))</f>
        <v>103369.52369667533</v>
      </c>
    </row>
    <row r="44" spans="1:43" ht="15" x14ac:dyDescent="0.2">
      <c r="A44" s="403">
        <v>2042</v>
      </c>
      <c r="B44" s="423">
        <f t="shared" si="12"/>
        <v>0.21099325940629732</v>
      </c>
      <c r="C44" s="424">
        <f>'7&amp;8 Sleep'!$M111+'7&amp;8 Sleep'!$Z111</f>
        <v>0.36683570749533823</v>
      </c>
      <c r="D44" s="424">
        <f>'7&amp;8 Sleep'!$M163+'7&amp;8 Sleep'!$Z163</f>
        <v>0.42158901861412856</v>
      </c>
      <c r="E44" s="700">
        <f>'7&amp;8 Sleep'!$M215+'7&amp;8 Sleep'!$Z215</f>
        <v>0</v>
      </c>
      <c r="F44" s="424">
        <f>'7&amp;8 Sleep'!$M268+'7&amp;8 Sleep'!$Z268</f>
        <v>5.8201448423591596E-4</v>
      </c>
      <c r="G44" s="658">
        <f>'7&amp;8 Sleep'!$M321+'7&amp;8 Sleep'!$Z321</f>
        <v>0</v>
      </c>
      <c r="H44" s="854">
        <f t="shared" si="13"/>
        <v>0.19555182538958282</v>
      </c>
      <c r="I44" s="658">
        <f>'7&amp;8 Day'!$M111+'7&amp;8 Day'!$Z111</f>
        <v>0.28495372356183474</v>
      </c>
      <c r="J44" s="658">
        <f>'7&amp;8 Day'!$M163+'7&amp;8 Day'!$Z163</f>
        <v>0.28482604023961899</v>
      </c>
      <c r="K44" s="658">
        <f>'7&amp;8 Day'!$M215+'7&amp;8 Day'!$Z215</f>
        <v>0.12649237341669672</v>
      </c>
      <c r="L44" s="658">
        <f>'7&amp;8 Day'!$M268+'7&amp;8 Day'!$Z268</f>
        <v>0</v>
      </c>
      <c r="M44" s="705">
        <f>'7&amp;8 Day'!$M321+'7&amp;8 Day'!$Z321</f>
        <v>0.10817603739226674</v>
      </c>
      <c r="N44" s="423">
        <f t="shared" si="14"/>
        <v>0.46594002308024618</v>
      </c>
      <c r="O44" s="424">
        <f>'7&amp;8 SU'!$M111+'7&amp;8 SU'!$Z111</f>
        <v>0.15614643296347525</v>
      </c>
      <c r="P44" s="424">
        <f>'7&amp;8 SU'!$M163+'7&amp;8 SU'!$Z163</f>
        <v>0.22668098399892012</v>
      </c>
      <c r="Q44" s="700">
        <f>'7&amp;8 SU'!$M215+'7&amp;8 SU'!$Z215</f>
        <v>0.10984361226478057</v>
      </c>
      <c r="R44" s="424">
        <f>'7&amp;8 SU'!$M268+'7&amp;8 SU'!$Z268</f>
        <v>3.4234462606908211E-2</v>
      </c>
      <c r="S44" s="658">
        <f>'7&amp;8 SU'!$M321+'7&amp;8 SU'!$Z321</f>
        <v>7.154485085669752E-3</v>
      </c>
      <c r="T44" s="423">
        <f>B44*'Market Data'!$E$52+H44*'Market Data'!$O$52+N44*+N44*'Market Data'!$Y$52</f>
        <v>0.2078057469183377</v>
      </c>
      <c r="U44" s="425">
        <f>SUM(C44:G44)*'Market Data'!$E$52+SUM(I44:M44)*'Market Data'!$O$52+SUM(O44:S44)*+N44*'Market Data'!$Y$52</f>
        <v>0.74430060495545791</v>
      </c>
      <c r="W44" s="403">
        <v>2042</v>
      </c>
      <c r="X44" s="460">
        <f>IF('Market Penetration'!B44=0,0,1000*B44*'Market Data'!$E$51/('Market Penetration'!B44*'Market Data'!$C$51))</f>
        <v>85061.987949077899</v>
      </c>
      <c r="Y44" s="461">
        <f>IF('Market Penetration'!C44=0,0,1000*C44*'Market Data'!$E$51/('Market Penetration'!C44*'Market Data'!$C$51))</f>
        <v>127670.26378607108</v>
      </c>
      <c r="Z44" s="461">
        <f>IF('Market Penetration'!D44=0,0,1000*D44*'Market Data'!$E$51/('Market Penetration'!D44*'Market Data'!$C$51))</f>
        <v>124239.10048251116</v>
      </c>
      <c r="AA44" s="695">
        <f>IF('Market Penetration'!E44=0,0,1000*E44*'Market Data'!$E$51/('Market Penetration'!E44*'Market Data'!$C$51))</f>
        <v>0</v>
      </c>
      <c r="AB44" s="461">
        <f>IF('Market Penetration'!F44=0,0,1000*F44*'Market Data'!$E$51/('Market Penetration'!F44*'Market Data'!$C$51))</f>
        <v>232512.61414679934</v>
      </c>
      <c r="AC44" s="690">
        <f>IF('Market Penetration'!G44=0,0,1000*G44*'Market Data'!$E$51/('Market Penetration'!G44*'Market Data'!$C$51))</f>
        <v>0</v>
      </c>
      <c r="AD44" s="460">
        <f>IF('Market Penetration'!H44=0,0,1000*H44*'Market Data'!$O$51/('Market Penetration'!H44*'Market Data'!$M$51))</f>
        <v>41072.249281310898</v>
      </c>
      <c r="AE44" s="461">
        <f>IF('Market Penetration'!I44=0,0,1000*I44*'Market Data'!$O$51/('Market Penetration'!I44*'Market Data'!$M$51))</f>
        <v>92201.735608041679</v>
      </c>
      <c r="AF44" s="461">
        <f>IF('Market Penetration'!J44=0,0,1000*J44*'Market Data'!$O$51/('Market Penetration'!J44*'Market Data'!$M$51))</f>
        <v>92201.735608041679</v>
      </c>
      <c r="AG44" s="461">
        <f>IF('Market Penetration'!K44=0,0,1000*K44*'Market Data'!$O$51/('Market Penetration'!K44*'Market Data'!$M$51))</f>
        <v>117929.40367376406</v>
      </c>
      <c r="AH44" s="461">
        <f>IF('Market Penetration'!L44=0,0,1000*L44*'Market Data'!$O$51/('Market Penetration'!L44*'Market Data'!$M$51))</f>
        <v>0</v>
      </c>
      <c r="AI44" s="462">
        <f>IF('Market Penetration'!M44=0,0,1000*M44*'Market Data'!$O$51/('Market Penetration'!M44*'Market Data'!$M$51))</f>
        <v>110825.68442083475</v>
      </c>
      <c r="AJ44" s="460">
        <f>IF('Market Penetration'!N44=0,0,1000*N44*'Market Data'!$Y$51/('Market Penetration'!N44*'Market Data'!$W$51))</f>
        <v>18629.323793409942</v>
      </c>
      <c r="AK44" s="461">
        <f>IF('Market Penetration'!O44=0,0,1000*O44*'Market Data'!$Y$51/('Market Penetration'!O44*'Market Data'!$W$51))</f>
        <v>45550.591923503147</v>
      </c>
      <c r="AL44" s="461">
        <f>IF('Market Penetration'!P44=0,0,1000*P44*'Market Data'!$Y$51/('Market Penetration'!P44*'Market Data'!$W$51))</f>
        <v>40074.532734336317</v>
      </c>
      <c r="AM44" s="695">
        <f>IF('Market Penetration'!Q44=0,0,1000*Q44*'Market Data'!$Y$51/('Market Penetration'!Q44*'Market Data'!$W$51))</f>
        <v>52825.926622593994</v>
      </c>
      <c r="AN44" s="461">
        <f>IF('Market Penetration'!R44=0,0,1000*R44*'Market Data'!$Y$51/('Market Penetration'!R44*'Market Data'!$W$51))</f>
        <v>85830.563611248363</v>
      </c>
      <c r="AO44" s="690">
        <f>IF('Market Penetration'!S44=0,0,1000*S44*'Market Data'!$Y$51/('Market Penetration'!S44*'Market Data'!$W$51))</f>
        <v>65861.511805418791</v>
      </c>
      <c r="AP44" s="460">
        <f>IF('Market Penetration'!T44=0,0,1000*T44*('Market Data'!$E$51+'Market Data'!$O$51+'Market Data'!$Y$51)/('Market Penetration'!T44*('Market Data'!$C$51+'Market Data'!$M$51+'Market Data'!$W$51)))</f>
        <v>41127.979324587228</v>
      </c>
      <c r="AQ44" s="462">
        <f>IF('Market Penetration'!U44=0,0,1000*U44*('Market Data'!$E$51+'Market Data'!$O$51+'Market Data'!$Y$51)/('Market Penetration'!U44*('Market Data'!$C$51+'Market Data'!$M$51+'Market Data'!$W$51)))</f>
        <v>102980.97061313741</v>
      </c>
    </row>
    <row r="45" spans="1:43" ht="15" x14ac:dyDescent="0.2">
      <c r="A45" s="403">
        <v>2043</v>
      </c>
      <c r="B45" s="423">
        <f t="shared" si="12"/>
        <v>0.20779517281267224</v>
      </c>
      <c r="C45" s="424">
        <f>'7&amp;8 Sleep'!$M112+'7&amp;8 Sleep'!$Z112</f>
        <v>0.370824673206192</v>
      </c>
      <c r="D45" s="424">
        <f>'7&amp;8 Sleep'!$M164+'7&amp;8 Sleep'!$Z164</f>
        <v>0.4190871693093573</v>
      </c>
      <c r="E45" s="700">
        <f>'7&amp;8 Sleep'!$M216+'7&amp;8 Sleep'!$Z216</f>
        <v>0</v>
      </c>
      <c r="F45" s="424">
        <f>'7&amp;8 Sleep'!$M269+'7&amp;8 Sleep'!$Z269</f>
        <v>2.2929846717783722E-3</v>
      </c>
      <c r="G45" s="658">
        <f>'7&amp;8 Sleep'!$M322+'7&amp;8 Sleep'!$Z322</f>
        <v>0</v>
      </c>
      <c r="H45" s="854">
        <f t="shared" si="13"/>
        <v>0.19368290714679959</v>
      </c>
      <c r="I45" s="658">
        <f>'7&amp;8 Day'!$M112+'7&amp;8 Day'!$Z112</f>
        <v>0.26244768846477828</v>
      </c>
      <c r="J45" s="658">
        <f>'7&amp;8 Day'!$M164+'7&amp;8 Day'!$Z164</f>
        <v>0.26211258749833394</v>
      </c>
      <c r="K45" s="658">
        <f>'7&amp;8 Day'!$M216+'7&amp;8 Day'!$Z216</f>
        <v>0.15478480886735368</v>
      </c>
      <c r="L45" s="658">
        <f>'7&amp;8 Day'!$M269+'7&amp;8 Day'!$Z269</f>
        <v>3.6171884556503934E-4</v>
      </c>
      <c r="M45" s="705">
        <f>'7&amp;8 Day'!$M322+'7&amp;8 Day'!$Z322</f>
        <v>0.12661028917716938</v>
      </c>
      <c r="N45" s="423">
        <f t="shared" si="14"/>
        <v>0.46592367348699293</v>
      </c>
      <c r="O45" s="424">
        <f>'7&amp;8 SU'!$M112+'7&amp;8 SU'!$Z112</f>
        <v>0.15234270161616667</v>
      </c>
      <c r="P45" s="424">
        <f>'7&amp;8 SU'!$M164+'7&amp;8 SU'!$Z164</f>
        <v>0.21704176891398425</v>
      </c>
      <c r="Q45" s="700">
        <f>'7&amp;8 SU'!$M216+'7&amp;8 SU'!$Z216</f>
        <v>0.10520862407234938</v>
      </c>
      <c r="R45" s="424">
        <f>'7&amp;8 SU'!$M269+'7&amp;8 SU'!$Z269</f>
        <v>4.3619223073937244E-2</v>
      </c>
      <c r="S45" s="658">
        <f>'7&amp;8 SU'!$M322+'7&amp;8 SU'!$Z322</f>
        <v>1.5864008836569632E-2</v>
      </c>
      <c r="T45" s="423">
        <f>B45*'Market Data'!$E$52+H45*'Market Data'!$O$52+N45*+N45*'Market Data'!$Y$52</f>
        <v>0.20521460898238394</v>
      </c>
      <c r="U45" s="425">
        <f>SUM(C45:G45)*'Market Data'!$E$52+SUM(I45:M45)*'Market Data'!$O$52+SUM(O45:S45)*+N45*'Market Data'!$Y$52</f>
        <v>0.74689027668592878</v>
      </c>
      <c r="W45" s="403">
        <v>2043</v>
      </c>
      <c r="X45" s="460">
        <f>IF('Market Penetration'!B45=0,0,1000*B45*'Market Data'!$E$51/('Market Penetration'!B45*'Market Data'!$C$51))</f>
        <v>85303.055796308341</v>
      </c>
      <c r="Y45" s="461">
        <f>IF('Market Penetration'!C45=0,0,1000*C45*'Market Data'!$E$51/('Market Penetration'!C45*'Market Data'!$C$51))</f>
        <v>127098.70326342</v>
      </c>
      <c r="Z45" s="461">
        <f>IF('Market Penetration'!D45=0,0,1000*D45*'Market Data'!$E$51/('Market Penetration'!D45*'Market Data'!$C$51))</f>
        <v>123812.55395531937</v>
      </c>
      <c r="AA45" s="695">
        <f>IF('Market Penetration'!E45=0,0,1000*E45*'Market Data'!$E$51/('Market Penetration'!E45*'Market Data'!$C$51))</f>
        <v>0</v>
      </c>
      <c r="AB45" s="461">
        <f>IF('Market Penetration'!F45=0,0,1000*F45*'Market Data'!$E$51/('Market Penetration'!F45*'Market Data'!$C$51))</f>
        <v>204472.70091786573</v>
      </c>
      <c r="AC45" s="690">
        <f>IF('Market Penetration'!G45=0,0,1000*G45*'Market Data'!$E$51/('Market Penetration'!G45*'Market Data'!$C$51))</f>
        <v>0</v>
      </c>
      <c r="AD45" s="460">
        <f>IF('Market Penetration'!H45=0,0,1000*H45*'Market Data'!$O$51/('Market Penetration'!H45*'Market Data'!$M$51))</f>
        <v>40911.379484129153</v>
      </c>
      <c r="AE45" s="461">
        <f>IF('Market Penetration'!I45=0,0,1000*I45*'Market Data'!$O$51/('Market Penetration'!I45*'Market Data'!$M$51))</f>
        <v>93503.376347182479</v>
      </c>
      <c r="AF45" s="461">
        <f>IF('Market Penetration'!J45=0,0,1000*J45*'Market Data'!$O$51/('Market Penetration'!J45*'Market Data'!$M$51))</f>
        <v>93655.213361265822</v>
      </c>
      <c r="AG45" s="461">
        <f>IF('Market Penetration'!K45=0,0,1000*K45*'Market Data'!$O$51/('Market Penetration'!K45*'Market Data'!$M$51))</f>
        <v>108907.91678370572</v>
      </c>
      <c r="AH45" s="461">
        <f>IF('Market Penetration'!L45=0,0,1000*L45*'Market Data'!$O$51/('Market Penetration'!L45*'Market Data'!$M$51))</f>
        <v>51635.890784033872</v>
      </c>
      <c r="AI45" s="462">
        <f>IF('Market Penetration'!M45=0,0,1000*M45*'Market Data'!$O$51/('Market Penetration'!M45*'Market Data'!$M$51))</f>
        <v>103643.18805526117</v>
      </c>
      <c r="AJ45" s="460">
        <f>IF('Market Penetration'!N45=0,0,1000*N45*'Market Data'!$Y$51/('Market Penetration'!N45*'Market Data'!$W$51))</f>
        <v>18629.732534589471</v>
      </c>
      <c r="AK45" s="461">
        <f>IF('Market Penetration'!O45=0,0,1000*O45*'Market Data'!$Y$51/('Market Penetration'!O45*'Market Data'!$W$51))</f>
        <v>44882.5590857961</v>
      </c>
      <c r="AL45" s="461">
        <f>IF('Market Penetration'!P45=0,0,1000*P45*'Market Data'!$Y$51/('Market Penetration'!P45*'Market Data'!$W$51))</f>
        <v>39862.508217015638</v>
      </c>
      <c r="AM45" s="695">
        <f>IF('Market Penetration'!Q45=0,0,1000*Q45*'Market Data'!$Y$51/('Market Penetration'!Q45*'Market Data'!$W$51))</f>
        <v>52922.024122833027</v>
      </c>
      <c r="AN45" s="461">
        <f>IF('Market Penetration'!R45=0,0,1000*R45*'Market Data'!$Y$51/('Market Penetration'!R45*'Market Data'!$W$51))</f>
        <v>74760.787346921585</v>
      </c>
      <c r="AO45" s="690">
        <f>IF('Market Penetration'!S45=0,0,1000*S45*'Market Data'!$Y$51/('Market Penetration'!S45*'Market Data'!$W$51))</f>
        <v>60486.171526173028</v>
      </c>
      <c r="AP45" s="460">
        <f>IF('Market Penetration'!T45=0,0,1000*T45*('Market Data'!$E$51+'Market Data'!$O$51+'Market Data'!$Y$51)/('Market Penetration'!T45*('Market Data'!$C$51+'Market Data'!$M$51+'Market Data'!$W$51)))</f>
        <v>40909.832192634494</v>
      </c>
      <c r="AQ45" s="462">
        <f>IF('Market Penetration'!U45=0,0,1000*U45*('Market Data'!$E$51+'Market Data'!$O$51+'Market Data'!$Y$51)/('Market Penetration'!U45*('Market Data'!$C$51+'Market Data'!$M$51+'Market Data'!$W$51)))</f>
        <v>102821.5087039713</v>
      </c>
    </row>
    <row r="46" spans="1:43" ht="15" x14ac:dyDescent="0.2">
      <c r="A46" s="403">
        <v>2044</v>
      </c>
      <c r="B46" s="423">
        <f t="shared" si="12"/>
        <v>0.20683104912696759</v>
      </c>
      <c r="C46" s="424">
        <f>'7&amp;8 Sleep'!$M113+'7&amp;8 Sleep'!$Z113</f>
        <v>0.36946290744104177</v>
      </c>
      <c r="D46" s="424">
        <f>'7&amp;8 Sleep'!$M165+'7&amp;8 Sleep'!$Z165</f>
        <v>0.41757398007967084</v>
      </c>
      <c r="E46" s="700">
        <f>'7&amp;8 Sleep'!$M217+'7&amp;8 Sleep'!$Z217</f>
        <v>0</v>
      </c>
      <c r="F46" s="424">
        <f>'7&amp;8 Sleep'!$M270+'7&amp;8 Sleep'!$Z270</f>
        <v>6.1320633523198574E-3</v>
      </c>
      <c r="G46" s="658">
        <f>'7&amp;8 Sleep'!$M323+'7&amp;8 Sleep'!$Z323</f>
        <v>0</v>
      </c>
      <c r="H46" s="854">
        <f t="shared" si="13"/>
        <v>0.18782434688190497</v>
      </c>
      <c r="I46" s="658">
        <f>'7&amp;8 Day'!$M113+'7&amp;8 Day'!$Z113</f>
        <v>0.24703557983844121</v>
      </c>
      <c r="J46" s="658">
        <f>'7&amp;8 Day'!$M165+'7&amp;8 Day'!$Z165</f>
        <v>0.24692488704543258</v>
      </c>
      <c r="K46" s="658">
        <f>'7&amp;8 Day'!$M217+'7&amp;8 Day'!$Z217</f>
        <v>0.17749112635267283</v>
      </c>
      <c r="L46" s="658">
        <f>'7&amp;8 Day'!$M270+'7&amp;8 Day'!$Z270</f>
        <v>3.4298100831146776E-3</v>
      </c>
      <c r="M46" s="705">
        <f>'7&amp;8 Day'!$M323+'7&amp;8 Day'!$Z323</f>
        <v>0.13729424979843377</v>
      </c>
      <c r="N46" s="423">
        <f t="shared" si="14"/>
        <v>0.46204347788782818</v>
      </c>
      <c r="O46" s="424">
        <f>'7&amp;8 SU'!$M113+'7&amp;8 SU'!$Z113</f>
        <v>0.14565865891437604</v>
      </c>
      <c r="P46" s="424">
        <f>'7&amp;8 SU'!$M165+'7&amp;8 SU'!$Z165</f>
        <v>0.2072082016713126</v>
      </c>
      <c r="Q46" s="700">
        <f>'7&amp;8 SU'!$M217+'7&amp;8 SU'!$Z217</f>
        <v>0.102397035950828</v>
      </c>
      <c r="R46" s="424">
        <f>'7&amp;8 SU'!$M270+'7&amp;8 SU'!$Z270</f>
        <v>5.555573957659582E-2</v>
      </c>
      <c r="S46" s="658">
        <f>'7&amp;8 SU'!$M323+'7&amp;8 SU'!$Z323</f>
        <v>2.7136885999059401E-2</v>
      </c>
      <c r="T46" s="423">
        <f>B46*'Market Data'!$E$52+H46*'Market Data'!$O$52+N46*+N46*'Market Data'!$Y$52</f>
        <v>0.20283011512362642</v>
      </c>
      <c r="U46" s="425">
        <f>SUM(C46:G46)*'Market Data'!$E$52+SUM(I46:M46)*'Market Data'!$O$52+SUM(O46:S46)*+N46*'Market Data'!$Y$52</f>
        <v>0.74892680078338902</v>
      </c>
      <c r="W46" s="403">
        <v>2044</v>
      </c>
      <c r="X46" s="460">
        <f>IF('Market Penetration'!B46=0,0,1000*B46*'Market Data'!$E$51/('Market Penetration'!B46*'Market Data'!$C$51))</f>
        <v>85604.612452433648</v>
      </c>
      <c r="Y46" s="461">
        <f>IF('Market Penetration'!C46=0,0,1000*C46*'Market Data'!$E$51/('Market Penetration'!C46*'Market Data'!$C$51))</f>
        <v>126692.34367467918</v>
      </c>
      <c r="Z46" s="461">
        <f>IF('Market Penetration'!D46=0,0,1000*D46*'Market Data'!$E$51/('Market Penetration'!D46*'Market Data'!$C$51))</f>
        <v>123462.32934398304</v>
      </c>
      <c r="AA46" s="695">
        <f>IF('Market Penetration'!E46=0,0,1000*E46*'Market Data'!$E$51/('Market Penetration'!E46*'Market Data'!$C$51))</f>
        <v>0</v>
      </c>
      <c r="AB46" s="461">
        <f>IF('Market Penetration'!F46=0,0,1000*F46*'Market Data'!$E$51/('Market Penetration'!F46*'Market Data'!$C$51))</f>
        <v>174688.95433774038</v>
      </c>
      <c r="AC46" s="690">
        <f>IF('Market Penetration'!G46=0,0,1000*G46*'Market Data'!$E$51/('Market Penetration'!G46*'Market Data'!$C$51))</f>
        <v>0</v>
      </c>
      <c r="AD46" s="460">
        <f>IF('Market Penetration'!H46=0,0,1000*H46*'Market Data'!$O$51/('Market Penetration'!H46*'Market Data'!$M$51))</f>
        <v>40400.45371307763</v>
      </c>
      <c r="AE46" s="461">
        <f>IF('Market Penetration'!I46=0,0,1000*I46*'Market Data'!$O$51/('Market Penetration'!I46*'Market Data'!$M$51))</f>
        <v>95871.477072066031</v>
      </c>
      <c r="AF46" s="461">
        <f>IF('Market Penetration'!J46=0,0,1000*J46*'Market Data'!$O$51/('Market Penetration'!J46*'Market Data'!$M$51))</f>
        <v>95871.477072066031</v>
      </c>
      <c r="AG46" s="461">
        <f>IF('Market Penetration'!K46=0,0,1000*K46*'Market Data'!$O$51/('Market Penetration'!K46*'Market Data'!$M$51))</f>
        <v>102468.47523661231</v>
      </c>
      <c r="AH46" s="461">
        <f>IF('Market Penetration'!L46=0,0,1000*L46*'Market Data'!$O$51/('Market Penetration'!L46*'Market Data'!$M$51))</f>
        <v>50934.388622790626</v>
      </c>
      <c r="AI46" s="462">
        <f>IF('Market Penetration'!M46=0,0,1000*M46*'Market Data'!$O$51/('Market Penetration'!M46*'Market Data'!$M$51))</f>
        <v>98865.228761649036</v>
      </c>
      <c r="AJ46" s="460">
        <f>IF('Market Penetration'!N46=0,0,1000*N46*'Market Data'!$Y$51/('Market Penetration'!N46*'Market Data'!$W$51))</f>
        <v>18530.749272813962</v>
      </c>
      <c r="AK46" s="461">
        <f>IF('Market Penetration'!O46=0,0,1000*O46*'Market Data'!$Y$51/('Market Penetration'!O46*'Market Data'!$W$51))</f>
        <v>45068.537238357807</v>
      </c>
      <c r="AL46" s="461">
        <f>IF('Market Penetration'!P46=0,0,1000*P46*'Market Data'!$Y$51/('Market Penetration'!P46*'Market Data'!$W$51))</f>
        <v>39964.796036663014</v>
      </c>
      <c r="AM46" s="695">
        <f>IF('Market Penetration'!Q46=0,0,1000*Q46*'Market Data'!$Y$51/('Market Penetration'!Q46*'Market Data'!$W$51))</f>
        <v>52227.192748939073</v>
      </c>
      <c r="AN46" s="461">
        <f>IF('Market Penetration'!R46=0,0,1000*R46*'Market Data'!$Y$51/('Market Penetration'!R46*'Market Data'!$W$51))</f>
        <v>63635.926537209205</v>
      </c>
      <c r="AO46" s="690">
        <f>IF('Market Penetration'!S46=0,0,1000*S46*'Market Data'!$Y$51/('Market Penetration'!S46*'Market Data'!$W$51))</f>
        <v>54470.527441449995</v>
      </c>
      <c r="AP46" s="460">
        <f>IF('Market Penetration'!T46=0,0,1000*T46*('Market Data'!$E$51+'Market Data'!$O$51+'Market Data'!$Y$51)/('Market Penetration'!T46*('Market Data'!$C$51+'Market Data'!$M$51+'Market Data'!$W$51)))</f>
        <v>40764.87836701949</v>
      </c>
      <c r="AQ46" s="462">
        <f>IF('Market Penetration'!U46=0,0,1000*U46*('Market Data'!$E$51+'Market Data'!$O$51+'Market Data'!$Y$51)/('Market Penetration'!U46*('Market Data'!$C$51+'Market Data'!$M$51+'Market Data'!$W$51)))</f>
        <v>102528.01407334222</v>
      </c>
    </row>
    <row r="47" spans="1:43" ht="15" x14ac:dyDescent="0.2">
      <c r="A47" s="402">
        <v>2045</v>
      </c>
      <c r="B47" s="426">
        <f t="shared" si="12"/>
        <v>0.20735978516350495</v>
      </c>
      <c r="C47" s="427">
        <f>'7&amp;8 Sleep'!$M114+'7&amp;8 Sleep'!$Z114</f>
        <v>0.36802435587783366</v>
      </c>
      <c r="D47" s="427">
        <f>'7&amp;8 Sleep'!$M166+'7&amp;8 Sleep'!$Z166</f>
        <v>0.41192975162800699</v>
      </c>
      <c r="E47" s="701">
        <f>'7&amp;8 Sleep'!$M218+'7&amp;8 Sleep'!$Z218</f>
        <v>5.0713692537220211E-5</v>
      </c>
      <c r="F47" s="427">
        <f>'7&amp;8 Sleep'!$M271+'7&amp;8 Sleep'!$Z271</f>
        <v>1.2635393638117189E-2</v>
      </c>
      <c r="G47" s="659">
        <f>'7&amp;8 Sleep'!$M324+'7&amp;8 Sleep'!$Z324</f>
        <v>0</v>
      </c>
      <c r="H47" s="855">
        <f t="shared" si="13"/>
        <v>0.14403341310098727</v>
      </c>
      <c r="I47" s="659">
        <f>'7&amp;8 Day'!$M114+'7&amp;8 Day'!$Z114</f>
        <v>0.24593830752129683</v>
      </c>
      <c r="J47" s="659">
        <f>'7&amp;8 Day'!$M166+'7&amp;8 Day'!$Z166</f>
        <v>0.24566849084050421</v>
      </c>
      <c r="K47" s="659">
        <f>'7&amp;8 Day'!$M218+'7&amp;8 Day'!$Z218</f>
        <v>0.20080466864404062</v>
      </c>
      <c r="L47" s="659">
        <f>'7&amp;8 Day'!$M271+'7&amp;8 Day'!$Z271</f>
        <v>9.3997072484169938E-3</v>
      </c>
      <c r="M47" s="706">
        <f>'7&amp;8 Day'!$M324+'7&amp;8 Day'!$Z324</f>
        <v>0.15415541264475408</v>
      </c>
      <c r="N47" s="426">
        <f t="shared" si="14"/>
        <v>0.4489447588766784</v>
      </c>
      <c r="O47" s="427">
        <f>'7&amp;8 SU'!$M114+'7&amp;8 SU'!$Z114</f>
        <v>0.13939270007318544</v>
      </c>
      <c r="P47" s="427">
        <f>'7&amp;8 SU'!$M166+'7&amp;8 SU'!$Z166</f>
        <v>0.20144444747393572</v>
      </c>
      <c r="Q47" s="701">
        <f>'7&amp;8 SU'!$M218+'7&amp;8 SU'!$Z218</f>
        <v>9.7662954498559607E-2</v>
      </c>
      <c r="R47" s="427">
        <f>'7&amp;8 SU'!$M271+'7&amp;8 SU'!$Z271</f>
        <v>7.0589276963066702E-2</v>
      </c>
      <c r="S47" s="659">
        <f>'7&amp;8 SU'!$M324+'7&amp;8 SU'!$Z324</f>
        <v>4.196586211457419E-2</v>
      </c>
      <c r="T47" s="426">
        <f>B47*'Market Data'!$E$52+H47*'Market Data'!$O$52+N47*+N47*'Market Data'!$Y$52</f>
        <v>0.19152073348449961</v>
      </c>
      <c r="U47" s="428">
        <f>SUM(C47:G47)*'Market Data'!$E$52+SUM(I47:M47)*'Market Data'!$O$52+SUM(O47:S47)*+N47*'Market Data'!$Y$52</f>
        <v>0.75906151016408829</v>
      </c>
      <c r="W47" s="402">
        <v>2045</v>
      </c>
      <c r="X47" s="463">
        <f>IF('Market Penetration'!B47=0,0,1000*B47*'Market Data'!$E$51/('Market Penetration'!B47*'Market Data'!$C$51))</f>
        <v>85689.200379274043</v>
      </c>
      <c r="Y47" s="464">
        <f>IF('Market Penetration'!C47=0,0,1000*C47*'Market Data'!$E$51/('Market Penetration'!C47*'Market Data'!$C$51))</f>
        <v>126494.63766414656</v>
      </c>
      <c r="Z47" s="464">
        <f>IF('Market Penetration'!D47=0,0,1000*D47*'Market Data'!$E$51/('Market Penetration'!D47*'Market Data'!$C$51))</f>
        <v>123345.97877718126</v>
      </c>
      <c r="AA47" s="696">
        <f>IF('Market Penetration'!E47=0,0,1000*E47*'Market Data'!$E$51/('Market Penetration'!E47*'Market Data'!$C$51))</f>
        <v>127783.70047955409</v>
      </c>
      <c r="AB47" s="464">
        <f>IF('Market Penetration'!F47=0,0,1000*F47*'Market Data'!$E$51/('Market Penetration'!F47*'Market Data'!$C$51))</f>
        <v>157344.52028016752</v>
      </c>
      <c r="AC47" s="691">
        <f>IF('Market Penetration'!G47=0,0,1000*G47*'Market Data'!$E$51/('Market Penetration'!G47*'Market Data'!$C$51))</f>
        <v>0</v>
      </c>
      <c r="AD47" s="463">
        <f>IF('Market Penetration'!H47=0,0,1000*H47*'Market Data'!$O$51/('Market Penetration'!H47*'Market Data'!$M$51))</f>
        <v>37087.309190160806</v>
      </c>
      <c r="AE47" s="464">
        <f>IF('Market Penetration'!I47=0,0,1000*I47*'Market Data'!$O$51/('Market Penetration'!I47*'Market Data'!$M$51))</f>
        <v>95553.360783725642</v>
      </c>
      <c r="AF47" s="464">
        <f>IF('Market Penetration'!J47=0,0,1000*J47*'Market Data'!$O$51/('Market Penetration'!J47*'Market Data'!$M$51))</f>
        <v>95678.840371013066</v>
      </c>
      <c r="AG47" s="464">
        <f>IF('Market Penetration'!K47=0,0,1000*K47*'Market Data'!$O$51/('Market Penetration'!K47*'Market Data'!$M$51))</f>
        <v>96535.958167382414</v>
      </c>
      <c r="AH47" s="464">
        <f>IF('Market Penetration'!L47=0,0,1000*L47*'Market Data'!$O$51/('Market Penetration'!L47*'Market Data'!$M$51))</f>
        <v>49122.862993218441</v>
      </c>
      <c r="AI47" s="465">
        <f>IF('Market Penetration'!M47=0,0,1000*M47*'Market Data'!$O$51/('Market Penetration'!M47*'Market Data'!$M$51))</f>
        <v>91053.275897315107</v>
      </c>
      <c r="AJ47" s="463">
        <f>IF('Market Penetration'!N47=0,0,1000*N47*'Market Data'!$Y$51/('Market Penetration'!N47*'Market Data'!$W$51))</f>
        <v>18337.867322920345</v>
      </c>
      <c r="AK47" s="464">
        <f>IF('Market Penetration'!O47=0,0,1000*O47*'Market Data'!$Y$51/('Market Penetration'!O47*'Market Data'!$W$51))</f>
        <v>45177.665830809012</v>
      </c>
      <c r="AL47" s="464">
        <f>IF('Market Penetration'!P47=0,0,1000*P47*'Market Data'!$Y$51/('Market Penetration'!P47*'Market Data'!$W$51))</f>
        <v>39618.31330049791</v>
      </c>
      <c r="AM47" s="696">
        <f>IF('Market Penetration'!Q47=0,0,1000*Q47*'Market Data'!$Y$51/('Market Penetration'!Q47*'Market Data'!$W$51))</f>
        <v>52370.560441074347</v>
      </c>
      <c r="AN47" s="464">
        <f>IF('Market Penetration'!R47=0,0,1000*R47*'Market Data'!$Y$51/('Market Penetration'!R47*'Market Data'!$W$51))</f>
        <v>54543.512786661493</v>
      </c>
      <c r="AO47" s="691">
        <f>IF('Market Penetration'!S47=0,0,1000*S47*'Market Data'!$Y$51/('Market Penetration'!S47*'Market Data'!$W$51))</f>
        <v>48154.760122340413</v>
      </c>
      <c r="AP47" s="463">
        <f>IF('Market Penetration'!T47=0,0,1000*T47*('Market Data'!$E$51+'Market Data'!$O$51+'Market Data'!$Y$51)/('Market Penetration'!T47*('Market Data'!$C$51+'Market Data'!$M$51+'Market Data'!$W$51)))</f>
        <v>40299.378309918393</v>
      </c>
      <c r="AQ47" s="465">
        <f>IF('Market Penetration'!U47=0,0,1000*U47*('Market Data'!$E$51+'Market Data'!$O$51+'Market Data'!$Y$51)/('Market Penetration'!U47*('Market Data'!$C$51+'Market Data'!$M$51+'Market Data'!$W$51)))</f>
        <v>100834.88146225672</v>
      </c>
    </row>
    <row r="48" spans="1:43" ht="15" x14ac:dyDescent="0.2">
      <c r="A48" s="403">
        <v>2046</v>
      </c>
      <c r="B48" s="430">
        <f t="shared" si="12"/>
        <v>0.20934320733122636</v>
      </c>
      <c r="C48" s="431">
        <f>'7&amp;8 Sleep'!$M115+'7&amp;8 Sleep'!$Z115</f>
        <v>0.36283695714761266</v>
      </c>
      <c r="D48" s="431">
        <f>'7&amp;8 Sleep'!$M167+'7&amp;8 Sleep'!$Z167</f>
        <v>0.40734023449632961</v>
      </c>
      <c r="E48" s="702">
        <f>'7&amp;8 Sleep'!$M219+'7&amp;8 Sleep'!$Z219</f>
        <v>1.5211894680285001E-3</v>
      </c>
      <c r="F48" s="431">
        <f>'7&amp;8 Sleep'!$M272+'7&amp;8 Sleep'!$Z272</f>
        <v>1.8958411556802866E-2</v>
      </c>
      <c r="G48" s="660">
        <f>'7&amp;8 Sleep'!$M325+'7&amp;8 Sleep'!$Z325</f>
        <v>0</v>
      </c>
      <c r="H48" s="856">
        <f t="shared" si="13"/>
        <v>0.12576592666593722</v>
      </c>
      <c r="I48" s="660">
        <f>'7&amp;8 Day'!$M115+'7&amp;8 Day'!$Z115</f>
        <v>0.24431001026217458</v>
      </c>
      <c r="J48" s="660">
        <f>'7&amp;8 Day'!$M167+'7&amp;8 Day'!$Z167</f>
        <v>0.24344804758733057</v>
      </c>
      <c r="K48" s="660">
        <f>'7&amp;8 Day'!$M219+'7&amp;8 Day'!$Z219</f>
        <v>0.21228940890706474</v>
      </c>
      <c r="L48" s="660">
        <f>'7&amp;8 Day'!$M272+'7&amp;8 Day'!$Z272</f>
        <v>1.3425936573507557E-2</v>
      </c>
      <c r="M48" s="707">
        <f>'7&amp;8 Day'!$M325+'7&amp;8 Day'!$Z325</f>
        <v>0.16076067000398528</v>
      </c>
      <c r="N48" s="430">
        <f t="shared" si="14"/>
        <v>0.44894475815870982</v>
      </c>
      <c r="O48" s="431">
        <f>'7&amp;8 SU'!$M115+'7&amp;8 SU'!$Z115</f>
        <v>0.13370346499433206</v>
      </c>
      <c r="P48" s="431">
        <f>'7&amp;8 SU'!$M167+'7&amp;8 SU'!$Z167</f>
        <v>0.19178001504533335</v>
      </c>
      <c r="Q48" s="702">
        <f>'7&amp;8 SU'!$M219+'7&amp;8 SU'!$Z219</f>
        <v>9.4402985022815467E-2</v>
      </c>
      <c r="R48" s="431">
        <f>'7&amp;8 SU'!$M272+'7&amp;8 SU'!$Z272</f>
        <v>7.9921335363178747E-2</v>
      </c>
      <c r="S48" s="660">
        <f>'7&amp;8 SU'!$M325+'7&amp;8 SU'!$Z325</f>
        <v>5.1247441415630507E-2</v>
      </c>
      <c r="T48" s="433">
        <f>B48*'Market Data'!$E$52+H48*'Market Data'!$O$52+N48*+N48*'Market Data'!$Y$52</f>
        <v>0.18842774568368106</v>
      </c>
      <c r="U48" s="434">
        <f>SUM(C48:G48)*'Market Data'!$E$52+SUM(I48:M48)*'Market Data'!$O$52+SUM(O48:S48)*+N48*'Market Data'!$Y$52</f>
        <v>0.76215449790052059</v>
      </c>
      <c r="W48" s="403">
        <v>2046</v>
      </c>
      <c r="X48" s="466">
        <f>IF('Market Penetration'!B48=0,0,1000*B48*'Market Data'!$E$51/('Market Penetration'!B48*'Market Data'!$C$51))</f>
        <v>86183.27444308385</v>
      </c>
      <c r="Y48" s="467">
        <f>IF('Market Penetration'!C48=0,0,1000*C48*'Market Data'!$E$51/('Market Penetration'!C48*'Market Data'!$C$51))</f>
        <v>126393.60497719972</v>
      </c>
      <c r="Z48" s="467">
        <f>IF('Market Penetration'!D48=0,0,1000*D48*'Market Data'!$E$51/('Market Penetration'!D48*'Market Data'!$C$51))</f>
        <v>123032.20086275699</v>
      </c>
      <c r="AA48" s="697">
        <f>IF('Market Penetration'!E48=0,0,1000*E48*'Market Data'!$E$51/('Market Penetration'!E48*'Market Data'!$C$51))</f>
        <v>124542.28751296097</v>
      </c>
      <c r="AB48" s="467">
        <f>IF('Market Penetration'!F48=0,0,1000*F48*'Market Data'!$E$51/('Market Penetration'!F48*'Market Data'!$C$51))</f>
        <v>149458.17340786272</v>
      </c>
      <c r="AC48" s="692">
        <f>IF('Market Penetration'!G48=0,0,1000*G48*'Market Data'!$E$51/('Market Penetration'!G48*'Market Data'!$C$51))</f>
        <v>0</v>
      </c>
      <c r="AD48" s="466">
        <f>IF('Market Penetration'!H48=0,0,1000*H48*'Market Data'!$O$51/('Market Penetration'!H48*'Market Data'!$M$51))</f>
        <v>35971.06945227574</v>
      </c>
      <c r="AE48" s="467">
        <f>IF('Market Penetration'!I48=0,0,1000*I48*'Market Data'!$O$51/('Market Penetration'!I48*'Market Data'!$M$51))</f>
        <v>95392.865144277195</v>
      </c>
      <c r="AF48" s="467">
        <f>IF('Market Penetration'!J48=0,0,1000*J48*'Market Data'!$O$51/('Market Penetration'!J48*'Market Data'!$M$51))</f>
        <v>95740.811356337479</v>
      </c>
      <c r="AG48" s="467">
        <f>IF('Market Penetration'!K48=0,0,1000*K48*'Market Data'!$O$51/('Market Penetration'!K48*'Market Data'!$M$51))</f>
        <v>92955.524850960559</v>
      </c>
      <c r="AH48" s="467">
        <f>IF('Market Penetration'!L48=0,0,1000*L48*'Market Data'!$O$51/('Market Penetration'!L48*'Market Data'!$M$51))</f>
        <v>46838.232462249282</v>
      </c>
      <c r="AI48" s="861">
        <f>IF('Market Penetration'!M48=0,0,1000*M48*'Market Data'!$O$51/('Market Penetration'!M48*'Market Data'!$M$51))</f>
        <v>88379.811064583686</v>
      </c>
      <c r="AJ48" s="466">
        <f>IF('Market Penetration'!N48=0,0,1000*N48*'Market Data'!$Y$51/('Market Penetration'!N48*'Market Data'!$W$51))</f>
        <v>18337.867305500571</v>
      </c>
      <c r="AK48" s="467">
        <f>IF('Market Penetration'!O48=0,0,1000*O48*'Market Data'!$Y$51/('Market Penetration'!O48*'Market Data'!$W$51))</f>
        <v>45755.810826191024</v>
      </c>
      <c r="AL48" s="467">
        <f>IF('Market Penetration'!P48=0,0,1000*P48*'Market Data'!$Y$51/('Market Penetration'!P48*'Market Data'!$W$51))</f>
        <v>40043.939301306164</v>
      </c>
      <c r="AM48" s="697">
        <f>IF('Market Penetration'!Q48=0,0,1000*Q48*'Market Data'!$Y$51/('Market Penetration'!Q48*'Market Data'!$W$51))</f>
        <v>53061.886280563354</v>
      </c>
      <c r="AN48" s="467">
        <f>IF('Market Penetration'!R48=0,0,1000*R48*'Market Data'!$Y$51/('Market Penetration'!R48*'Market Data'!$W$51))</f>
        <v>50973.631027370255</v>
      </c>
      <c r="AO48" s="692">
        <f>IF('Market Penetration'!S48=0,0,1000*S48*'Market Data'!$Y$51/('Market Penetration'!S48*'Market Data'!$W$51))</f>
        <v>44866.731753431173</v>
      </c>
      <c r="AP48" s="468">
        <f>IF('Market Penetration'!T48=0,0,1000*T48*('Market Data'!$E$51+'Market Data'!$O$51+'Market Data'!$Y$51)/('Market Penetration'!T48*('Market Data'!$C$51+'Market Data'!$M$51+'Market Data'!$W$51)))</f>
        <v>40392.938051040379</v>
      </c>
      <c r="AQ48" s="469">
        <f>IF('Market Penetration'!U48=0,0,1000*U48*('Market Data'!$E$51+'Market Data'!$O$51+'Market Data'!$Y$51)/('Market Penetration'!U48*('Market Data'!$C$51+'Market Data'!$M$51+'Market Data'!$W$51)))</f>
        <v>100081.38182452929</v>
      </c>
    </row>
    <row r="49" spans="1:43" ht="15" x14ac:dyDescent="0.2">
      <c r="A49" s="403">
        <v>2047</v>
      </c>
      <c r="B49" s="423">
        <f t="shared" si="12"/>
        <v>0.19943766823555531</v>
      </c>
      <c r="C49" s="424">
        <f>'7&amp;8 Sleep'!$M116+'7&amp;8 Sleep'!$Z116</f>
        <v>0.35691139316353138</v>
      </c>
      <c r="D49" s="424">
        <f>'7&amp;8 Sleep'!$M168+'7&amp;8 Sleep'!$Z168</f>
        <v>0.40636024101261392</v>
      </c>
      <c r="E49" s="700">
        <f>'7&amp;8 Sleep'!$M220+'7&amp;8 Sleep'!$Z220</f>
        <v>9.3260162876312794E-3</v>
      </c>
      <c r="F49" s="424">
        <f>'7&amp;8 Sleep'!$M273+'7&amp;8 Sleep'!$Z273</f>
        <v>2.7964681300668086E-2</v>
      </c>
      <c r="G49" s="658">
        <f>'7&amp;8 Sleep'!$M326+'7&amp;8 Sleep'!$Z326</f>
        <v>0</v>
      </c>
      <c r="H49" s="854">
        <f t="shared" si="13"/>
        <v>0.10686041252995948</v>
      </c>
      <c r="I49" s="658">
        <f>'7&amp;8 Day'!$M116+'7&amp;8 Day'!$Z116</f>
        <v>0.2432661612581003</v>
      </c>
      <c r="J49" s="658">
        <f>'7&amp;8 Day'!$M168+'7&amp;8 Day'!$Z168</f>
        <v>0.24295754760506205</v>
      </c>
      <c r="K49" s="658">
        <f>'7&amp;8 Day'!$M220+'7&amp;8 Day'!$Z220</f>
        <v>0.22112298392657986</v>
      </c>
      <c r="L49" s="658">
        <f>'7&amp;8 Day'!$M273+'7&amp;8 Day'!$Z273</f>
        <v>1.7772253093433978E-2</v>
      </c>
      <c r="M49" s="705">
        <f>'7&amp;8 Day'!$M326+'7&amp;8 Day'!$Z326</f>
        <v>0.16802064158686425</v>
      </c>
      <c r="N49" s="423">
        <f t="shared" si="14"/>
        <v>0.4488940403571644</v>
      </c>
      <c r="O49" s="424">
        <f>'7&amp;8 SU'!$M116+'7&amp;8 SU'!$Z116</f>
        <v>0.1312768732798229</v>
      </c>
      <c r="P49" s="424">
        <f>'7&amp;8 SU'!$M168+'7&amp;8 SU'!$Z168</f>
        <v>0.1819416877031087</v>
      </c>
      <c r="Q49" s="700">
        <f>'7&amp;8 SU'!$M220+'7&amp;8 SU'!$Z220</f>
        <v>9.3418829699287623E-2</v>
      </c>
      <c r="R49" s="424">
        <f>'7&amp;8 SU'!$M273+'7&amp;8 SU'!$Z273</f>
        <v>8.491956208041633E-2</v>
      </c>
      <c r="S49" s="658">
        <f>'7&amp;8 SU'!$M326+'7&amp;8 SU'!$Z326</f>
        <v>5.9549006880200074E-2</v>
      </c>
      <c r="T49" s="423">
        <f>B49*'Market Data'!$E$52+H49*'Market Data'!$O$52+N49*+N49*'Market Data'!$Y$52</f>
        <v>0.17722941085751828</v>
      </c>
      <c r="U49" s="425">
        <f>SUM(C49:G49)*'Market Data'!$E$52+SUM(I49:M49)*'Market Data'!$O$52+SUM(O49:S49)*+N49*'Market Data'!$Y$52</f>
        <v>0.77334828443501979</v>
      </c>
      <c r="W49" s="403">
        <v>2047</v>
      </c>
      <c r="X49" s="460">
        <f>IF('Market Penetration'!B49=0,0,1000*B49*'Market Data'!$E$51/('Market Penetration'!B49*'Market Data'!$C$51))</f>
        <v>85234.901115402507</v>
      </c>
      <c r="Y49" s="461">
        <f>IF('Market Penetration'!C49=0,0,1000*C49*'Market Data'!$E$51/('Market Penetration'!C49*'Market Data'!$C$51))</f>
        <v>126230.64196805665</v>
      </c>
      <c r="Z49" s="461">
        <f>IF('Market Penetration'!D49=0,0,1000*D49*'Market Data'!$E$51/('Market Penetration'!D49*'Market Data'!$C$51))</f>
        <v>122735.59066551524</v>
      </c>
      <c r="AA49" s="695">
        <f>IF('Market Penetration'!E49=0,0,1000*E49*'Market Data'!$E$51/('Market Penetration'!E49*'Market Data'!$C$51))</f>
        <v>122417.20596041664</v>
      </c>
      <c r="AB49" s="461">
        <f>IF('Market Penetration'!F49=0,0,1000*F49*'Market Data'!$E$51/('Market Penetration'!F49*'Market Data'!$C$51))</f>
        <v>143197.91424553355</v>
      </c>
      <c r="AC49" s="690">
        <f>IF('Market Penetration'!G49=0,0,1000*G49*'Market Data'!$E$51/('Market Penetration'!G49*'Market Data'!$C$51))</f>
        <v>0</v>
      </c>
      <c r="AD49" s="460">
        <f>IF('Market Penetration'!H49=0,0,1000*H49*'Market Data'!$O$51/('Market Penetration'!H49*'Market Data'!$M$51))</f>
        <v>34613.711939070701</v>
      </c>
      <c r="AE49" s="461">
        <f>IF('Market Penetration'!I49=0,0,1000*I49*'Market Data'!$O$51/('Market Penetration'!I49*'Market Data'!$M$51))</f>
        <v>95182.176226686526</v>
      </c>
      <c r="AF49" s="461">
        <f>IF('Market Penetration'!J49=0,0,1000*J49*'Market Data'!$O$51/('Market Penetration'!J49*'Market Data'!$M$51))</f>
        <v>95352.15130419757</v>
      </c>
      <c r="AG49" s="461">
        <f>IF('Market Penetration'!K49=0,0,1000*K49*'Market Data'!$O$51/('Market Penetration'!K49*'Market Data'!$M$51))</f>
        <v>90732.698659565009</v>
      </c>
      <c r="AH49" s="461">
        <f>IF('Market Penetration'!L49=0,0,1000*L49*'Market Data'!$O$51/('Market Penetration'!L49*'Market Data'!$M$51))</f>
        <v>45304.091848071235</v>
      </c>
      <c r="AI49" s="462">
        <f>IF('Market Penetration'!M49=0,0,1000*M49*'Market Data'!$O$51/('Market Penetration'!M49*'Market Data'!$M$51))</f>
        <v>85325.113977275178</v>
      </c>
      <c r="AJ49" s="460">
        <f>IF('Market Penetration'!N49=0,0,1000*N49*'Market Data'!$Y$51/('Market Penetration'!N49*'Market Data'!$W$51))</f>
        <v>18339.004771712702</v>
      </c>
      <c r="AK49" s="461">
        <f>IF('Market Penetration'!O49=0,0,1000*O49*'Market Data'!$Y$51/('Market Penetration'!O49*'Market Data'!$W$51))</f>
        <v>45956.030794894476</v>
      </c>
      <c r="AL49" s="461">
        <f>IF('Market Penetration'!P49=0,0,1000*P49*'Market Data'!$Y$51/('Market Penetration'!P49*'Market Data'!$W$51))</f>
        <v>40566.119393159082</v>
      </c>
      <c r="AM49" s="695">
        <f>IF('Market Penetration'!Q49=0,0,1000*Q49*'Market Data'!$Y$51/('Market Penetration'!Q49*'Market Data'!$W$51))</f>
        <v>53158.500922201849</v>
      </c>
      <c r="AN49" s="461">
        <f>IF('Market Penetration'!R49=0,0,1000*R49*'Market Data'!$Y$51/('Market Penetration'!R49*'Market Data'!$W$51))</f>
        <v>49559.100498793188</v>
      </c>
      <c r="AO49" s="690">
        <f>IF('Market Penetration'!S49=0,0,1000*S49*'Market Data'!$Y$51/('Market Penetration'!S49*'Market Data'!$W$51))</f>
        <v>42768.753372338186</v>
      </c>
      <c r="AP49" s="460">
        <f>IF('Market Penetration'!T49=0,0,1000*T49*('Market Data'!$E$51+'Market Data'!$O$51+'Market Data'!$Y$51)/('Market Penetration'!T49*('Market Data'!$C$51+'Market Data'!$M$51+'Market Data'!$W$51)))</f>
        <v>39332.609079799266</v>
      </c>
      <c r="AQ49" s="462">
        <f>IF('Market Penetration'!U49=0,0,1000*U49*('Market Data'!$E$51+'Market Data'!$O$51+'Market Data'!$Y$51)/('Market Penetration'!U49*('Market Data'!$C$51+'Market Data'!$M$51+'Market Data'!$W$51)))</f>
        <v>99474.966125544684</v>
      </c>
    </row>
    <row r="50" spans="1:43" ht="15" x14ac:dyDescent="0.2">
      <c r="A50" s="403">
        <v>2048</v>
      </c>
      <c r="B50" s="423">
        <f t="shared" si="12"/>
        <v>0.19844520144736466</v>
      </c>
      <c r="C50" s="424">
        <f>'7&amp;8 Sleep'!$M117+'7&amp;8 Sleep'!$Z117</f>
        <v>0.34544354797661919</v>
      </c>
      <c r="D50" s="424">
        <f>'7&amp;8 Sleep'!$M169+'7&amp;8 Sleep'!$Z169</f>
        <v>0.39199108422306833</v>
      </c>
      <c r="E50" s="700">
        <f>'7&amp;8 Sleep'!$M221+'7&amp;8 Sleep'!$Z221</f>
        <v>2.6929460502001738E-2</v>
      </c>
      <c r="F50" s="424">
        <f>'7&amp;8 Sleep'!$M274+'7&amp;8 Sleep'!$Z274</f>
        <v>3.7190705850946054E-2</v>
      </c>
      <c r="G50" s="658">
        <f>'7&amp;8 Sleep'!$M327+'7&amp;8 Sleep'!$Z327</f>
        <v>0</v>
      </c>
      <c r="H50" s="854">
        <f t="shared" si="13"/>
        <v>9.2994355121360006E-2</v>
      </c>
      <c r="I50" s="658">
        <f>'7&amp;8 Day'!$M117+'7&amp;8 Day'!$Z117</f>
        <v>0.24248490494261427</v>
      </c>
      <c r="J50" s="658">
        <f>'7&amp;8 Day'!$M169+'7&amp;8 Day'!$Z169</f>
        <v>0.24237625123609935</v>
      </c>
      <c r="K50" s="658">
        <f>'7&amp;8 Day'!$M221+'7&amp;8 Day'!$Z221</f>
        <v>0.22777082699632467</v>
      </c>
      <c r="L50" s="658">
        <f>'7&amp;8 Day'!$M274+'7&amp;8 Day'!$Z274</f>
        <v>2.0628586740624517E-2</v>
      </c>
      <c r="M50" s="705">
        <f>'7&amp;8 Day'!$M327+'7&amp;8 Day'!$Z327</f>
        <v>0.17374507496297723</v>
      </c>
      <c r="N50" s="423">
        <f t="shared" si="14"/>
        <v>0.44886608606640932</v>
      </c>
      <c r="O50" s="424">
        <f>'7&amp;8 SU'!$M117+'7&amp;8 SU'!$Z117</f>
        <v>0.12924980384480433</v>
      </c>
      <c r="P50" s="424">
        <f>'7&amp;8 SU'!$M169+'7&amp;8 SU'!$Z169</f>
        <v>0.17644555344444074</v>
      </c>
      <c r="Q50" s="700">
        <f>'7&amp;8 SU'!$M221+'7&amp;8 SU'!$Z221</f>
        <v>9.2163023218905016E-2</v>
      </c>
      <c r="R50" s="424">
        <f>'7&amp;8 SU'!$M274+'7&amp;8 SU'!$Z274</f>
        <v>8.8282216054042129E-2</v>
      </c>
      <c r="S50" s="658">
        <f>'7&amp;8 SU'!$M327+'7&amp;8 SU'!$Z327</f>
        <v>6.4993317371398476E-2</v>
      </c>
      <c r="T50" s="423">
        <f>B50*'Market Data'!$E$52+H50*'Market Data'!$O$52+N50*+N50*'Market Data'!$Y$52</f>
        <v>0.17320967329527792</v>
      </c>
      <c r="U50" s="425">
        <f>SUM(C50:G50)*'Market Data'!$E$52+SUM(I50:M50)*'Market Data'!$O$52+SUM(O50:S50)*+N50*'Market Data'!$Y$52</f>
        <v>0.77736551510098828</v>
      </c>
      <c r="W50" s="403">
        <v>2048</v>
      </c>
      <c r="X50" s="460">
        <f>IF('Market Penetration'!B50=0,0,1000*B50*'Market Data'!$E$51/('Market Penetration'!B50*'Market Data'!$C$51))</f>
        <v>85017.904820595824</v>
      </c>
      <c r="Y50" s="461">
        <f>IF('Market Penetration'!C50=0,0,1000*C50*'Market Data'!$E$51/('Market Penetration'!C50*'Market Data'!$C$51))</f>
        <v>126217.49293941789</v>
      </c>
      <c r="Z50" s="461">
        <f>IF('Market Penetration'!D50=0,0,1000*D50*'Market Data'!$E$51/('Market Penetration'!D50*'Market Data'!$C$51))</f>
        <v>123034.88064792899</v>
      </c>
      <c r="AA50" s="695">
        <f>IF('Market Penetration'!E50=0,0,1000*E50*'Market Data'!$E$51/('Market Penetration'!E50*'Market Data'!$C$51))</f>
        <v>120131.56790264607</v>
      </c>
      <c r="AB50" s="461">
        <f>IF('Market Penetration'!F50=0,0,1000*F50*'Market Data'!$E$51/('Market Penetration'!F50*'Market Data'!$C$51))</f>
        <v>138558.98140113798</v>
      </c>
      <c r="AC50" s="690">
        <f>IF('Market Penetration'!G50=0,0,1000*G50*'Market Data'!$E$51/('Market Penetration'!G50*'Market Data'!$C$51))</f>
        <v>0</v>
      </c>
      <c r="AD50" s="460">
        <f>IF('Market Penetration'!H50=0,0,1000*H50*'Market Data'!$O$51/('Market Penetration'!H50*'Market Data'!$M$51))</f>
        <v>33953.806218169098</v>
      </c>
      <c r="AE50" s="461">
        <f>IF('Market Penetration'!I50=0,0,1000*I50*'Market Data'!$O$51/('Market Penetration'!I50*'Market Data'!$M$51))</f>
        <v>95017.755152297046</v>
      </c>
      <c r="AF50" s="461">
        <f>IF('Market Penetration'!J50=0,0,1000*J50*'Market Data'!$O$51/('Market Penetration'!J50*'Market Data'!$M$51))</f>
        <v>95017.755152297061</v>
      </c>
      <c r="AG50" s="461">
        <f>IF('Market Penetration'!K50=0,0,1000*K50*'Market Data'!$O$51/('Market Penetration'!K50*'Market Data'!$M$51))</f>
        <v>88904.072235448039</v>
      </c>
      <c r="AH50" s="461">
        <f>IF('Market Penetration'!L50=0,0,1000*L50*'Market Data'!$O$51/('Market Penetration'!L50*'Market Data'!$M$51))</f>
        <v>44351.707666997027</v>
      </c>
      <c r="AI50" s="462">
        <f>IF('Market Penetration'!M50=0,0,1000*M50*'Market Data'!$O$51/('Market Penetration'!M50*'Market Data'!$M$51))</f>
        <v>81925.005125487165</v>
      </c>
      <c r="AJ50" s="460">
        <f>IF('Market Penetration'!N50=0,0,1000*N50*'Market Data'!$Y$51/('Market Penetration'!N50*'Market Data'!$W$51))</f>
        <v>18339.565439738362</v>
      </c>
      <c r="AK50" s="461">
        <f>IF('Market Penetration'!O50=0,0,1000*O50*'Market Data'!$Y$51/('Market Penetration'!O50*'Market Data'!$W$51))</f>
        <v>46049.250805263138</v>
      </c>
      <c r="AL50" s="461">
        <f>IF('Market Penetration'!P50=0,0,1000*P50*'Market Data'!$Y$51/('Market Penetration'!P50*'Market Data'!$W$51))</f>
        <v>40843.938542247037</v>
      </c>
      <c r="AM50" s="695">
        <f>IF('Market Penetration'!Q50=0,0,1000*Q50*'Market Data'!$Y$51/('Market Penetration'!Q50*'Market Data'!$W$51))</f>
        <v>53574.795385640253</v>
      </c>
      <c r="AN50" s="461">
        <f>IF('Market Penetration'!R50=0,0,1000*R50*'Market Data'!$Y$51/('Market Penetration'!R50*'Market Data'!$W$51))</f>
        <v>48795.263475390464</v>
      </c>
      <c r="AO50" s="690">
        <f>IF('Market Penetration'!S50=0,0,1000*S50*'Market Data'!$Y$51/('Market Penetration'!S50*'Market Data'!$W$51))</f>
        <v>41908.085503040231</v>
      </c>
      <c r="AP50" s="460">
        <f>IF('Market Penetration'!T50=0,0,1000*T50*('Market Data'!$E$51+'Market Data'!$O$51+'Market Data'!$Y$51)/('Market Penetration'!T50*('Market Data'!$C$51+'Market Data'!$M$51+'Market Data'!$W$51)))</f>
        <v>39208.727975207352</v>
      </c>
      <c r="AQ50" s="462">
        <f>IF('Market Penetration'!U50=0,0,1000*U50*('Market Data'!$E$51+'Market Data'!$O$51+'Market Data'!$Y$51)/('Market Penetration'!U50*('Market Data'!$C$51+'Market Data'!$M$51+'Market Data'!$W$51)))</f>
        <v>98868.942865135483</v>
      </c>
    </row>
    <row r="51" spans="1:43" ht="15" x14ac:dyDescent="0.2">
      <c r="A51" s="403">
        <v>2049</v>
      </c>
      <c r="B51" s="423">
        <f t="shared" si="12"/>
        <v>0.19515145283872903</v>
      </c>
      <c r="C51" s="424">
        <f>'7&amp;8 Sleep'!$M118+'7&amp;8 Sleep'!$Z118</f>
        <v>0.32692353791740225</v>
      </c>
      <c r="D51" s="424">
        <f>'7&amp;8 Sleep'!$M170+'7&amp;8 Sleep'!$Z170</f>
        <v>0.37295341971484108</v>
      </c>
      <c r="E51" s="700">
        <f>'7&amp;8 Sleep'!$M222+'7&amp;8 Sleep'!$Z222</f>
        <v>5.605362097632792E-2</v>
      </c>
      <c r="F51" s="424">
        <f>'7&amp;8 Sleep'!$M275+'7&amp;8 Sleep'!$Z275</f>
        <v>4.8917968552699732E-2</v>
      </c>
      <c r="G51" s="658">
        <f>'7&amp;8 Sleep'!$M328+'7&amp;8 Sleep'!$Z328</f>
        <v>0</v>
      </c>
      <c r="H51" s="854">
        <f t="shared" si="13"/>
        <v>8.486917905568403E-2</v>
      </c>
      <c r="I51" s="658">
        <f>'7&amp;8 Day'!$M118+'7&amp;8 Day'!$Z118</f>
        <v>0.24074882355859575</v>
      </c>
      <c r="J51" s="658">
        <f>'7&amp;8 Day'!$M170+'7&amp;8 Day'!$Z170</f>
        <v>0.24044943882884146</v>
      </c>
      <c r="K51" s="658">
        <f>'7&amp;8 Day'!$M222+'7&amp;8 Day'!$Z222</f>
        <v>0.23063919998279853</v>
      </c>
      <c r="L51" s="658">
        <f>'7&amp;8 Day'!$M275+'7&amp;8 Day'!$Z275</f>
        <v>2.2655336734479975E-2</v>
      </c>
      <c r="M51" s="705">
        <f>'7&amp;8 Day'!$M328+'7&amp;8 Day'!$Z328</f>
        <v>0.18063802183960034</v>
      </c>
      <c r="N51" s="423">
        <f t="shared" si="14"/>
        <v>0.44883067212166261</v>
      </c>
      <c r="O51" s="424">
        <f>'7&amp;8 SU'!$M118+'7&amp;8 SU'!$Z118</f>
        <v>0.12651507295685607</v>
      </c>
      <c r="P51" s="424">
        <f>'7&amp;8 SU'!$M170+'7&amp;8 SU'!$Z170</f>
        <v>0.17186330741260061</v>
      </c>
      <c r="Q51" s="700">
        <f>'7&amp;8 SU'!$M222+'7&amp;8 SU'!$Z222</f>
        <v>9.3003181909603175E-2</v>
      </c>
      <c r="R51" s="424">
        <f>'7&amp;8 SU'!$M275+'7&amp;8 SU'!$Z275</f>
        <v>8.9491856074074894E-2</v>
      </c>
      <c r="S51" s="658">
        <f>'7&amp;8 SU'!$M328+'7&amp;8 SU'!$Z328</f>
        <v>7.0295909525202593E-2</v>
      </c>
      <c r="T51" s="423">
        <f>B51*'Market Data'!$E$52+H51*'Market Data'!$O$52+N51*+N51*'Market Data'!$Y$52</f>
        <v>0.16903976653396555</v>
      </c>
      <c r="U51" s="425">
        <f>SUM(C51:G51)*'Market Data'!$E$52+SUM(I51:M51)*'Market Data'!$O$52+SUM(O51:S51)*+N51*'Market Data'!$Y$52</f>
        <v>0.78153224599614002</v>
      </c>
      <c r="W51" s="403">
        <v>2049</v>
      </c>
      <c r="X51" s="460">
        <f>IF('Market Penetration'!B51=0,0,1000*B51*'Market Data'!$E$51/('Market Penetration'!B51*'Market Data'!$C$51))</f>
        <v>85068.09305970979</v>
      </c>
      <c r="Y51" s="461">
        <f>IF('Market Penetration'!C51=0,0,1000*C51*'Market Data'!$E$51/('Market Penetration'!C51*'Market Data'!$C$51))</f>
        <v>126581.22514595935</v>
      </c>
      <c r="Z51" s="461">
        <f>IF('Market Penetration'!D51=0,0,1000*D51*'Market Data'!$E$51/('Market Penetration'!D51*'Market Data'!$C$51))</f>
        <v>122976.76355147852</v>
      </c>
      <c r="AA51" s="695">
        <f>IF('Market Penetration'!E51=0,0,1000*E51*'Market Data'!$E$51/('Market Penetration'!E51*'Market Data'!$C$51))</f>
        <v>117374.57204243269</v>
      </c>
      <c r="AB51" s="461">
        <f>IF('Market Penetration'!F51=0,0,1000*F51*'Market Data'!$E$51/('Market Penetration'!F51*'Market Data'!$C$51))</f>
        <v>134913.98404067947</v>
      </c>
      <c r="AC51" s="690">
        <f>IF('Market Penetration'!G51=0,0,1000*G51*'Market Data'!$E$51/('Market Penetration'!G51*'Market Data'!$C$51))</f>
        <v>0</v>
      </c>
      <c r="AD51" s="460">
        <f>IF('Market Penetration'!H51=0,0,1000*H51*'Market Data'!$O$51/('Market Penetration'!H51*'Market Data'!$M$51))</f>
        <v>33969.874416572537</v>
      </c>
      <c r="AE51" s="461">
        <f>IF('Market Penetration'!I51=0,0,1000*I51*'Market Data'!$O$51/('Market Penetration'!I51*'Market Data'!$M$51))</f>
        <v>94875.144539185712</v>
      </c>
      <c r="AF51" s="461">
        <f>IF('Market Penetration'!J51=0,0,1000*J51*'Market Data'!$O$51/('Market Penetration'!J51*'Market Data'!$M$51))</f>
        <v>95026.293856006407</v>
      </c>
      <c r="AG51" s="461">
        <f>IF('Market Penetration'!K51=0,0,1000*K51*'Market Data'!$O$51/('Market Penetration'!K51*'Market Data'!$M$51))</f>
        <v>88349.449865988645</v>
      </c>
      <c r="AH51" s="461">
        <f>IF('Market Penetration'!L51=0,0,1000*L51*'Market Data'!$O$51/('Market Penetration'!L51*'Market Data'!$M$51))</f>
        <v>43517.666203931127</v>
      </c>
      <c r="AI51" s="462">
        <f>IF('Market Penetration'!M51=0,0,1000*M51*'Market Data'!$O$51/('Market Penetration'!M51*'Market Data'!$M$51))</f>
        <v>78805.62477514187</v>
      </c>
      <c r="AJ51" s="460">
        <f>IF('Market Penetration'!N51=0,0,1000*N51*'Market Data'!$Y$51/('Market Penetration'!N51*'Market Data'!$W$51))</f>
        <v>18340.20684715638</v>
      </c>
      <c r="AK51" s="461">
        <f>IF('Market Penetration'!O51=0,0,1000*O51*'Market Data'!$Y$51/('Market Penetration'!O51*'Market Data'!$W$51))</f>
        <v>46475.455459201112</v>
      </c>
      <c r="AL51" s="461">
        <f>IF('Market Penetration'!P51=0,0,1000*P51*'Market Data'!$Y$51/('Market Penetration'!P51*'Market Data'!$W$51))</f>
        <v>41173.144859586297</v>
      </c>
      <c r="AM51" s="695">
        <f>IF('Market Penetration'!Q51=0,0,1000*Q51*'Market Data'!$Y$51/('Market Penetration'!Q51*'Market Data'!$W$51))</f>
        <v>53037.286788824422</v>
      </c>
      <c r="AN51" s="461">
        <f>IF('Market Penetration'!R51=0,0,1000*R51*'Market Data'!$Y$51/('Market Penetration'!R51*'Market Data'!$W$51))</f>
        <v>48389.498490974562</v>
      </c>
      <c r="AO51" s="690">
        <f>IF('Market Penetration'!S51=0,0,1000*S51*'Market Data'!$Y$51/('Market Penetration'!S51*'Market Data'!$W$51))</f>
        <v>41094.01211379841</v>
      </c>
      <c r="AP51" s="460">
        <f>IF('Market Penetration'!T51=0,0,1000*T51*('Market Data'!$E$51+'Market Data'!$O$51+'Market Data'!$Y$51)/('Market Penetration'!T51*('Market Data'!$C$51+'Market Data'!$M$51+'Market Data'!$W$51)))</f>
        <v>39017.50717477993</v>
      </c>
      <c r="AQ51" s="462">
        <f>IF('Market Penetration'!U51=0,0,1000*U51*('Market Data'!$E$51+'Market Data'!$O$51+'Market Data'!$Y$51)/('Market Penetration'!U51*('Market Data'!$C$51+'Market Data'!$M$51+'Market Data'!$W$51)))</f>
        <v>98333.057560152025</v>
      </c>
    </row>
    <row r="52" spans="1:43" ht="16" thickBot="1" x14ac:dyDescent="0.25">
      <c r="A52" s="404">
        <v>2050</v>
      </c>
      <c r="B52" s="435">
        <f t="shared" si="12"/>
        <v>0.19646977459487247</v>
      </c>
      <c r="C52" s="436">
        <f>'7&amp;8 Sleep'!$M119+'7&amp;8 Sleep'!$Z119</f>
        <v>0.3030986653860574</v>
      </c>
      <c r="D52" s="436">
        <f>'7&amp;8 Sleep'!$M171+'7&amp;8 Sleep'!$Z171</f>
        <v>0.3445598742204905</v>
      </c>
      <c r="E52" s="703">
        <f>'7&amp;8 Sleep'!$M223+'7&amp;8 Sleep'!$Z223</f>
        <v>9.726571981986061E-2</v>
      </c>
      <c r="F52" s="436">
        <f>'7&amp;8 Sleep'!$M276+'7&amp;8 Sleep'!$Z276</f>
        <v>5.8605965978718935E-2</v>
      </c>
      <c r="G52" s="661">
        <f>'7&amp;8 Sleep'!$M329+'7&amp;8 Sleep'!$Z329</f>
        <v>0</v>
      </c>
      <c r="H52" s="857">
        <f t="shared" si="13"/>
        <v>7.6058361686366593E-2</v>
      </c>
      <c r="I52" s="661">
        <f>'7&amp;8 Day'!$M119+'7&amp;8 Day'!$Z119</f>
        <v>0.24006689652754987</v>
      </c>
      <c r="J52" s="661">
        <f>'7&amp;8 Day'!$M171+'7&amp;8 Day'!$Z171</f>
        <v>0.23995932629291836</v>
      </c>
      <c r="K52" s="661">
        <f>'7&amp;8 Day'!$M223+'7&amp;8 Day'!$Z223</f>
        <v>0.23271533144323414</v>
      </c>
      <c r="L52" s="661">
        <f>'7&amp;8 Day'!$M276+'7&amp;8 Day'!$Z276</f>
        <v>2.4743967019402083E-2</v>
      </c>
      <c r="M52" s="708">
        <f>'7&amp;8 Day'!$M329+'7&amp;8 Day'!$Z329</f>
        <v>0.18645611703052906</v>
      </c>
      <c r="N52" s="435">
        <f t="shared" si="14"/>
        <v>0.43555844250336473</v>
      </c>
      <c r="O52" s="436">
        <f>'7&amp;8 SU'!$M119+'7&amp;8 SU'!$Z119</f>
        <v>0.12657000350650266</v>
      </c>
      <c r="P52" s="436">
        <f>'7&amp;8 SU'!$M171+'7&amp;8 SU'!$Z171</f>
        <v>0.17785094606302781</v>
      </c>
      <c r="Q52" s="703">
        <f>'7&amp;8 SU'!$M223+'7&amp;8 SU'!$Z223</f>
        <v>9.2859983183361472E-2</v>
      </c>
      <c r="R52" s="436">
        <f>'7&amp;8 SU'!$M276+'7&amp;8 SU'!$Z276</f>
        <v>9.3016857177257245E-2</v>
      </c>
      <c r="S52" s="661">
        <f>'7&amp;8 SU'!$M329+'7&amp;8 SU'!$Z329</f>
        <v>7.4143767566486149E-2</v>
      </c>
      <c r="T52" s="435">
        <f>B52*'Market Data'!$E$52+H52*'Market Data'!$O$52+N52*+N52*'Market Data'!$Y$52</f>
        <v>0.16673707348889749</v>
      </c>
      <c r="U52" s="437">
        <f>SUM(C52:G52)*'Market Data'!$E$52+SUM(I52:M52)*'Market Data'!$O$52+SUM(O52:S52)*+N52*'Market Data'!$Y$52</f>
        <v>0.7826447066278841</v>
      </c>
      <c r="W52" s="404">
        <v>2050</v>
      </c>
      <c r="X52" s="470">
        <f>IF('Market Penetration'!B52=0,0,1000*B52*'Market Data'!$E$51/('Market Penetration'!B52*'Market Data'!$C$51))</f>
        <v>85229.231329725182</v>
      </c>
      <c r="Y52" s="471">
        <f>IF('Market Penetration'!C52=0,0,1000*C52*'Market Data'!$E$51/('Market Penetration'!C52*'Market Data'!$C$51))</f>
        <v>127734.16882837743</v>
      </c>
      <c r="Z52" s="471">
        <f>IF('Market Penetration'!D52=0,0,1000*D52*'Market Data'!$E$51/('Market Penetration'!D52*'Market Data'!$C$51))</f>
        <v>123951.62316905354</v>
      </c>
      <c r="AA52" s="698">
        <f>IF('Market Penetration'!E52=0,0,1000*E52*'Market Data'!$E$51/('Market Penetration'!E52*'Market Data'!$C$51))</f>
        <v>114496.73704794064</v>
      </c>
      <c r="AB52" s="471">
        <f>IF('Market Penetration'!F52=0,0,1000*F52*'Market Data'!$E$51/('Market Penetration'!F52*'Market Data'!$C$51))</f>
        <v>132513.67555120392</v>
      </c>
      <c r="AC52" s="693">
        <f>IF('Market Penetration'!G52=0,0,1000*G52*'Market Data'!$E$51/('Market Penetration'!G52*'Market Data'!$C$51))</f>
        <v>0</v>
      </c>
      <c r="AD52" s="470">
        <f>IF('Market Penetration'!H52=0,0,1000*H52*'Market Data'!$O$51/('Market Penetration'!H52*'Market Data'!$M$51))</f>
        <v>34174.083764044044</v>
      </c>
      <c r="AE52" s="471">
        <f>IF('Market Penetration'!I52=0,0,1000*I52*'Market Data'!$O$51/('Market Penetration'!I52*'Market Data'!$M$51))</f>
        <v>94877.380993378596</v>
      </c>
      <c r="AF52" s="471">
        <f>IF('Market Penetration'!J52=0,0,1000*J52*'Market Data'!$O$51/('Market Penetration'!J52*'Market Data'!$M$51))</f>
        <v>94877.380993378567</v>
      </c>
      <c r="AG52" s="471">
        <f>IF('Market Penetration'!K52=0,0,1000*K52*'Market Data'!$O$51/('Market Penetration'!K52*'Market Data'!$M$51))</f>
        <v>87757.431714183665</v>
      </c>
      <c r="AH52" s="471">
        <f>IF('Market Penetration'!L52=0,0,1000*L52*'Market Data'!$O$51/('Market Penetration'!L52*'Market Data'!$M$51))</f>
        <v>43055.775685089749</v>
      </c>
      <c r="AI52" s="472">
        <f>IF('Market Penetration'!M52=0,0,1000*M52*'Market Data'!$O$51/('Market Penetration'!M52*'Market Data'!$M$51))</f>
        <v>75243.804434225734</v>
      </c>
      <c r="AJ52" s="470">
        <f>IF('Market Penetration'!N52=0,0,1000*N52*'Market Data'!$Y$51/('Market Penetration'!N52*'Market Data'!$W$51))</f>
        <v>18141.807419220484</v>
      </c>
      <c r="AK52" s="471">
        <f>IF('Market Penetration'!O52=0,0,1000*O52*'Market Data'!$Y$51/('Market Penetration'!O52*'Market Data'!$W$51))</f>
        <v>46281.291614373273</v>
      </c>
      <c r="AL52" s="471">
        <f>IF('Market Penetration'!P52=0,0,1000*P52*'Market Data'!$Y$51/('Market Penetration'!P52*'Market Data'!$W$51))</f>
        <v>40443.137220217941</v>
      </c>
      <c r="AM52" s="698">
        <f>IF('Market Penetration'!Q52=0,0,1000*Q52*'Market Data'!$Y$51/('Market Penetration'!Q52*'Market Data'!$W$51))</f>
        <v>52880.214170625943</v>
      </c>
      <c r="AN52" s="471">
        <f>IF('Market Penetration'!R52=0,0,1000*R52*'Market Data'!$Y$51/('Market Penetration'!R52*'Market Data'!$W$51))</f>
        <v>47665.448771087256</v>
      </c>
      <c r="AO52" s="693">
        <f>IF('Market Penetration'!S52=0,0,1000*S52*'Market Data'!$Y$51/('Market Penetration'!S52*'Market Data'!$W$51))</f>
        <v>40427.061102572763</v>
      </c>
      <c r="AP52" s="470">
        <f>IF('Market Penetration'!T52=0,0,1000*T52*('Market Data'!$E$51+'Market Data'!$O$51+'Market Data'!$Y$51)/('Market Penetration'!T52*('Market Data'!$C$51+'Market Data'!$M$51+'Market Data'!$W$51)))</f>
        <v>39396.647044090649</v>
      </c>
      <c r="AQ52" s="472">
        <f>IF('Market Penetration'!U52=0,0,1000*U52*('Market Data'!$E$51+'Market Data'!$O$51+'Market Data'!$Y$51)/('Market Penetration'!U52*('Market Data'!$C$51+'Market Data'!$M$51+'Market Data'!$W$51)))</f>
        <v>97247.704821078878</v>
      </c>
    </row>
    <row r="53" spans="1:43" x14ac:dyDescent="0.2">
      <c r="A53" s="398"/>
      <c r="B53" s="398"/>
    </row>
    <row r="54" spans="1:43" x14ac:dyDescent="0.2">
      <c r="A54" s="408" t="str">
        <f>"Run id: '"&amp;'Run Model'!B3&amp;"'"</f>
        <v>Run id: 'Testing Aug 24 FY2020 Final Run'</v>
      </c>
      <c r="B54" s="398"/>
      <c r="F54" s="1285"/>
      <c r="O54" s="1285"/>
      <c r="T54" s="1285"/>
    </row>
    <row r="55" spans="1:43" x14ac:dyDescent="0.2">
      <c r="A55" s="408" t="s">
        <v>126</v>
      </c>
      <c r="B55" s="398"/>
    </row>
    <row r="56" spans="1:43" x14ac:dyDescent="0.2">
      <c r="A56" s="473" t="str">
        <f>"Combination, Centrally Refueled: " &amp;TEXT(RtimeCls1Cent1,"mm/dd/yyyy hh:mm")</f>
        <v>Combination, Centrally Refueled: 07/21/2020 15:48</v>
      </c>
      <c r="B56" s="399"/>
    </row>
    <row r="57" spans="1:43" x14ac:dyDescent="0.2">
      <c r="A57" s="473" t="str">
        <f>"Combination, Non-Centrally Refueled: " &amp;TEXT(RtimeCls1NCent1,"mm/dd/yyyy hh:mm")</f>
        <v>Combination, Non-Centrally Refueled: 07/21/2020 15:48</v>
      </c>
    </row>
    <row r="58" spans="1:43" x14ac:dyDescent="0.2">
      <c r="A58" s="473" t="str">
        <f>"Single Unit, Centrally Refueled: " &amp;TEXT(RtimeCls2Cent1,"mm/dd/yyyy hh:mm")</f>
        <v>Single Unit, Centrally Refueled: 07/21/2020 15:48</v>
      </c>
    </row>
    <row r="59" spans="1:43" x14ac:dyDescent="0.2">
      <c r="A59" s="473" t="str">
        <f>"Single Unit, Non-Centrally Refueled: " &amp;TEXT(RtimeCls2NCent1,"mm/dd/yyyy hh:mm")</f>
        <v>Single Unit, Non-Centrally Refueled: 07/21/2020 15:48</v>
      </c>
    </row>
  </sheetData>
  <mergeCells count="18">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 ref="B5:G5"/>
    <mergeCell ref="B4:G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2" t="s">
        <v>261</v>
      </c>
    </row>
    <row r="3" spans="1:26" ht="20" thickBot="1" x14ac:dyDescent="0.3">
      <c r="A3" s="1601" t="s">
        <v>128</v>
      </c>
      <c r="B3" s="1602"/>
      <c r="C3" s="1602"/>
      <c r="D3" s="1602"/>
      <c r="E3" s="1602"/>
      <c r="F3" s="1602"/>
      <c r="G3" s="1602"/>
      <c r="H3" s="1602"/>
      <c r="I3" s="1602"/>
      <c r="J3" s="1602"/>
      <c r="K3" s="1602"/>
      <c r="L3" s="1602"/>
      <c r="M3" s="1602"/>
      <c r="N3" s="1602"/>
      <c r="O3" s="1602"/>
      <c r="P3" s="1602"/>
      <c r="Q3" s="1602"/>
      <c r="R3" s="1602"/>
      <c r="S3" s="1602"/>
      <c r="T3" s="1602"/>
      <c r="U3" s="1602"/>
    </row>
    <row r="4" spans="1:26" ht="15" x14ac:dyDescent="0.2">
      <c r="A4" s="400"/>
      <c r="B4" s="1603" t="s">
        <v>249</v>
      </c>
      <c r="C4" s="1604"/>
      <c r="D4" s="1604"/>
      <c r="E4" s="1604"/>
      <c r="F4" s="1604"/>
      <c r="G4" s="1605"/>
      <c r="H4" s="1603" t="s">
        <v>250</v>
      </c>
      <c r="I4" s="1604"/>
      <c r="J4" s="1604"/>
      <c r="K4" s="1604"/>
      <c r="L4" s="1604"/>
      <c r="M4" s="1605"/>
      <c r="N4" s="1603" t="s">
        <v>154</v>
      </c>
      <c r="O4" s="1604"/>
      <c r="P4" s="1604"/>
      <c r="Q4" s="1604"/>
      <c r="R4" s="1604"/>
      <c r="S4" s="1605"/>
      <c r="T4" s="1610" t="s">
        <v>153</v>
      </c>
      <c r="U4" s="1611"/>
    </row>
    <row r="5" spans="1:26" ht="15" x14ac:dyDescent="0.2">
      <c r="A5" s="401"/>
      <c r="B5" s="1606" t="s">
        <v>129</v>
      </c>
      <c r="C5" s="1607"/>
      <c r="D5" s="1607"/>
      <c r="E5" s="1607"/>
      <c r="F5" s="1607"/>
      <c r="G5" s="1608"/>
      <c r="H5" s="1606" t="s">
        <v>129</v>
      </c>
      <c r="I5" s="1607"/>
      <c r="J5" s="1607"/>
      <c r="K5" s="1607"/>
      <c r="L5" s="1607"/>
      <c r="M5" s="1608"/>
      <c r="N5" s="1606" t="s">
        <v>129</v>
      </c>
      <c r="O5" s="1607"/>
      <c r="P5" s="1607"/>
      <c r="Q5" s="1607"/>
      <c r="R5" s="1607"/>
      <c r="S5" s="1608"/>
      <c r="T5" s="1609" t="s">
        <v>129</v>
      </c>
      <c r="U5" s="1594"/>
    </row>
    <row r="6" spans="1:26" ht="15" x14ac:dyDescent="0.2">
      <c r="A6" s="401"/>
      <c r="B6" s="1101" t="s">
        <v>69</v>
      </c>
      <c r="C6" s="1102" t="s">
        <v>65</v>
      </c>
      <c r="D6" s="1102" t="s">
        <v>66</v>
      </c>
      <c r="E6" s="1102" t="s">
        <v>67</v>
      </c>
      <c r="F6" s="1102" t="s">
        <v>205</v>
      </c>
      <c r="G6" s="1103" t="s">
        <v>206</v>
      </c>
      <c r="H6" s="1101" t="s">
        <v>69</v>
      </c>
      <c r="I6" s="1102" t="s">
        <v>65</v>
      </c>
      <c r="J6" s="1102" t="s">
        <v>66</v>
      </c>
      <c r="K6" s="1102" t="s">
        <v>67</v>
      </c>
      <c r="L6" s="1102" t="s">
        <v>205</v>
      </c>
      <c r="M6" s="1103" t="s">
        <v>206</v>
      </c>
      <c r="N6" s="1101" t="s">
        <v>69</v>
      </c>
      <c r="O6" s="1102" t="s">
        <v>65</v>
      </c>
      <c r="P6" s="1102" t="s">
        <v>66</v>
      </c>
      <c r="Q6" s="1102" t="s">
        <v>67</v>
      </c>
      <c r="R6" s="1102" t="s">
        <v>205</v>
      </c>
      <c r="S6" s="1103" t="s">
        <v>206</v>
      </c>
      <c r="T6" s="649"/>
      <c r="U6" s="650"/>
      <c r="V6" s="397" t="s">
        <v>360</v>
      </c>
    </row>
    <row r="7" spans="1:26" s="849" customFormat="1" ht="32" x14ac:dyDescent="0.15">
      <c r="A7" s="843"/>
      <c r="B7" s="1104" t="str">
        <f t="shared" ref="B7:G7" si="0">INDEX(TECH_OPT_DESC_Cls1,MATCH(B6,TECH_OPT_ROWS_Cls1,0))</f>
        <v>Conventional Diesel ICE</v>
      </c>
      <c r="C7" s="1105" t="str">
        <f t="shared" si="0"/>
        <v>Adv Conv</v>
      </c>
      <c r="D7" s="1105" t="str">
        <f t="shared" si="0"/>
        <v>HEV</v>
      </c>
      <c r="E7" s="1105" t="str">
        <f t="shared" si="0"/>
        <v>BEV</v>
      </c>
      <c r="F7" s="1105" t="str">
        <f t="shared" si="0"/>
        <v>FCEV</v>
      </c>
      <c r="G7" s="1106">
        <f t="shared" si="0"/>
        <v>0</v>
      </c>
      <c r="H7" s="1104" t="str">
        <f t="shared" ref="H7:M7" si="1">INDEX(TECH_OPT_DESC_Cls2,MATCH(H6,TECH_OPT_ROWS_Cls2,0))</f>
        <v>Conventional Diesel ICE</v>
      </c>
      <c r="I7" s="1105" t="str">
        <f t="shared" si="1"/>
        <v>Adv Conv</v>
      </c>
      <c r="J7" s="1105" t="str">
        <f t="shared" si="1"/>
        <v>ISG</v>
      </c>
      <c r="K7" s="1105" t="str">
        <f t="shared" si="1"/>
        <v>PHEV</v>
      </c>
      <c r="L7" s="1105" t="str">
        <f t="shared" si="1"/>
        <v>BEV</v>
      </c>
      <c r="M7" s="1106" t="str">
        <f t="shared" si="1"/>
        <v>FCHEV</v>
      </c>
      <c r="N7" s="1104" t="str">
        <f t="shared" ref="N7:S7" si="2">INDEX(TECH_OPT_DESC_Cls3,MATCH(N6,TECH_OPT_ROWS_Cls3,0))</f>
        <v>Conventional Diesel ICE</v>
      </c>
      <c r="O7" s="1105" t="str">
        <f t="shared" si="2"/>
        <v>Adv Conv</v>
      </c>
      <c r="P7" s="1105" t="str">
        <f t="shared" si="2"/>
        <v>ISG</v>
      </c>
      <c r="Q7" s="1105" t="str">
        <f t="shared" si="2"/>
        <v>HEV</v>
      </c>
      <c r="R7" s="1105" t="str">
        <f t="shared" si="2"/>
        <v>PHEV</v>
      </c>
      <c r="S7" s="1106" t="str">
        <f t="shared" si="2"/>
        <v>BEV</v>
      </c>
      <c r="T7" s="847" t="s">
        <v>70</v>
      </c>
      <c r="U7" s="848" t="s">
        <v>138</v>
      </c>
      <c r="V7" s="849" t="s">
        <v>321</v>
      </c>
      <c r="W7" s="849" t="s">
        <v>322</v>
      </c>
      <c r="X7" s="849" t="s">
        <v>324</v>
      </c>
      <c r="Y7" s="849" t="s">
        <v>323</v>
      </c>
      <c r="Z7" s="849" t="s">
        <v>359</v>
      </c>
    </row>
    <row r="8" spans="1:26" ht="17" thickBot="1" x14ac:dyDescent="0.25">
      <c r="A8" s="405" t="s">
        <v>3</v>
      </c>
      <c r="B8" s="1107" t="str">
        <f t="shared" ref="B8:G8" si="3">INDEX(TECH_OPT_FUEL1_Cls1,MATCH(B6,TECH_OPT_ROWS_Cls1,0))</f>
        <v>Diesel</v>
      </c>
      <c r="C8" s="1108" t="str">
        <f t="shared" si="3"/>
        <v>Diesel</v>
      </c>
      <c r="D8" s="1108" t="str">
        <f t="shared" si="3"/>
        <v>Diesel</v>
      </c>
      <c r="E8" s="1108" t="str">
        <f t="shared" si="3"/>
        <v>Electricity</v>
      </c>
      <c r="F8" s="1108" t="str">
        <f t="shared" si="3"/>
        <v>Hydrogen</v>
      </c>
      <c r="G8" s="1109" t="str">
        <f t="shared" si="3"/>
        <v>Diesel</v>
      </c>
      <c r="H8" s="1110" t="str">
        <f t="shared" ref="H8:M8" si="4">INDEX(TECH_OPT_FUEL1_Cls2,MATCH(H6,TECH_OPT_ROWS_Cls2,0))</f>
        <v>Diesel</v>
      </c>
      <c r="I8" s="1108" t="str">
        <f t="shared" si="4"/>
        <v>Diesel</v>
      </c>
      <c r="J8" s="1108" t="str">
        <f t="shared" si="4"/>
        <v>Diesel</v>
      </c>
      <c r="K8" s="1108" t="str">
        <f t="shared" si="4"/>
        <v>Diesel</v>
      </c>
      <c r="L8" s="1108" t="str">
        <f t="shared" si="4"/>
        <v>Electricity</v>
      </c>
      <c r="M8" s="1109" t="str">
        <f t="shared" si="4"/>
        <v>Hydrogen</v>
      </c>
      <c r="N8" s="1107" t="str">
        <f t="shared" ref="N8:S8" si="5">INDEX(TECH_OPT_FUEL1_Cls3,MATCH(N6,TECH_OPT_ROWS_Cls3,0))</f>
        <v>Diesel</v>
      </c>
      <c r="O8" s="1108" t="str">
        <f t="shared" si="5"/>
        <v>Diesel</v>
      </c>
      <c r="P8" s="1108" t="str">
        <f t="shared" si="5"/>
        <v>Diesel</v>
      </c>
      <c r="Q8" s="1108" t="str">
        <f t="shared" si="5"/>
        <v>Diesel</v>
      </c>
      <c r="R8" s="1108" t="str">
        <f t="shared" si="5"/>
        <v>Diesel</v>
      </c>
      <c r="S8" s="1109" t="str">
        <f t="shared" si="5"/>
        <v>Electricity</v>
      </c>
      <c r="T8" s="666"/>
      <c r="U8" s="418"/>
    </row>
    <row r="9" spans="1:26" ht="16" thickTop="1" x14ac:dyDescent="0.2">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5">
        <f>1-SUM(V20:Y20)</f>
        <v>1</v>
      </c>
    </row>
    <row r="21" spans="1:26" ht="15" x14ac:dyDescent="0.2">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0.96906289716210325</v>
      </c>
      <c r="I23" s="660">
        <f>'7&amp;8 Day'!$N90+'7&amp;8 Day'!$AA90</f>
        <v>1.7935702452521934E-2</v>
      </c>
      <c r="J23" s="660">
        <f>'7&amp;8 Day'!$N142+'7&amp;8 Day'!$AA142</f>
        <v>1.3001400385374845E-2</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0.99208427370941243</v>
      </c>
      <c r="U23" s="432">
        <f>SUM(C23:G23)*'Market Data'!$C$52+SUM(I23:M23)*'Market Data'!$M$52+SUM(O23:S23)*'Market Data'!$W$52</f>
        <v>7.9157262905875814E-3</v>
      </c>
      <c r="X23" s="117"/>
    </row>
    <row r="24" spans="1:26" ht="15" x14ac:dyDescent="0.2">
      <c r="A24" s="403">
        <v>2022</v>
      </c>
      <c r="B24" s="675">
        <f t="shared" si="6"/>
        <v>0.97559134566453543</v>
      </c>
      <c r="C24" s="676">
        <f>'7&amp;8 Sleep'!$N91+'7&amp;8 Sleep'!$AA91</f>
        <v>1.7044895844370841E-2</v>
      </c>
      <c r="D24" s="676">
        <f>'7&amp;8 Sleep'!$N143+'7&amp;8 Sleep'!$AA143</f>
        <v>7.3637584910937305E-3</v>
      </c>
      <c r="E24" s="676">
        <f>'7&amp;8 Sleep'!$N195+'7&amp;8 Sleep'!$AA195</f>
        <v>0</v>
      </c>
      <c r="F24" s="676">
        <f>'7&amp;8 Sleep'!$N248+'7&amp;8 Sleep'!$AA248</f>
        <v>0</v>
      </c>
      <c r="G24" s="677">
        <f>'7&amp;8 Sleep'!$N301+'7&amp;8 Sleep'!$AA301</f>
        <v>0</v>
      </c>
      <c r="H24" s="658">
        <f t="shared" si="7"/>
        <v>0.92397717489031461</v>
      </c>
      <c r="I24" s="658">
        <f>'7&amp;8 Day'!$N91+'7&amp;8 Day'!$AA91</f>
        <v>4.56696889698004E-2</v>
      </c>
      <c r="J24" s="658">
        <f>'7&amp;8 Day'!$N143+'7&amp;8 Day'!$AA143</f>
        <v>3.0353136139884988E-2</v>
      </c>
      <c r="K24" s="658">
        <f>'7&amp;8 Day'!$N195+'7&amp;8 Day'!$AA195</f>
        <v>0</v>
      </c>
      <c r="L24" s="658">
        <f>'7&amp;8 Day'!$N248+'7&amp;8 Day'!$AA248</f>
        <v>0</v>
      </c>
      <c r="M24" s="658">
        <f>'7&amp;8 Day'!$N301+'7&amp;8 Day'!$AA301</f>
        <v>0</v>
      </c>
      <c r="N24" s="675">
        <f t="shared" si="8"/>
        <v>0.97371148468807112</v>
      </c>
      <c r="O24" s="676">
        <f>'7&amp;8 SU'!$N91+'7&amp;8 SU'!$AA91</f>
        <v>1.2488571794085544E-2</v>
      </c>
      <c r="P24" s="676">
        <f>'7&amp;8 SU'!$N143+'7&amp;8 SU'!$AA143</f>
        <v>1.3315891485049781E-2</v>
      </c>
      <c r="Q24" s="676">
        <f>'7&amp;8 SU'!$N195+'7&amp;8 SU'!$AA195</f>
        <v>4.8405203279352691E-4</v>
      </c>
      <c r="R24" s="676">
        <f>'7&amp;8 SU'!$N248+'7&amp;8 SU'!$AA248</f>
        <v>0</v>
      </c>
      <c r="S24" s="677">
        <f>'7&amp;8 SU'!$N301+'7&amp;8 SU'!$AA301</f>
        <v>0</v>
      </c>
      <c r="T24" s="662">
        <f>B24*'Market Data'!$C$52+H24*'Market Data'!$M$52+N24*'Market Data'!$W$52</f>
        <v>0.96188150185894905</v>
      </c>
      <c r="U24" s="425">
        <f>SUM(C24:G24)*'Market Data'!$C$52+SUM(I24:M24)*'Market Data'!$M$52+SUM(O24:S24)*'Market Data'!$W$52</f>
        <v>3.8118498141050783E-2</v>
      </c>
      <c r="X24" s="117"/>
    </row>
    <row r="25" spans="1:26" ht="15" x14ac:dyDescent="0.2">
      <c r="A25" s="403">
        <v>2023</v>
      </c>
      <c r="B25" s="675">
        <f t="shared" si="6"/>
        <v>0.9376271281510995</v>
      </c>
      <c r="C25" s="676">
        <f>'7&amp;8 Sleep'!$N92+'7&amp;8 Sleep'!$AA92</f>
        <v>4.095089665199779E-2</v>
      </c>
      <c r="D25" s="676">
        <f>'7&amp;8 Sleep'!$N144+'7&amp;8 Sleep'!$AA144</f>
        <v>2.1421975196902743E-2</v>
      </c>
      <c r="E25" s="676">
        <f>'7&amp;8 Sleep'!$N196+'7&amp;8 Sleep'!$AA196</f>
        <v>0</v>
      </c>
      <c r="F25" s="676">
        <f>'7&amp;8 Sleep'!$N249+'7&amp;8 Sleep'!$AA249</f>
        <v>0</v>
      </c>
      <c r="G25" s="677">
        <f>'7&amp;8 Sleep'!$N302+'7&amp;8 Sleep'!$AA302</f>
        <v>0</v>
      </c>
      <c r="H25" s="658">
        <f t="shared" si="7"/>
        <v>0.84394222943701525</v>
      </c>
      <c r="I25" s="658">
        <f>'7&amp;8 Day'!$N92+'7&amp;8 Day'!$AA92</f>
        <v>9.9282919107461398E-2</v>
      </c>
      <c r="J25" s="658">
        <f>'7&amp;8 Day'!$N144+'7&amp;8 Day'!$AA144</f>
        <v>5.6774851455523329E-2</v>
      </c>
      <c r="K25" s="658">
        <f>'7&amp;8 Day'!$N196+'7&amp;8 Day'!$AA196</f>
        <v>0</v>
      </c>
      <c r="L25" s="658">
        <f>'7&amp;8 Day'!$N249+'7&amp;8 Day'!$AA249</f>
        <v>0</v>
      </c>
      <c r="M25" s="658">
        <f>'7&amp;8 Day'!$N302+'7&amp;8 Day'!$AA302</f>
        <v>0</v>
      </c>
      <c r="N25" s="675">
        <f t="shared" si="8"/>
        <v>0.936673159560794</v>
      </c>
      <c r="O25" s="676">
        <f>'7&amp;8 SU'!$N92+'7&amp;8 SU'!$AA92</f>
        <v>3.0927247251743915E-2</v>
      </c>
      <c r="P25" s="676">
        <f>'7&amp;8 SU'!$N144+'7&amp;8 SU'!$AA144</f>
        <v>3.0663420493257772E-2</v>
      </c>
      <c r="Q25" s="676">
        <f>'7&amp;8 SU'!$N196+'7&amp;8 SU'!$AA196</f>
        <v>1.7361726942043531E-3</v>
      </c>
      <c r="R25" s="676">
        <f>'7&amp;8 SU'!$N249+'7&amp;8 SU'!$AA249</f>
        <v>0</v>
      </c>
      <c r="S25" s="677">
        <f>'7&amp;8 SU'!$N302+'7&amp;8 SU'!$AA302</f>
        <v>0</v>
      </c>
      <c r="T25" s="662">
        <f>B25*'Market Data'!$C$52+H25*'Market Data'!$M$52+N25*'Market Data'!$W$52</f>
        <v>0.91340087920529411</v>
      </c>
      <c r="U25" s="425">
        <f>SUM(C25:G25)*'Market Data'!$C$52+SUM(I25:M25)*'Market Data'!$M$52+SUM(O25:S25)*'Market Data'!$W$52</f>
        <v>8.6599120794705803E-2</v>
      </c>
      <c r="X25" s="117"/>
    </row>
    <row r="26" spans="1:26" ht="15" x14ac:dyDescent="0.2">
      <c r="A26" s="403">
        <v>2024</v>
      </c>
      <c r="B26" s="675">
        <f t="shared" si="6"/>
        <v>0.85134009153561685</v>
      </c>
      <c r="C26" s="676">
        <f>'7&amp;8 Sleep'!$N93+'7&amp;8 Sleep'!$AA93</f>
        <v>9.2702824086043342E-2</v>
      </c>
      <c r="D26" s="676">
        <f>'7&amp;8 Sleep'!$N145+'7&amp;8 Sleep'!$AA145</f>
        <v>5.5957084378339787E-2</v>
      </c>
      <c r="E26" s="676">
        <f>'7&amp;8 Sleep'!$N197+'7&amp;8 Sleep'!$AA197</f>
        <v>0</v>
      </c>
      <c r="F26" s="676">
        <f>'7&amp;8 Sleep'!$N250+'7&amp;8 Sleep'!$AA250</f>
        <v>0</v>
      </c>
      <c r="G26" s="677">
        <f>'7&amp;8 Sleep'!$N303+'7&amp;8 Sleep'!$AA303</f>
        <v>0</v>
      </c>
      <c r="H26" s="658">
        <f t="shared" si="7"/>
        <v>0.77033728153083303</v>
      </c>
      <c r="I26" s="658">
        <f>'7&amp;8 Day'!$N93+'7&amp;8 Day'!$AA93</f>
        <v>0.12816727012429957</v>
      </c>
      <c r="J26" s="658">
        <f>'7&amp;8 Day'!$N145+'7&amp;8 Day'!$AA145</f>
        <v>0.10149544834486739</v>
      </c>
      <c r="K26" s="658">
        <f>'7&amp;8 Day'!$N197+'7&amp;8 Day'!$AA197</f>
        <v>0</v>
      </c>
      <c r="L26" s="658">
        <f>'7&amp;8 Day'!$N250+'7&amp;8 Day'!$AA250</f>
        <v>0</v>
      </c>
      <c r="M26" s="658">
        <f>'7&amp;8 Day'!$N303+'7&amp;8 Day'!$AA303</f>
        <v>0</v>
      </c>
      <c r="N26" s="675">
        <f t="shared" si="8"/>
        <v>0.87814508783472334</v>
      </c>
      <c r="O26" s="676">
        <f>'7&amp;8 SU'!$N93+'7&amp;8 SU'!$AA93</f>
        <v>6.1511580316847482E-2</v>
      </c>
      <c r="P26" s="676">
        <f>'7&amp;8 SU'!$N145+'7&amp;8 SU'!$AA145</f>
        <v>5.482922053102246E-2</v>
      </c>
      <c r="Q26" s="676">
        <f>'7&amp;8 SU'!$N197+'7&amp;8 SU'!$AA197</f>
        <v>5.514111317406695E-3</v>
      </c>
      <c r="R26" s="676">
        <f>'7&amp;8 SU'!$N250+'7&amp;8 SU'!$AA250</f>
        <v>0</v>
      </c>
      <c r="S26" s="677">
        <f>'7&amp;8 SU'!$N303+'7&amp;8 SU'!$AA303</f>
        <v>0</v>
      </c>
      <c r="T26" s="662">
        <f>B26*'Market Data'!$C$52+H26*'Market Data'!$M$52+N26*'Market Data'!$W$52</f>
        <v>0.83779480940372864</v>
      </c>
      <c r="U26" s="425">
        <f>SUM(C26:G26)*'Market Data'!$C$52+SUM(I26:M26)*'Market Data'!$M$52+SUM(O26:S26)*'Market Data'!$W$52</f>
        <v>0.1622051905962712</v>
      </c>
      <c r="X26" s="117"/>
    </row>
    <row r="27" spans="1:26" ht="15" x14ac:dyDescent="0.2">
      <c r="A27" s="402">
        <v>2025</v>
      </c>
      <c r="B27" s="678">
        <f t="shared" si="6"/>
        <v>0.70618528616890586</v>
      </c>
      <c r="C27" s="679">
        <f>'7&amp;8 Sleep'!$N94+'7&amp;8 Sleep'!$AA94</f>
        <v>0.18216127261487028</v>
      </c>
      <c r="D27" s="679">
        <f>'7&amp;8 Sleep'!$N146+'7&amp;8 Sleep'!$AA146</f>
        <v>0.11165344121622386</v>
      </c>
      <c r="E27" s="679">
        <f>'7&amp;8 Sleep'!$N198+'7&amp;8 Sleep'!$AA198</f>
        <v>0</v>
      </c>
      <c r="F27" s="679">
        <f>'7&amp;8 Sleep'!$N251+'7&amp;8 Sleep'!$AA251</f>
        <v>0</v>
      </c>
      <c r="G27" s="680">
        <f>'7&amp;8 Sleep'!$N304+'7&amp;8 Sleep'!$AA304</f>
        <v>0</v>
      </c>
      <c r="H27" s="659">
        <f t="shared" si="7"/>
        <v>0.69151552578975917</v>
      </c>
      <c r="I27" s="659">
        <f>'7&amp;8 Day'!$N94+'7&amp;8 Day'!$AA94</f>
        <v>0.16111823084443222</v>
      </c>
      <c r="J27" s="659">
        <f>'7&amp;8 Day'!$N146+'7&amp;8 Day'!$AA146</f>
        <v>0.14736624336580867</v>
      </c>
      <c r="K27" s="659">
        <f>'7&amp;8 Day'!$N198+'7&amp;8 Day'!$AA198</f>
        <v>0</v>
      </c>
      <c r="L27" s="659">
        <f>'7&amp;8 Day'!$N251+'7&amp;8 Day'!$AA251</f>
        <v>0</v>
      </c>
      <c r="M27" s="659">
        <f>'7&amp;8 Day'!$N304+'7&amp;8 Day'!$AA304</f>
        <v>0</v>
      </c>
      <c r="N27" s="678">
        <f t="shared" si="8"/>
        <v>0.87420855975923684</v>
      </c>
      <c r="O27" s="679">
        <f>'7&amp;8 SU'!$N94+'7&amp;8 SU'!$AA94</f>
        <v>5.3200647144274846E-2</v>
      </c>
      <c r="P27" s="679">
        <f>'7&amp;8 SU'!$N146+'7&amp;8 SU'!$AA146</f>
        <v>5.8973687004291522E-2</v>
      </c>
      <c r="Q27" s="679">
        <f>'7&amp;8 SU'!$N198+'7&amp;8 SU'!$AA198</f>
        <v>1.3617106092196834E-2</v>
      </c>
      <c r="R27" s="679">
        <f>'7&amp;8 SU'!$N251+'7&amp;8 SU'!$AA251</f>
        <v>0</v>
      </c>
      <c r="S27" s="680">
        <f>'7&amp;8 SU'!$N304+'7&amp;8 SU'!$AA304</f>
        <v>0</v>
      </c>
      <c r="T27" s="663">
        <f>B27*'Market Data'!$C$52+H27*'Market Data'!$M$52+N27*'Market Data'!$W$52</f>
        <v>0.74744182488163169</v>
      </c>
      <c r="U27" s="428">
        <f>SUM(C27:G27)*'Market Data'!$C$52+SUM(I27:M27)*'Market Data'!$M$52+SUM(O27:S27)*'Market Data'!$W$52</f>
        <v>0.25255817511836837</v>
      </c>
      <c r="X27" s="117"/>
    </row>
    <row r="28" spans="1:26" ht="15" x14ac:dyDescent="0.2">
      <c r="A28" s="648">
        <v>2026</v>
      </c>
      <c r="B28" s="683">
        <f t="shared" si="6"/>
        <v>0.61327078553383285</v>
      </c>
      <c r="C28" s="684">
        <f>'7&amp;8 Sleep'!$N95+'7&amp;8 Sleep'!$AA95</f>
        <v>0.2402983816876117</v>
      </c>
      <c r="D28" s="684">
        <f>'7&amp;8 Sleep'!$N147+'7&amp;8 Sleep'!$AA147</f>
        <v>0.1464308327785554</v>
      </c>
      <c r="E28" s="684">
        <f>'7&amp;8 Sleep'!$N199+'7&amp;8 Sleep'!$AA199</f>
        <v>0</v>
      </c>
      <c r="F28" s="684">
        <f>'7&amp;8 Sleep'!$N252+'7&amp;8 Sleep'!$AA252</f>
        <v>0</v>
      </c>
      <c r="G28" s="685">
        <f>'7&amp;8 Sleep'!$N305+'7&amp;8 Sleep'!$AA305</f>
        <v>0</v>
      </c>
      <c r="H28" s="660">
        <f t="shared" si="7"/>
        <v>0.5829868144536523</v>
      </c>
      <c r="I28" s="660">
        <f>'7&amp;8 Day'!$N95+'7&amp;8 Day'!$AA95</f>
        <v>0.21344581620473119</v>
      </c>
      <c r="J28" s="660">
        <f>'7&amp;8 Day'!$N147+'7&amp;8 Day'!$AA147</f>
        <v>0.20356736934161651</v>
      </c>
      <c r="K28" s="660">
        <f>'7&amp;8 Day'!$N199+'7&amp;8 Day'!$AA199</f>
        <v>0</v>
      </c>
      <c r="L28" s="660">
        <f>'7&amp;8 Day'!$N252+'7&amp;8 Day'!$AA252</f>
        <v>0</v>
      </c>
      <c r="M28" s="660">
        <f>'7&amp;8 Day'!$N305+'7&amp;8 Day'!$AA305</f>
        <v>0</v>
      </c>
      <c r="N28" s="683">
        <f t="shared" si="8"/>
        <v>0.80870619859451909</v>
      </c>
      <c r="O28" s="684">
        <f>'7&amp;8 SU'!$N95+'7&amp;8 SU'!$AA95</f>
        <v>7.2404998682887037E-2</v>
      </c>
      <c r="P28" s="684">
        <f>'7&amp;8 SU'!$N147+'7&amp;8 SU'!$AA147</f>
        <v>9.6471299433021185E-2</v>
      </c>
      <c r="Q28" s="684">
        <f>'7&amp;8 SU'!$N199+'7&amp;8 SU'!$AA199</f>
        <v>2.241739462438834E-2</v>
      </c>
      <c r="R28" s="684">
        <f>'7&amp;8 SU'!$N252+'7&amp;8 SU'!$AA252</f>
        <v>1.0866518436118608E-7</v>
      </c>
      <c r="S28" s="685">
        <f>'7&amp;8 SU'!$N305+'7&amp;8 SU'!$AA305</f>
        <v>0</v>
      </c>
      <c r="T28" s="664">
        <f>B28*'Market Data'!$C$52+H28*'Market Data'!$M$52+N28*'Market Data'!$W$52</f>
        <v>0.65787534684190907</v>
      </c>
      <c r="U28" s="432">
        <f>SUM(C28:G28)*'Market Data'!$C$52+SUM(I28:M28)*'Market Data'!$M$52+SUM(O28:S28)*'Market Data'!$W$52</f>
        <v>0.34212465315809082</v>
      </c>
      <c r="X28" s="117"/>
    </row>
    <row r="29" spans="1:26" ht="15" x14ac:dyDescent="0.2">
      <c r="A29" s="403">
        <v>2027</v>
      </c>
      <c r="B29" s="675">
        <f t="shared" si="6"/>
        <v>0.53994301905076669</v>
      </c>
      <c r="C29" s="676">
        <f>'7&amp;8 Sleep'!$N96+'7&amp;8 Sleep'!$AA96</f>
        <v>0.30045915818016555</v>
      </c>
      <c r="D29" s="676">
        <f>'7&amp;8 Sleep'!$N148+'7&amp;8 Sleep'!$AA148</f>
        <v>0.15959782276906775</v>
      </c>
      <c r="E29" s="676">
        <f>'7&amp;8 Sleep'!$N200+'7&amp;8 Sleep'!$AA200</f>
        <v>0</v>
      </c>
      <c r="F29" s="676">
        <f>'7&amp;8 Sleep'!$N253+'7&amp;8 Sleep'!$AA253</f>
        <v>0</v>
      </c>
      <c r="G29" s="677">
        <f>'7&amp;8 Sleep'!$N306+'7&amp;8 Sleep'!$AA306</f>
        <v>0</v>
      </c>
      <c r="H29" s="658">
        <f t="shared" si="7"/>
        <v>0.51802455343876619</v>
      </c>
      <c r="I29" s="658">
        <f>'7&amp;8 Day'!$N96+'7&amp;8 Day'!$AA96</f>
        <v>0.24497596081650225</v>
      </c>
      <c r="J29" s="658">
        <f>'7&amp;8 Day'!$N148+'7&amp;8 Day'!$AA148</f>
        <v>0.23699948574473151</v>
      </c>
      <c r="K29" s="658">
        <f>'7&amp;8 Day'!$N200+'7&amp;8 Day'!$AA200</f>
        <v>0</v>
      </c>
      <c r="L29" s="658">
        <f>'7&amp;8 Day'!$N253+'7&amp;8 Day'!$AA253</f>
        <v>0</v>
      </c>
      <c r="M29" s="658">
        <f>'7&amp;8 Day'!$N306+'7&amp;8 Day'!$AA306</f>
        <v>0</v>
      </c>
      <c r="N29" s="675">
        <f t="shared" si="8"/>
        <v>0.77811042588849655</v>
      </c>
      <c r="O29" s="676">
        <f>'7&amp;8 SU'!$N96+'7&amp;8 SU'!$AA96</f>
        <v>6.4136755317045852E-2</v>
      </c>
      <c r="P29" s="676">
        <f>'7&amp;8 SU'!$N148+'7&amp;8 SU'!$AA148</f>
        <v>0.12709471225983268</v>
      </c>
      <c r="Q29" s="676">
        <f>'7&amp;8 SU'!$N200+'7&amp;8 SU'!$AA200</f>
        <v>3.0656578461523754E-2</v>
      </c>
      <c r="R29" s="676">
        <f>'7&amp;8 SU'!$N253+'7&amp;8 SU'!$AA253</f>
        <v>1.5280731010999134E-6</v>
      </c>
      <c r="S29" s="677">
        <f>'7&amp;8 SU'!$N306+'7&amp;8 SU'!$AA306</f>
        <v>0</v>
      </c>
      <c r="T29" s="662">
        <f>B29*'Market Data'!$C$52+H29*'Market Data'!$M$52+N29*'Market Data'!$W$52</f>
        <v>0.5981350540142234</v>
      </c>
      <c r="U29" s="425">
        <f>SUM(C29:G29)*'Market Data'!$C$52+SUM(I29:M29)*'Market Data'!$M$52+SUM(O29:S29)*'Market Data'!$W$52</f>
        <v>0.40186494598577654</v>
      </c>
      <c r="X29" s="117"/>
    </row>
    <row r="30" spans="1:26" ht="15" x14ac:dyDescent="0.2">
      <c r="A30" s="403">
        <v>2028</v>
      </c>
      <c r="B30" s="675">
        <f t="shared" si="6"/>
        <v>0.49825456930105383</v>
      </c>
      <c r="C30" s="676">
        <f>'7&amp;8 Sleep'!$N97+'7&amp;8 Sleep'!$AA97</f>
        <v>0.31288121704383121</v>
      </c>
      <c r="D30" s="676">
        <f>'7&amp;8 Sleep'!$N149+'7&amp;8 Sleep'!$AA149</f>
        <v>0.18886421365511502</v>
      </c>
      <c r="E30" s="676">
        <f>'7&amp;8 Sleep'!$N201+'7&amp;8 Sleep'!$AA201</f>
        <v>0</v>
      </c>
      <c r="F30" s="676">
        <f>'7&amp;8 Sleep'!$N254+'7&amp;8 Sleep'!$AA254</f>
        <v>0</v>
      </c>
      <c r="G30" s="677">
        <f>'7&amp;8 Sleep'!$N307+'7&amp;8 Sleep'!$AA307</f>
        <v>0</v>
      </c>
      <c r="H30" s="658">
        <f t="shared" si="7"/>
        <v>0.46741751013074895</v>
      </c>
      <c r="I30" s="658">
        <f>'7&amp;8 Day'!$N97+'7&amp;8 Day'!$AA97</f>
        <v>0.27036348537966309</v>
      </c>
      <c r="J30" s="658">
        <f>'7&amp;8 Day'!$N149+'7&amp;8 Day'!$AA149</f>
        <v>0.26221900448958801</v>
      </c>
      <c r="K30" s="658">
        <f>'7&amp;8 Day'!$N201+'7&amp;8 Day'!$AA201</f>
        <v>0</v>
      </c>
      <c r="L30" s="658">
        <f>'7&amp;8 Day'!$N254+'7&amp;8 Day'!$AA254</f>
        <v>0</v>
      </c>
      <c r="M30" s="658">
        <f>'7&amp;8 Day'!$N307+'7&amp;8 Day'!$AA307</f>
        <v>0</v>
      </c>
      <c r="N30" s="675">
        <f t="shared" si="8"/>
        <v>0.74642078804731748</v>
      </c>
      <c r="O30" s="676">
        <f>'7&amp;8 SU'!$N97+'7&amp;8 SU'!$AA97</f>
        <v>7.4327165269390705E-2</v>
      </c>
      <c r="P30" s="676">
        <f>'7&amp;8 SU'!$N149+'7&amp;8 SU'!$AA149</f>
        <v>0.14016379730492567</v>
      </c>
      <c r="Q30" s="676">
        <f>'7&amp;8 SU'!$N201+'7&amp;8 SU'!$AA201</f>
        <v>3.9071104388393188E-2</v>
      </c>
      <c r="R30" s="676">
        <f>'7&amp;8 SU'!$N254+'7&amp;8 SU'!$AA254</f>
        <v>1.714498997297714E-5</v>
      </c>
      <c r="S30" s="677">
        <f>'7&amp;8 SU'!$N307+'7&amp;8 SU'!$AA307</f>
        <v>0</v>
      </c>
      <c r="T30" s="662">
        <f>B30*'Market Data'!$C$52+H30*'Market Data'!$M$52+N30*'Market Data'!$W$52</f>
        <v>0.55684312546818104</v>
      </c>
      <c r="U30" s="425">
        <f>SUM(C30:G30)*'Market Data'!$C$52+SUM(I30:M30)*'Market Data'!$M$52+SUM(O30:S30)*'Market Data'!$W$52</f>
        <v>0.4431568745318189</v>
      </c>
      <c r="X30" s="117"/>
    </row>
    <row r="31" spans="1:26" ht="15" x14ac:dyDescent="0.2">
      <c r="A31" s="403">
        <v>2029</v>
      </c>
      <c r="B31" s="675">
        <f t="shared" si="6"/>
        <v>0.49105829582785876</v>
      </c>
      <c r="C31" s="676">
        <f>'7&amp;8 Sleep'!$N98+'7&amp;8 Sleep'!$AA98</f>
        <v>0.32855024258670967</v>
      </c>
      <c r="D31" s="676">
        <f>'7&amp;8 Sleep'!$N150+'7&amp;8 Sleep'!$AA150</f>
        <v>0.18039146158543157</v>
      </c>
      <c r="E31" s="676">
        <f>'7&amp;8 Sleep'!$N202+'7&amp;8 Sleep'!$AA202</f>
        <v>0</v>
      </c>
      <c r="F31" s="676">
        <f>'7&amp;8 Sleep'!$N255+'7&amp;8 Sleep'!$AA255</f>
        <v>0</v>
      </c>
      <c r="G31" s="677">
        <f>'7&amp;8 Sleep'!$N308+'7&amp;8 Sleep'!$AA308</f>
        <v>0</v>
      </c>
      <c r="H31" s="658">
        <f t="shared" si="7"/>
        <v>0.44129736350856907</v>
      </c>
      <c r="I31" s="658">
        <f>'7&amp;8 Day'!$N98+'7&amp;8 Day'!$AA98</f>
        <v>0.28154423403506901</v>
      </c>
      <c r="J31" s="658">
        <f>'7&amp;8 Day'!$N150+'7&amp;8 Day'!$AA150</f>
        <v>0.27715840245636192</v>
      </c>
      <c r="K31" s="658">
        <f>'7&amp;8 Day'!$N202+'7&amp;8 Day'!$AA202</f>
        <v>0</v>
      </c>
      <c r="L31" s="658">
        <f>'7&amp;8 Day'!$N255+'7&amp;8 Day'!$AA255</f>
        <v>0</v>
      </c>
      <c r="M31" s="658">
        <f>'7&amp;8 Day'!$N308+'7&amp;8 Day'!$AA308</f>
        <v>0</v>
      </c>
      <c r="N31" s="675">
        <f t="shared" si="8"/>
        <v>0.73661567709998765</v>
      </c>
      <c r="O31" s="676">
        <f>'7&amp;8 SU'!$N98+'7&amp;8 SU'!$AA98</f>
        <v>7.6024916537474965E-2</v>
      </c>
      <c r="P31" s="676">
        <f>'7&amp;8 SU'!$N150+'7&amp;8 SU'!$AA150</f>
        <v>0.14223669751265527</v>
      </c>
      <c r="Q31" s="676">
        <f>'7&amp;8 SU'!$N202+'7&amp;8 SU'!$AA202</f>
        <v>4.5026451995415662E-2</v>
      </c>
      <c r="R31" s="676">
        <f>'7&amp;8 SU'!$N255+'7&amp;8 SU'!$AA255</f>
        <v>9.6256854466377842E-5</v>
      </c>
      <c r="S31" s="677">
        <f>'7&amp;8 SU'!$N308+'7&amp;8 SU'!$AA308</f>
        <v>0</v>
      </c>
      <c r="T31" s="662">
        <f>B31*'Market Data'!$C$52+H31*'Market Data'!$M$52+N31*'Market Data'!$W$52</f>
        <v>0.54410603793413492</v>
      </c>
      <c r="U31" s="425">
        <f>SUM(C31:G31)*'Market Data'!$C$52+SUM(I31:M31)*'Market Data'!$M$52+SUM(O31:S31)*'Market Data'!$W$52</f>
        <v>0.45589396206586497</v>
      </c>
      <c r="V31"/>
      <c r="W31"/>
      <c r="X31"/>
      <c r="Y31"/>
      <c r="Z31"/>
    </row>
    <row r="32" spans="1:26" ht="15" x14ac:dyDescent="0.2">
      <c r="A32" s="402">
        <v>2030</v>
      </c>
      <c r="B32" s="678">
        <f t="shared" si="6"/>
        <v>0.48598373786379967</v>
      </c>
      <c r="C32" s="679">
        <f>'7&amp;8 Sleep'!$N99+'7&amp;8 Sleep'!$AA99</f>
        <v>0.32076429501865433</v>
      </c>
      <c r="D32" s="679">
        <f>'7&amp;8 Sleep'!$N151+'7&amp;8 Sleep'!$AA151</f>
        <v>0.19325196711754603</v>
      </c>
      <c r="E32" s="679">
        <f>'7&amp;8 Sleep'!$N203+'7&amp;8 Sleep'!$AA203</f>
        <v>0</v>
      </c>
      <c r="F32" s="679">
        <f>'7&amp;8 Sleep'!$N256+'7&amp;8 Sleep'!$AA256</f>
        <v>0</v>
      </c>
      <c r="G32" s="680">
        <f>'7&amp;8 Sleep'!$N309+'7&amp;8 Sleep'!$AA309</f>
        <v>0</v>
      </c>
      <c r="H32" s="659">
        <f t="shared" si="7"/>
        <v>0.41077440062305981</v>
      </c>
      <c r="I32" s="659">
        <f>'7&amp;8 Day'!$N99+'7&amp;8 Day'!$AA99</f>
        <v>0.29526383711745752</v>
      </c>
      <c r="J32" s="659">
        <f>'7&amp;8 Day'!$N151+'7&amp;8 Day'!$AA151</f>
        <v>0.29396176225948273</v>
      </c>
      <c r="K32" s="659">
        <f>'7&amp;8 Day'!$N203+'7&amp;8 Day'!$AA203</f>
        <v>0</v>
      </c>
      <c r="L32" s="659">
        <f>'7&amp;8 Day'!$N256+'7&amp;8 Day'!$AA256</f>
        <v>0</v>
      </c>
      <c r="M32" s="659">
        <f>'7&amp;8 Day'!$N309+'7&amp;8 Day'!$AA309</f>
        <v>0</v>
      </c>
      <c r="N32" s="678">
        <f t="shared" si="8"/>
        <v>0.72368464946430422</v>
      </c>
      <c r="O32" s="679">
        <f>'7&amp;8 SU'!$N99+'7&amp;8 SU'!$AA99</f>
        <v>8.1258792115553952E-2</v>
      </c>
      <c r="P32" s="679">
        <f>'7&amp;8 SU'!$N151+'7&amp;8 SU'!$AA151</f>
        <v>0.14204499899462908</v>
      </c>
      <c r="Q32" s="679">
        <f>'7&amp;8 SU'!$N203+'7&amp;8 SU'!$AA203</f>
        <v>5.2607966566747225E-2</v>
      </c>
      <c r="R32" s="679">
        <f>'7&amp;8 SU'!$N256+'7&amp;8 SU'!$AA256</f>
        <v>4.0359285876549809E-4</v>
      </c>
      <c r="S32" s="680">
        <f>'7&amp;8 SU'!$N309+'7&amp;8 SU'!$AA309</f>
        <v>0</v>
      </c>
      <c r="T32" s="663">
        <f>B32*'Market Data'!$C$52+H32*'Market Data'!$M$52+N32*'Market Data'!$W$52</f>
        <v>0.53041553166285138</v>
      </c>
      <c r="U32" s="428">
        <f>SUM(C32:G32)*'Market Data'!$C$52+SUM(I32:M32)*'Market Data'!$M$52+SUM(O32:S32)*'Market Data'!$W$52</f>
        <v>0.46958446833714851</v>
      </c>
      <c r="V32" s="425">
        <f>D32*'Market Data'!$C$52+J32*'Market Data'!$M$52+P32*'Market Data'!$W$52</f>
        <v>0.2053027876925731</v>
      </c>
      <c r="W32" s="425">
        <f>E32*'Market Data'!$C$52+Q32*'Market Data'!$W$52</f>
        <v>1.4092604720588577E-2</v>
      </c>
      <c r="X32" s="425">
        <f>F32*'Market Data'!$C$52+L32*'Market Data'!$M$52</f>
        <v>0</v>
      </c>
      <c r="Y32" s="425">
        <f>K32*'Market Data'!$M$52+R32*'Market Data'!$W$52</f>
        <v>1.0811432179987732E-4</v>
      </c>
      <c r="Z32" s="1285">
        <f>1-SUM(V32:Y32)</f>
        <v>0.78049649326503845</v>
      </c>
    </row>
    <row r="33" spans="1:26" ht="15" x14ac:dyDescent="0.2">
      <c r="A33" s="648">
        <v>2031</v>
      </c>
      <c r="B33" s="683">
        <f t="shared" si="6"/>
        <v>0.48763264740722079</v>
      </c>
      <c r="C33" s="684">
        <f>'7&amp;8 Sleep'!$N100+'7&amp;8 Sleep'!$AA100</f>
        <v>0.31440701585679487</v>
      </c>
      <c r="D33" s="684">
        <f>'7&amp;8 Sleep'!$N152+'7&amp;8 Sleep'!$AA152</f>
        <v>0.19796033673598434</v>
      </c>
      <c r="E33" s="684">
        <f>'7&amp;8 Sleep'!$N204+'7&amp;8 Sleep'!$AA204</f>
        <v>0</v>
      </c>
      <c r="F33" s="684">
        <f>'7&amp;8 Sleep'!$N257+'7&amp;8 Sleep'!$AA257</f>
        <v>0</v>
      </c>
      <c r="G33" s="685">
        <f>'7&amp;8 Sleep'!$N310+'7&amp;8 Sleep'!$AA310</f>
        <v>0</v>
      </c>
      <c r="H33" s="660">
        <f t="shared" si="7"/>
        <v>0.40856951569615418</v>
      </c>
      <c r="I33" s="660">
        <f>'7&amp;8 Day'!$N100+'7&amp;8 Day'!$AA100</f>
        <v>0.29578102538357343</v>
      </c>
      <c r="J33" s="660">
        <f>'7&amp;8 Day'!$N152+'7&amp;8 Day'!$AA152</f>
        <v>0.2956484905161666</v>
      </c>
      <c r="K33" s="660">
        <f>'7&amp;8 Day'!$N204+'7&amp;8 Day'!$AA204</f>
        <v>9.684041057980345E-7</v>
      </c>
      <c r="L33" s="660">
        <f>'7&amp;8 Day'!$N257+'7&amp;8 Day'!$AA257</f>
        <v>0</v>
      </c>
      <c r="M33" s="660">
        <f>'7&amp;8 Day'!$N310+'7&amp;8 Day'!$AA310</f>
        <v>0</v>
      </c>
      <c r="N33" s="683">
        <f t="shared" si="8"/>
        <v>0.72242552581205199</v>
      </c>
      <c r="O33" s="684">
        <f>'7&amp;8 SU'!$N100+'7&amp;8 SU'!$AA100</f>
        <v>8.3192297065448506E-2</v>
      </c>
      <c r="P33" s="684">
        <f>'7&amp;8 SU'!$N152+'7&amp;8 SU'!$AA152</f>
        <v>0.14076452020645927</v>
      </c>
      <c r="Q33" s="684">
        <f>'7&amp;8 SU'!$N204+'7&amp;8 SU'!$AA204</f>
        <v>5.2914308818673775E-2</v>
      </c>
      <c r="R33" s="684">
        <f>'7&amp;8 SU'!$N257+'7&amp;8 SU'!$AA257</f>
        <v>7.0334809736649661E-4</v>
      </c>
      <c r="S33" s="685">
        <f>'7&amp;8 SU'!$N310+'7&amp;8 SU'!$AA310</f>
        <v>0</v>
      </c>
      <c r="T33" s="664">
        <f>B33*'Market Data'!$C$52+H33*'Market Data'!$M$52+N33*'Market Data'!$W$52</f>
        <v>0.53029938655427278</v>
      </c>
      <c r="U33" s="432">
        <f>SUM(C33:G33)*'Market Data'!$C$52+SUM(I33:M33)*'Market Data'!$M$52+SUM(O33:S33)*'Market Data'!$W$52</f>
        <v>0.46970061344572717</v>
      </c>
    </row>
    <row r="34" spans="1:26" ht="15" x14ac:dyDescent="0.2">
      <c r="A34" s="403">
        <v>2032</v>
      </c>
      <c r="B34" s="675">
        <f t="shared" si="6"/>
        <v>0.4924426184689511</v>
      </c>
      <c r="C34" s="676">
        <f>'7&amp;8 Sleep'!$N101+'7&amp;8 Sleep'!$AA101</f>
        <v>0.30815053559833705</v>
      </c>
      <c r="D34" s="676">
        <f>'7&amp;8 Sleep'!$N153+'7&amp;8 Sleep'!$AA153</f>
        <v>0.19940684593271188</v>
      </c>
      <c r="E34" s="676">
        <f>'7&amp;8 Sleep'!$N205+'7&amp;8 Sleep'!$AA205</f>
        <v>0</v>
      </c>
      <c r="F34" s="676">
        <f>'7&amp;8 Sleep'!$N258+'7&amp;8 Sleep'!$AA258</f>
        <v>0</v>
      </c>
      <c r="G34" s="677">
        <f>'7&amp;8 Sleep'!$N311+'7&amp;8 Sleep'!$AA311</f>
        <v>0</v>
      </c>
      <c r="H34" s="658">
        <f t="shared" si="7"/>
        <v>0.40102115610850597</v>
      </c>
      <c r="I34" s="658">
        <f>'7&amp;8 Day'!$N101+'7&amp;8 Day'!$AA101</f>
        <v>0.29998870546587675</v>
      </c>
      <c r="J34" s="658">
        <f>'7&amp;8 Day'!$N153+'7&amp;8 Day'!$AA153</f>
        <v>0.29883532259771761</v>
      </c>
      <c r="K34" s="658">
        <f>'7&amp;8 Day'!$N205+'7&amp;8 Day'!$AA205</f>
        <v>1.5481582789965889E-4</v>
      </c>
      <c r="L34" s="658">
        <f>'7&amp;8 Day'!$N258+'7&amp;8 Day'!$AA258</f>
        <v>0</v>
      </c>
      <c r="M34" s="658">
        <f>'7&amp;8 Day'!$N311+'7&amp;8 Day'!$AA311</f>
        <v>0</v>
      </c>
      <c r="N34" s="675">
        <f t="shared" si="8"/>
        <v>0.71482490066177151</v>
      </c>
      <c r="O34" s="676">
        <f>'7&amp;8 SU'!$N101+'7&amp;8 SU'!$AA101</f>
        <v>8.3896138189521463E-2</v>
      </c>
      <c r="P34" s="676">
        <f>'7&amp;8 SU'!$N153+'7&amp;8 SU'!$AA153</f>
        <v>0.14689442460332514</v>
      </c>
      <c r="Q34" s="676">
        <f>'7&amp;8 SU'!$N205+'7&amp;8 SU'!$AA205</f>
        <v>5.3316580557943756E-2</v>
      </c>
      <c r="R34" s="676">
        <f>'7&amp;8 SU'!$N258+'7&amp;8 SU'!$AA258</f>
        <v>1.0679559874381065E-3</v>
      </c>
      <c r="S34" s="677">
        <f>'7&amp;8 SU'!$N311+'7&amp;8 SU'!$AA311</f>
        <v>0</v>
      </c>
      <c r="T34" s="662">
        <f>B34*'Market Data'!$C$52+H34*'Market Data'!$M$52+N34*'Market Data'!$W$52</f>
        <v>0.52862274514045549</v>
      </c>
      <c r="U34" s="425">
        <f>SUM(C34:G34)*'Market Data'!$C$52+SUM(I34:M34)*'Market Data'!$M$52+SUM(O34:S34)*'Market Data'!$W$52</f>
        <v>0.47137725485954446</v>
      </c>
    </row>
    <row r="35" spans="1:26" ht="15" x14ac:dyDescent="0.2">
      <c r="A35" s="403">
        <v>2033</v>
      </c>
      <c r="B35" s="675">
        <f t="shared" si="6"/>
        <v>0.48375247085994688</v>
      </c>
      <c r="C35" s="676">
        <f>'7&amp;8 Sleep'!$N102+'7&amp;8 Sleep'!$AA102</f>
        <v>0.29493187900533979</v>
      </c>
      <c r="D35" s="676">
        <f>'7&amp;8 Sleep'!$N154+'7&amp;8 Sleep'!$AA154</f>
        <v>0.22131565013471335</v>
      </c>
      <c r="E35" s="676">
        <f>'7&amp;8 Sleep'!$N206+'7&amp;8 Sleep'!$AA206</f>
        <v>0</v>
      </c>
      <c r="F35" s="676">
        <f>'7&amp;8 Sleep'!$N259+'7&amp;8 Sleep'!$AA259</f>
        <v>0</v>
      </c>
      <c r="G35" s="677">
        <f>'7&amp;8 Sleep'!$N312+'7&amp;8 Sleep'!$AA312</f>
        <v>0</v>
      </c>
      <c r="H35" s="658">
        <f t="shared" si="7"/>
        <v>0.3937949070229857</v>
      </c>
      <c r="I35" s="658">
        <f>'7&amp;8 Day'!$N102+'7&amp;8 Day'!$AA102</f>
        <v>0.30245250371655047</v>
      </c>
      <c r="J35" s="658">
        <f>'7&amp;8 Day'!$N154+'7&amp;8 Day'!$AA154</f>
        <v>0.30231697946368485</v>
      </c>
      <c r="K35" s="658">
        <f>'7&amp;8 Day'!$N206+'7&amp;8 Day'!$AA206</f>
        <v>1.4356097967790577E-3</v>
      </c>
      <c r="L35" s="658">
        <f>'7&amp;8 Day'!$N259+'7&amp;8 Day'!$AA259</f>
        <v>0</v>
      </c>
      <c r="M35" s="658">
        <f>'7&amp;8 Day'!$N312+'7&amp;8 Day'!$AA312</f>
        <v>0</v>
      </c>
      <c r="N35" s="675">
        <f t="shared" si="8"/>
        <v>0.71029967739995548</v>
      </c>
      <c r="O35" s="676">
        <f>'7&amp;8 SU'!$N102+'7&amp;8 SU'!$AA102</f>
        <v>8.7036049514021246E-2</v>
      </c>
      <c r="P35" s="676">
        <f>'7&amp;8 SU'!$N154+'7&amp;8 SU'!$AA154</f>
        <v>0.14646334732973076</v>
      </c>
      <c r="Q35" s="676">
        <f>'7&amp;8 SU'!$N206+'7&amp;8 SU'!$AA206</f>
        <v>5.4647750229308928E-2</v>
      </c>
      <c r="R35" s="676">
        <f>'7&amp;8 SU'!$N259+'7&amp;8 SU'!$AA259</f>
        <v>1.5531755269836266E-3</v>
      </c>
      <c r="S35" s="677">
        <f>'7&amp;8 SU'!$N312+'7&amp;8 SU'!$AA312</f>
        <v>0</v>
      </c>
      <c r="T35" s="662">
        <f>B35*'Market Data'!$C$52+H35*'Market Data'!$M$52+N35*'Market Data'!$W$52</f>
        <v>0.52142285669830424</v>
      </c>
      <c r="U35" s="425">
        <f>SUM(C35:G35)*'Market Data'!$C$52+SUM(I35:M35)*'Market Data'!$M$52+SUM(O35:S35)*'Market Data'!$W$52</f>
        <v>0.47857714330169571</v>
      </c>
    </row>
    <row r="36" spans="1:26" ht="15" x14ac:dyDescent="0.2">
      <c r="A36" s="403">
        <v>2034</v>
      </c>
      <c r="B36" s="675">
        <f t="shared" si="6"/>
        <v>0.47998061948749027</v>
      </c>
      <c r="C36" s="676">
        <f>'7&amp;8 Sleep'!$N103+'7&amp;8 Sleep'!$AA103</f>
        <v>0.29428024161458882</v>
      </c>
      <c r="D36" s="676">
        <f>'7&amp;8 Sleep'!$N155+'7&amp;8 Sleep'!$AA155</f>
        <v>0.22573913889792085</v>
      </c>
      <c r="E36" s="676">
        <f>'7&amp;8 Sleep'!$N207+'7&amp;8 Sleep'!$AA207</f>
        <v>0</v>
      </c>
      <c r="F36" s="676">
        <f>'7&amp;8 Sleep'!$N260+'7&amp;8 Sleep'!$AA260</f>
        <v>0</v>
      </c>
      <c r="G36" s="677">
        <f>'7&amp;8 Sleep'!$N313+'7&amp;8 Sleep'!$AA313</f>
        <v>0</v>
      </c>
      <c r="H36" s="658">
        <f t="shared" si="7"/>
        <v>0.39374761918673218</v>
      </c>
      <c r="I36" s="658">
        <f>'7&amp;8 Day'!$N103+'7&amp;8 Day'!$AA103</f>
        <v>0.30086383518286935</v>
      </c>
      <c r="J36" s="658">
        <f>'7&amp;8 Day'!$N155+'7&amp;8 Day'!$AA155</f>
        <v>0.30072902278761254</v>
      </c>
      <c r="K36" s="658">
        <f>'7&amp;8 Day'!$N207+'7&amp;8 Day'!$AA207</f>
        <v>4.6595228427859471E-3</v>
      </c>
      <c r="L36" s="658">
        <f>'7&amp;8 Day'!$N260+'7&amp;8 Day'!$AA260</f>
        <v>0</v>
      </c>
      <c r="M36" s="658">
        <f>'7&amp;8 Day'!$N313+'7&amp;8 Day'!$AA313</f>
        <v>0</v>
      </c>
      <c r="N36" s="675">
        <f t="shared" si="8"/>
        <v>0.70878779460960639</v>
      </c>
      <c r="O36" s="676">
        <f>'7&amp;8 SU'!$N103+'7&amp;8 SU'!$AA103</f>
        <v>8.7303552140733459E-2</v>
      </c>
      <c r="P36" s="676">
        <f>'7&amp;8 SU'!$N155+'7&amp;8 SU'!$AA155</f>
        <v>0.14642959500065889</v>
      </c>
      <c r="Q36" s="676">
        <f>'7&amp;8 SU'!$N207+'7&amp;8 SU'!$AA207</f>
        <v>5.532972866507678E-2</v>
      </c>
      <c r="R36" s="676">
        <f>'7&amp;8 SU'!$N260+'7&amp;8 SU'!$AA260</f>
        <v>2.1493295839245708E-3</v>
      </c>
      <c r="S36" s="677">
        <f>'7&amp;8 SU'!$N313+'7&amp;8 SU'!$AA313</f>
        <v>0</v>
      </c>
      <c r="T36" s="662">
        <f>B36*'Market Data'!$C$52+H36*'Market Data'!$M$52+N36*'Market Data'!$W$52</f>
        <v>0.51920939095141572</v>
      </c>
      <c r="U36" s="425">
        <f>SUM(C36:G36)*'Market Data'!$C$52+SUM(I36:M36)*'Market Data'!$M$52+SUM(O36:S36)*'Market Data'!$W$52</f>
        <v>0.48079060904858428</v>
      </c>
    </row>
    <row r="37" spans="1:26" ht="15" x14ac:dyDescent="0.2">
      <c r="A37" s="402">
        <v>2035</v>
      </c>
      <c r="B37" s="678">
        <f t="shared" si="6"/>
        <v>0.4771711823208109</v>
      </c>
      <c r="C37" s="679">
        <f>'7&amp;8 Sleep'!$N104+'7&amp;8 Sleep'!$AA104</f>
        <v>0.29134402124707781</v>
      </c>
      <c r="D37" s="679">
        <f>'7&amp;8 Sleep'!$N156+'7&amp;8 Sleep'!$AA156</f>
        <v>0.23148479643211128</v>
      </c>
      <c r="E37" s="679">
        <f>'7&amp;8 Sleep'!$N208+'7&amp;8 Sleep'!$AA208</f>
        <v>0</v>
      </c>
      <c r="F37" s="679">
        <f>'7&amp;8 Sleep'!$N261+'7&amp;8 Sleep'!$AA261</f>
        <v>0</v>
      </c>
      <c r="G37" s="680">
        <f>'7&amp;8 Sleep'!$N314+'7&amp;8 Sleep'!$AA314</f>
        <v>0</v>
      </c>
      <c r="H37" s="659">
        <f t="shared" si="7"/>
        <v>0.39218689784919336</v>
      </c>
      <c r="I37" s="659">
        <f>'7&amp;8 Day'!$N104+'7&amp;8 Day'!$AA104</f>
        <v>0.29721768269512494</v>
      </c>
      <c r="J37" s="659">
        <f>'7&amp;8 Day'!$N156+'7&amp;8 Day'!$AA156</f>
        <v>0.29708450408396869</v>
      </c>
      <c r="K37" s="659">
        <f>'7&amp;8 Day'!$N208+'7&amp;8 Day'!$AA208</f>
        <v>1.3510915371713001E-2</v>
      </c>
      <c r="L37" s="659">
        <f>'7&amp;8 Day'!$N261+'7&amp;8 Day'!$AA261</f>
        <v>0</v>
      </c>
      <c r="M37" s="659">
        <f>'7&amp;8 Day'!$N314+'7&amp;8 Day'!$AA314</f>
        <v>0</v>
      </c>
      <c r="N37" s="678">
        <f t="shared" si="8"/>
        <v>0.70875146115466203</v>
      </c>
      <c r="O37" s="679">
        <f>'7&amp;8 SU'!$N104+'7&amp;8 SU'!$AA104</f>
        <v>8.7609300395788098E-2</v>
      </c>
      <c r="P37" s="679">
        <f>'7&amp;8 SU'!$N156+'7&amp;8 SU'!$AA156</f>
        <v>0.14393280619220022</v>
      </c>
      <c r="Q37" s="679">
        <f>'7&amp;8 SU'!$N208+'7&amp;8 SU'!$AA208</f>
        <v>5.6556456313291426E-2</v>
      </c>
      <c r="R37" s="679">
        <f>'7&amp;8 SU'!$N261+'7&amp;8 SU'!$AA261</f>
        <v>3.1499759440581912E-3</v>
      </c>
      <c r="S37" s="680">
        <f>'7&amp;8 SU'!$N314+'7&amp;8 SU'!$AA314</f>
        <v>0</v>
      </c>
      <c r="T37" s="663">
        <f>B37*'Market Data'!$C$52+H37*'Market Data'!$M$52+N37*'Market Data'!$W$52</f>
        <v>0.51746231474793603</v>
      </c>
      <c r="U37" s="428">
        <f>SUM(C37:G37)*'Market Data'!$C$52+SUM(I37:M37)*'Market Data'!$M$52+SUM(O37:S37)*'Market Data'!$W$52</f>
        <v>0.48253768525206397</v>
      </c>
    </row>
    <row r="38" spans="1:26" ht="15" x14ac:dyDescent="0.2">
      <c r="A38" s="648">
        <v>2036</v>
      </c>
      <c r="B38" s="683">
        <f t="shared" si="6"/>
        <v>0.46772558877673509</v>
      </c>
      <c r="C38" s="684">
        <f>'7&amp;8 Sleep'!$N105+'7&amp;8 Sleep'!$AA105</f>
        <v>0.22312063776907151</v>
      </c>
      <c r="D38" s="684">
        <f>'7&amp;8 Sleep'!$N157+'7&amp;8 Sleep'!$AA157</f>
        <v>0.30915377345419337</v>
      </c>
      <c r="E38" s="684">
        <f>'7&amp;8 Sleep'!$N209+'7&amp;8 Sleep'!$AA209</f>
        <v>0</v>
      </c>
      <c r="F38" s="684">
        <f>'7&amp;8 Sleep'!$N262+'7&amp;8 Sleep'!$AA262</f>
        <v>0</v>
      </c>
      <c r="G38" s="685">
        <f>'7&amp;8 Sleep'!$N315+'7&amp;8 Sleep'!$AA315</f>
        <v>0</v>
      </c>
      <c r="H38" s="660">
        <f t="shared" si="7"/>
        <v>0.3851314984089641</v>
      </c>
      <c r="I38" s="660">
        <f>'7&amp;8 Day'!$N105+'7&amp;8 Day'!$AA105</f>
        <v>0.29967447056774632</v>
      </c>
      <c r="J38" s="660">
        <f>'7&amp;8 Day'!$N157+'7&amp;8 Day'!$AA157</f>
        <v>0.29703399097650274</v>
      </c>
      <c r="K38" s="660">
        <f>'7&amp;8 Day'!$N209+'7&amp;8 Day'!$AA209</f>
        <v>1.8160040046786848E-2</v>
      </c>
      <c r="L38" s="660">
        <f>'7&amp;8 Day'!$N262+'7&amp;8 Day'!$AA262</f>
        <v>0</v>
      </c>
      <c r="M38" s="660">
        <f>'7&amp;8 Day'!$N315+'7&amp;8 Day'!$AA315</f>
        <v>0</v>
      </c>
      <c r="N38" s="683">
        <f t="shared" si="8"/>
        <v>0.6957143094399032</v>
      </c>
      <c r="O38" s="684">
        <f>'7&amp;8 SU'!$N105+'7&amp;8 SU'!$AA105</f>
        <v>9.2064387579375725E-2</v>
      </c>
      <c r="P38" s="684">
        <f>'7&amp;8 SU'!$N157+'7&amp;8 SU'!$AA157</f>
        <v>0.15470320036253207</v>
      </c>
      <c r="Q38" s="684">
        <f>'7&amp;8 SU'!$N209+'7&amp;8 SU'!$AA209</f>
        <v>5.395755951798397E-2</v>
      </c>
      <c r="R38" s="684">
        <f>'7&amp;8 SU'!$N262+'7&amp;8 SU'!$AA262</f>
        <v>3.5605431002051153E-3</v>
      </c>
      <c r="S38" s="685">
        <f>'7&amp;8 SU'!$N315+'7&amp;8 SU'!$AA315</f>
        <v>0</v>
      </c>
      <c r="T38" s="664">
        <f>B38*'Market Data'!$C$52+H38*'Market Data'!$M$52+N38*'Market Data'!$W$52</f>
        <v>0.50766618314645628</v>
      </c>
      <c r="U38" s="432">
        <f>SUM(C38:G38)*'Market Data'!$C$52+SUM(I38:M38)*'Market Data'!$M$52+SUM(O38:S38)*'Market Data'!$W$52</f>
        <v>0.49233381685354372</v>
      </c>
    </row>
    <row r="39" spans="1:26" ht="15" x14ac:dyDescent="0.2">
      <c r="A39" s="403">
        <v>2037</v>
      </c>
      <c r="B39" s="675">
        <f t="shared" si="6"/>
        <v>0.46079380359478006</v>
      </c>
      <c r="C39" s="676">
        <f>'7&amp;8 Sleep'!$N106+'7&amp;8 Sleep'!$AA106</f>
        <v>0.19285462853098459</v>
      </c>
      <c r="D39" s="676">
        <f>'7&amp;8 Sleep'!$N158+'7&amp;8 Sleep'!$AA158</f>
        <v>0.34635156787423532</v>
      </c>
      <c r="E39" s="676">
        <f>'7&amp;8 Sleep'!$N210+'7&amp;8 Sleep'!$AA210</f>
        <v>0</v>
      </c>
      <c r="F39" s="676">
        <f>'7&amp;8 Sleep'!$N263+'7&amp;8 Sleep'!$AA263</f>
        <v>0</v>
      </c>
      <c r="G39" s="677">
        <f>'7&amp;8 Sleep'!$N316+'7&amp;8 Sleep'!$AA316</f>
        <v>0</v>
      </c>
      <c r="H39" s="658">
        <f t="shared" si="7"/>
        <v>0.37739562283431538</v>
      </c>
      <c r="I39" s="658">
        <f>'7&amp;8 Day'!$N106+'7&amp;8 Day'!$AA106</f>
        <v>0.30084122484494447</v>
      </c>
      <c r="J39" s="658">
        <f>'7&amp;8 Day'!$N158+'7&amp;8 Day'!$AA158</f>
        <v>0.29869366644682593</v>
      </c>
      <c r="K39" s="658">
        <f>'7&amp;8 Day'!$N210+'7&amp;8 Day'!$AA210</f>
        <v>2.3069485873914233E-2</v>
      </c>
      <c r="L39" s="658">
        <f>'7&amp;8 Day'!$N263+'7&amp;8 Day'!$AA263</f>
        <v>0</v>
      </c>
      <c r="M39" s="658">
        <f>'7&amp;8 Day'!$N316+'7&amp;8 Day'!$AA316</f>
        <v>0</v>
      </c>
      <c r="N39" s="675">
        <f t="shared" si="8"/>
        <v>0.69557216697587487</v>
      </c>
      <c r="O39" s="676">
        <f>'7&amp;8 SU'!$N106+'7&amp;8 SU'!$AA106</f>
        <v>9.1761657553919129E-2</v>
      </c>
      <c r="P39" s="676">
        <f>'7&amp;8 SU'!$N158+'7&amp;8 SU'!$AA158</f>
        <v>0.15440107185334692</v>
      </c>
      <c r="Q39" s="676">
        <f>'7&amp;8 SU'!$N210+'7&amp;8 SU'!$AA210</f>
        <v>5.434694110902856E-2</v>
      </c>
      <c r="R39" s="676">
        <f>'7&amp;8 SU'!$N263+'7&amp;8 SU'!$AA263</f>
        <v>3.918162507830481E-3</v>
      </c>
      <c r="S39" s="677">
        <f>'7&amp;8 SU'!$N316+'7&amp;8 SU'!$AA316</f>
        <v>0</v>
      </c>
      <c r="T39" s="662">
        <f>B39*'Market Data'!$C$52+H39*'Market Data'!$M$52+N39*'Market Data'!$W$52</f>
        <v>0.50234746651026696</v>
      </c>
      <c r="U39" s="425">
        <f>SUM(C39:G39)*'Market Data'!$C$52+SUM(I39:M39)*'Market Data'!$M$52+SUM(O39:S39)*'Market Data'!$W$52</f>
        <v>0.49765253348973293</v>
      </c>
    </row>
    <row r="40" spans="1:26" ht="15" x14ac:dyDescent="0.2">
      <c r="A40" s="403">
        <v>2038</v>
      </c>
      <c r="B40" s="675">
        <f t="shared" si="6"/>
        <v>0.42875172702918452</v>
      </c>
      <c r="C40" s="676">
        <f>'7&amp;8 Sleep'!$N107+'7&amp;8 Sleep'!$AA107</f>
        <v>0.21020728453946841</v>
      </c>
      <c r="D40" s="676">
        <f>'7&amp;8 Sleep'!$N159+'7&amp;8 Sleep'!$AA159</f>
        <v>0.36104098843134713</v>
      </c>
      <c r="E40" s="676">
        <f>'7&amp;8 Sleep'!$N211+'7&amp;8 Sleep'!$AA211</f>
        <v>0</v>
      </c>
      <c r="F40" s="676">
        <f>'7&amp;8 Sleep'!$N264+'7&amp;8 Sleep'!$AA264</f>
        <v>0</v>
      </c>
      <c r="G40" s="677">
        <f>'7&amp;8 Sleep'!$N317+'7&amp;8 Sleep'!$AA317</f>
        <v>0</v>
      </c>
      <c r="H40" s="658">
        <f t="shared" si="7"/>
        <v>0.37739473325749273</v>
      </c>
      <c r="I40" s="658">
        <f>'7&amp;8 Day'!$N107+'7&amp;8 Day'!$AA107</f>
        <v>0.29691459537040243</v>
      </c>
      <c r="J40" s="658">
        <f>'7&amp;8 Day'!$N159+'7&amp;8 Day'!$AA159</f>
        <v>0.29678155256795247</v>
      </c>
      <c r="K40" s="658">
        <f>'7&amp;8 Day'!$N211+'7&amp;8 Day'!$AA211</f>
        <v>2.8909118804152339E-2</v>
      </c>
      <c r="L40" s="658">
        <f>'7&amp;8 Day'!$N264+'7&amp;8 Day'!$AA264</f>
        <v>0</v>
      </c>
      <c r="M40" s="658">
        <f>'7&amp;8 Day'!$N317+'7&amp;8 Day'!$AA317</f>
        <v>0</v>
      </c>
      <c r="N40" s="675">
        <f t="shared" si="8"/>
        <v>0.69553169678166737</v>
      </c>
      <c r="O40" s="676">
        <f>'7&amp;8 SU'!$N107+'7&amp;8 SU'!$AA107</f>
        <v>9.2383779003537392E-2</v>
      </c>
      <c r="P40" s="676">
        <f>'7&amp;8 SU'!$N159+'7&amp;8 SU'!$AA159</f>
        <v>0.15149309245228174</v>
      </c>
      <c r="Q40" s="676">
        <f>'7&amp;8 SU'!$N211+'7&amp;8 SU'!$AA211</f>
        <v>5.622208830655586E-2</v>
      </c>
      <c r="R40" s="676">
        <f>'7&amp;8 SU'!$N264+'7&amp;8 SU'!$AA264</f>
        <v>4.3693434559576114E-3</v>
      </c>
      <c r="S40" s="677">
        <f>'7&amp;8 SU'!$N317+'7&amp;8 SU'!$AA317</f>
        <v>0</v>
      </c>
      <c r="T40" s="662">
        <f>B40*'Market Data'!$C$52+H40*'Market Data'!$M$52+N40*'Market Data'!$W$52</f>
        <v>0.48707619263875979</v>
      </c>
      <c r="U40" s="425">
        <f>SUM(C40:G40)*'Market Data'!$C$52+SUM(I40:M40)*'Market Data'!$M$52+SUM(O40:S40)*'Market Data'!$W$52</f>
        <v>0.5129238073612401</v>
      </c>
    </row>
    <row r="41" spans="1:26" ht="15" x14ac:dyDescent="0.2">
      <c r="A41" s="403">
        <v>2039</v>
      </c>
      <c r="B41" s="675">
        <f t="shared" si="6"/>
        <v>0.38758506660810554</v>
      </c>
      <c r="C41" s="676">
        <f>'7&amp;8 Sleep'!$N108+'7&amp;8 Sleep'!$AA108</f>
        <v>0.24996526864949906</v>
      </c>
      <c r="D41" s="676">
        <f>'7&amp;8 Sleep'!$N160+'7&amp;8 Sleep'!$AA160</f>
        <v>0.36244966474239537</v>
      </c>
      <c r="E41" s="676">
        <f>'7&amp;8 Sleep'!$N212+'7&amp;8 Sleep'!$AA212</f>
        <v>0</v>
      </c>
      <c r="F41" s="676">
        <f>'7&amp;8 Sleep'!$N265+'7&amp;8 Sleep'!$AA265</f>
        <v>0</v>
      </c>
      <c r="G41" s="677">
        <f>'7&amp;8 Sleep'!$N318+'7&amp;8 Sleep'!$AA318</f>
        <v>0</v>
      </c>
      <c r="H41" s="658">
        <f t="shared" si="7"/>
        <v>0.3764378430719586</v>
      </c>
      <c r="I41" s="658">
        <f>'7&amp;8 Day'!$N108+'7&amp;8 Day'!$AA108</f>
        <v>0.29299930819588532</v>
      </c>
      <c r="J41" s="658">
        <f>'7&amp;8 Day'!$N160+'7&amp;8 Day'!$AA160</f>
        <v>0.29241540794323367</v>
      </c>
      <c r="K41" s="658">
        <f>'7&amp;8 Day'!$N212+'7&amp;8 Day'!$AA212</f>
        <v>3.8142956638128778E-2</v>
      </c>
      <c r="L41" s="658">
        <f>'7&amp;8 Day'!$N265+'7&amp;8 Day'!$AA265</f>
        <v>0</v>
      </c>
      <c r="M41" s="658">
        <f>'7&amp;8 Day'!$N318+'7&amp;8 Day'!$AA318</f>
        <v>4.4841507935532547E-6</v>
      </c>
      <c r="N41" s="675">
        <f t="shared" si="8"/>
        <v>0.69511131286246641</v>
      </c>
      <c r="O41" s="676">
        <f>'7&amp;8 SU'!$N108+'7&amp;8 SU'!$AA108</f>
        <v>9.4248130585542433E-2</v>
      </c>
      <c r="P41" s="676">
        <f>'7&amp;8 SU'!$N160+'7&amp;8 SU'!$AA160</f>
        <v>0.1497980186638728</v>
      </c>
      <c r="Q41" s="676">
        <f>'7&amp;8 SU'!$N212+'7&amp;8 SU'!$AA212</f>
        <v>5.5772751847236728E-2</v>
      </c>
      <c r="R41" s="676">
        <f>'7&amp;8 SU'!$N265+'7&amp;8 SU'!$AA265</f>
        <v>5.0548119936155668E-3</v>
      </c>
      <c r="S41" s="677">
        <f>'7&amp;8 SU'!$N318+'7&amp;8 SU'!$AA318</f>
        <v>1.4974047266104719E-5</v>
      </c>
      <c r="T41" s="662">
        <f>B41*'Market Data'!$C$52+H41*'Market Data'!$M$52+N41*'Market Data'!$W$52</f>
        <v>0.46711290999360866</v>
      </c>
      <c r="U41" s="425">
        <f>SUM(C41:G41)*'Market Data'!$C$52+SUM(I41:M41)*'Market Data'!$M$52+SUM(O41:S41)*'Market Data'!$W$52</f>
        <v>0.53288709000639123</v>
      </c>
    </row>
    <row r="42" spans="1:26" ht="15" x14ac:dyDescent="0.2">
      <c r="A42" s="402">
        <v>2040</v>
      </c>
      <c r="B42" s="678">
        <f t="shared" si="6"/>
        <v>0.34276057992869524</v>
      </c>
      <c r="C42" s="679">
        <f>'7&amp;8 Sleep'!$N109+'7&amp;8 Sleep'!$AA109</f>
        <v>0.28714682952962672</v>
      </c>
      <c r="D42" s="679">
        <f>'7&amp;8 Sleep'!$N161+'7&amp;8 Sleep'!$AA161</f>
        <v>0.37009259054167803</v>
      </c>
      <c r="E42" s="679">
        <f>'7&amp;8 Sleep'!$N213+'7&amp;8 Sleep'!$AA213</f>
        <v>0</v>
      </c>
      <c r="F42" s="679">
        <f>'7&amp;8 Sleep'!$N266+'7&amp;8 Sleep'!$AA266</f>
        <v>0</v>
      </c>
      <c r="G42" s="680">
        <f>'7&amp;8 Sleep'!$N319+'7&amp;8 Sleep'!$AA319</f>
        <v>0</v>
      </c>
      <c r="H42" s="842">
        <f t="shared" si="7"/>
        <v>0.37643772249553786</v>
      </c>
      <c r="I42" s="842">
        <f>'7&amp;8 Day'!$N109+'7&amp;8 Day'!$AA109</f>
        <v>0.2869651592797573</v>
      </c>
      <c r="J42" s="842">
        <f>'7&amp;8 Day'!$N161+'7&amp;8 Day'!$AA161</f>
        <v>0.28638396274766598</v>
      </c>
      <c r="K42" s="842">
        <f>'7&amp;8 Day'!$N213+'7&amp;8 Day'!$AA213</f>
        <v>4.7368421936975588E-2</v>
      </c>
      <c r="L42" s="842">
        <f>'7&amp;8 Day'!$N266+'7&amp;8 Day'!$AA266</f>
        <v>0</v>
      </c>
      <c r="M42" s="842">
        <f>'7&amp;8 Day'!$N319+'7&amp;8 Day'!$AA319</f>
        <v>2.8447335400633668E-3</v>
      </c>
      <c r="N42" s="675">
        <f t="shared" si="8"/>
        <v>0.6951111526049728</v>
      </c>
      <c r="O42" s="676">
        <f>'7&amp;8 SU'!$N109+'7&amp;8 SU'!$AA109</f>
        <v>9.3908631456694036E-2</v>
      </c>
      <c r="P42" s="676">
        <f>'7&amp;8 SU'!$N161+'7&amp;8 SU'!$AA161</f>
        <v>0.14942456300735374</v>
      </c>
      <c r="Q42" s="676">
        <f>'7&amp;8 SU'!$N213+'7&amp;8 SU'!$AA213</f>
        <v>5.5476762708949384E-2</v>
      </c>
      <c r="R42" s="676">
        <f>'7&amp;8 SU'!$N266+'7&amp;8 SU'!$AA266</f>
        <v>5.9645976859886967E-3</v>
      </c>
      <c r="S42" s="677">
        <f>'7&amp;8 SU'!$N319+'7&amp;8 SU'!$AA319</f>
        <v>1.1429253604132307E-4</v>
      </c>
      <c r="T42" s="663">
        <f>B42*'Market Data'!$C$52+H42*'Market Data'!$M$52+N42*'Market Data'!$W$52</f>
        <v>0.44576494199555622</v>
      </c>
      <c r="U42" s="428">
        <f>SUM(C42:G42)*'Market Data'!$C$52+SUM(I42:M42)*'Market Data'!$M$52+SUM(O42:S42)*'Market Data'!$W$52</f>
        <v>0.55423505800444373</v>
      </c>
    </row>
    <row r="43" spans="1:26" ht="15" x14ac:dyDescent="0.2">
      <c r="A43" s="403">
        <v>2041</v>
      </c>
      <c r="B43" s="683">
        <f t="shared" si="6"/>
        <v>0.30507702645283541</v>
      </c>
      <c r="C43" s="684">
        <f>'7&amp;8 Sleep'!$N110+'7&amp;8 Sleep'!$AA110</f>
        <v>0.31265971701245598</v>
      </c>
      <c r="D43" s="684">
        <f>'7&amp;8 Sleep'!$N162+'7&amp;8 Sleep'!$AA162</f>
        <v>0.38225917722647212</v>
      </c>
      <c r="E43" s="684">
        <f>'7&amp;8 Sleep'!$N214+'7&amp;8 Sleep'!$AA214</f>
        <v>0</v>
      </c>
      <c r="F43" s="684">
        <f>'7&amp;8 Sleep'!$N267+'7&amp;8 Sleep'!$AA267</f>
        <v>4.079308236481345E-6</v>
      </c>
      <c r="G43" s="685">
        <f>'7&amp;8 Sleep'!$N320+'7&amp;8 Sleep'!$AA320</f>
        <v>0</v>
      </c>
      <c r="H43" s="660">
        <f t="shared" si="7"/>
        <v>0.37295419149234621</v>
      </c>
      <c r="I43" s="660">
        <f>'7&amp;8 Day'!$N110+'7&amp;8 Day'!$AA110</f>
        <v>0.2664057015015977</v>
      </c>
      <c r="J43" s="660">
        <f>'7&amp;8 Day'!$N162+'7&amp;8 Day'!$AA162</f>
        <v>0.26628400790007151</v>
      </c>
      <c r="K43" s="660">
        <f>'7&amp;8 Day'!$N214+'7&amp;8 Day'!$AA214</f>
        <v>6.0153885074856521E-2</v>
      </c>
      <c r="L43" s="660">
        <f>'7&amp;8 Day'!$N267+'7&amp;8 Day'!$AA267</f>
        <v>0</v>
      </c>
      <c r="M43" s="660">
        <f>'7&amp;8 Day'!$N320+'7&amp;8 Day'!$AA320</f>
        <v>3.4202214031128074E-2</v>
      </c>
      <c r="N43" s="683">
        <f t="shared" si="8"/>
        <v>0.68739629444608985</v>
      </c>
      <c r="O43" s="684">
        <f>'7&amp;8 SU'!$N110+'7&amp;8 SU'!$AA110</f>
        <v>9.4512567408448309E-2</v>
      </c>
      <c r="P43" s="684">
        <f>'7&amp;8 SU'!$N162+'7&amp;8 SU'!$AA162</f>
        <v>0.15470068751467425</v>
      </c>
      <c r="Q43" s="684">
        <f>'7&amp;8 SU'!$N214+'7&amp;8 SU'!$AA214</f>
        <v>5.5045186839937629E-2</v>
      </c>
      <c r="R43" s="684">
        <f>'7&amp;8 SU'!$N267+'7&amp;8 SU'!$AA267</f>
        <v>7.6482627730916457E-3</v>
      </c>
      <c r="S43" s="685">
        <f>'7&amp;8 SU'!$N320+'7&amp;8 SU'!$AA320</f>
        <v>6.9700101775827319E-4</v>
      </c>
      <c r="T43" s="667">
        <f>B43*'Market Data'!$C$52+H43*'Market Data'!$M$52+N43*'Market Data'!$W$52</f>
        <v>0.42485998642471046</v>
      </c>
      <c r="U43" s="434">
        <f>SUM(C43:G43)*'Market Data'!$C$52+SUM(I43:M43)*'Market Data'!$M$52+SUM(O43:S43)*'Market Data'!$W$52</f>
        <v>0.57514001357528943</v>
      </c>
    </row>
    <row r="44" spans="1:26" ht="15" x14ac:dyDescent="0.2">
      <c r="A44" s="403">
        <v>2042</v>
      </c>
      <c r="B44" s="675">
        <f t="shared" si="6"/>
        <v>0.28349328362705351</v>
      </c>
      <c r="C44" s="676">
        <f>'7&amp;8 Sleep'!$N111+'7&amp;8 Sleep'!$AA111</f>
        <v>0.32839124379167572</v>
      </c>
      <c r="D44" s="676">
        <f>'7&amp;8 Sleep'!$N163+'7&amp;8 Sleep'!$AA163</f>
        <v>0.38782938632459435</v>
      </c>
      <c r="E44" s="676">
        <f>'7&amp;8 Sleep'!$N215+'7&amp;8 Sleep'!$AA215</f>
        <v>0</v>
      </c>
      <c r="F44" s="676">
        <f>'7&amp;8 Sleep'!$N268+'7&amp;8 Sleep'!$AA268</f>
        <v>2.8608625667633439E-4</v>
      </c>
      <c r="G44" s="677">
        <f>'7&amp;8 Sleep'!$N321+'7&amp;8 Sleep'!$AA321</f>
        <v>0</v>
      </c>
      <c r="H44" s="658">
        <f t="shared" si="7"/>
        <v>0.36653747013425986</v>
      </c>
      <c r="I44" s="658">
        <f>'7&amp;8 Day'!$N111+'7&amp;8 Day'!$AA111</f>
        <v>0.23792508384986946</v>
      </c>
      <c r="J44" s="658">
        <f>'7&amp;8 Day'!$N163+'7&amp;8 Day'!$AA163</f>
        <v>0.2378184733281164</v>
      </c>
      <c r="K44" s="658">
        <f>'7&amp;8 Day'!$N215+'7&amp;8 Day'!$AA215</f>
        <v>8.2574742856063282E-2</v>
      </c>
      <c r="L44" s="658">
        <f>'7&amp;8 Day'!$N268+'7&amp;8 Day'!$AA268</f>
        <v>0</v>
      </c>
      <c r="M44" s="658">
        <f>'7&amp;8 Day'!$N321+'7&amp;8 Day'!$AA321</f>
        <v>7.5144229831691028E-2</v>
      </c>
      <c r="N44" s="675">
        <f t="shared" si="8"/>
        <v>0.68182834386183255</v>
      </c>
      <c r="O44" s="676">
        <f>'7&amp;8 SU'!$N111+'7&amp;8 SU'!$AA111</f>
        <v>9.345018554593254E-2</v>
      </c>
      <c r="P44" s="676">
        <f>'7&amp;8 SU'!$N163+'7&amp;8 SU'!$AA163</f>
        <v>0.15420155290596785</v>
      </c>
      <c r="Q44" s="676">
        <f>'7&amp;8 SU'!$N215+'7&amp;8 SU'!$AA215</f>
        <v>5.6685216286937609E-2</v>
      </c>
      <c r="R44" s="676">
        <f>'7&amp;8 SU'!$N268+'7&amp;8 SU'!$AA268</f>
        <v>1.0873357718738905E-2</v>
      </c>
      <c r="S44" s="677">
        <f>'7&amp;8 SU'!$N321+'7&amp;8 SU'!$AA321</f>
        <v>2.9613436805905231E-3</v>
      </c>
      <c r="T44" s="662">
        <f>B44*'Market Data'!$C$52+H44*'Market Data'!$M$52+N44*'Market Data'!$W$52</f>
        <v>0.41144726087928052</v>
      </c>
      <c r="U44" s="425">
        <f>SUM(C44:G44)*'Market Data'!$C$52+SUM(I44:M44)*'Market Data'!$M$52+SUM(O44:S44)*'Market Data'!$W$52</f>
        <v>0.58855273912071948</v>
      </c>
    </row>
    <row r="45" spans="1:26" ht="15" x14ac:dyDescent="0.2">
      <c r="A45" s="403">
        <v>2043</v>
      </c>
      <c r="B45" s="675">
        <f t="shared" si="6"/>
        <v>0.2784072796006456</v>
      </c>
      <c r="C45" s="676">
        <f>'7&amp;8 Sleep'!$N112+'7&amp;8 Sleep'!$AA112</f>
        <v>0.33345499273802404</v>
      </c>
      <c r="D45" s="676">
        <f>'7&amp;8 Sleep'!$N164+'7&amp;8 Sleep'!$AA164</f>
        <v>0.38685605966725173</v>
      </c>
      <c r="E45" s="676">
        <f>'7&amp;8 Sleep'!$N216+'7&amp;8 Sleep'!$AA216</f>
        <v>0</v>
      </c>
      <c r="F45" s="676">
        <f>'7&amp;8 Sleep'!$N269+'7&amp;8 Sleep'!$AA269</f>
        <v>1.2816679940785575E-3</v>
      </c>
      <c r="G45" s="677">
        <f>'7&amp;8 Sleep'!$N322+'7&amp;8 Sleep'!$AA322</f>
        <v>0</v>
      </c>
      <c r="H45" s="658">
        <f t="shared" si="7"/>
        <v>0.36446192314905046</v>
      </c>
      <c r="I45" s="658">
        <f>'7&amp;8 Day'!$N112+'7&amp;8 Day'!$AA112</f>
        <v>0.2160829248508721</v>
      </c>
      <c r="J45" s="658">
        <f>'7&amp;8 Day'!$N164+'7&amp;8 Day'!$AA164</f>
        <v>0.21545715010555605</v>
      </c>
      <c r="K45" s="658">
        <f>'7&amp;8 Day'!$N216+'7&amp;8 Day'!$AA216</f>
        <v>0.10941424687694654</v>
      </c>
      <c r="L45" s="658">
        <f>'7&amp;8 Day'!$N269+'7&amp;8 Day'!$AA269</f>
        <v>5.3929259061313731E-4</v>
      </c>
      <c r="M45" s="658">
        <f>'7&amp;8 Day'!$N322+'7&amp;8 Day'!$AA322</f>
        <v>9.4044462426961767E-2</v>
      </c>
      <c r="N45" s="675">
        <f t="shared" si="8"/>
        <v>0.6817894598932388</v>
      </c>
      <c r="O45" s="676">
        <f>'7&amp;8 SU'!$N112+'7&amp;8 SU'!$AA112</f>
        <v>9.2530768064731858E-2</v>
      </c>
      <c r="P45" s="676">
        <f>'7&amp;8 SU'!$N164+'7&amp;8 SU'!$AA164</f>
        <v>0.14842970486654772</v>
      </c>
      <c r="Q45" s="676">
        <f>'7&amp;8 SU'!$N216+'7&amp;8 SU'!$AA216</f>
        <v>5.4194725370150132E-2</v>
      </c>
      <c r="R45" s="676">
        <f>'7&amp;8 SU'!$N269+'7&amp;8 SU'!$AA269</f>
        <v>1.5905458201516953E-2</v>
      </c>
      <c r="S45" s="677">
        <f>'7&amp;8 SU'!$N322+'7&amp;8 SU'!$AA322</f>
        <v>7.1498836038144777E-3</v>
      </c>
      <c r="T45" s="662">
        <f>B45*'Market Data'!$C$52+H45*'Market Data'!$M$52+N45*'Market Data'!$W$52</f>
        <v>0.40848354873425907</v>
      </c>
      <c r="U45" s="425">
        <f>SUM(C45:G45)*'Market Data'!$C$52+SUM(I45:M45)*'Market Data'!$M$52+SUM(O45:S45)*'Market Data'!$W$52</f>
        <v>0.59151645126574093</v>
      </c>
    </row>
    <row r="46" spans="1:26" ht="15" x14ac:dyDescent="0.2">
      <c r="A46" s="403">
        <v>2044</v>
      </c>
      <c r="B46" s="675">
        <f t="shared" si="6"/>
        <v>0.27613934523991124</v>
      </c>
      <c r="C46" s="676">
        <f>'7&amp;8 Sleep'!$N113+'7&amp;8 Sleep'!$AA113</f>
        <v>0.33329607146083357</v>
      </c>
      <c r="D46" s="676">
        <f>'7&amp;8 Sleep'!$N165+'7&amp;8 Sleep'!$AA165</f>
        <v>0.38655267581793051</v>
      </c>
      <c r="E46" s="676">
        <f>'7&amp;8 Sleep'!$N217+'7&amp;8 Sleep'!$AA217</f>
        <v>0</v>
      </c>
      <c r="F46" s="676">
        <f>'7&amp;8 Sleep'!$N270+'7&amp;8 Sleep'!$AA270</f>
        <v>4.0119074813247764E-3</v>
      </c>
      <c r="G46" s="677">
        <f>'7&amp;8 Sleep'!$N323+'7&amp;8 Sleep'!$AA323</f>
        <v>0</v>
      </c>
      <c r="H46" s="658">
        <f t="shared" si="7"/>
        <v>0.35790736541161206</v>
      </c>
      <c r="I46" s="658">
        <f>'7&amp;8 Day'!$N113+'7&amp;8 Day'!$AA113</f>
        <v>0.19836958302108038</v>
      </c>
      <c r="J46" s="658">
        <f>'7&amp;8 Day'!$N165+'7&amp;8 Day'!$AA165</f>
        <v>0.19828069670273335</v>
      </c>
      <c r="K46" s="658">
        <f>'7&amp;8 Day'!$N217+'7&amp;8 Day'!$AA217</f>
        <v>0.13334949108177147</v>
      </c>
      <c r="L46" s="658">
        <f>'7&amp;8 Day'!$N270+'7&amp;8 Day'!$AA270</f>
        <v>5.1839877444530471E-3</v>
      </c>
      <c r="M46" s="658">
        <f>'7&amp;8 Day'!$N323+'7&amp;8 Day'!$AA323</f>
        <v>0.10690887603834959</v>
      </c>
      <c r="N46" s="675">
        <f t="shared" si="8"/>
        <v>0.67972303772513931</v>
      </c>
      <c r="O46" s="676">
        <f>'7&amp;8 SU'!$N113+'7&amp;8 SU'!$AA113</f>
        <v>8.8105895518274066E-2</v>
      </c>
      <c r="P46" s="676">
        <f>'7&amp;8 SU'!$N165+'7&amp;8 SU'!$AA165</f>
        <v>0.14134207607701993</v>
      </c>
      <c r="Q46" s="676">
        <f>'7&amp;8 SU'!$N217+'7&amp;8 SU'!$AA217</f>
        <v>5.3448168515270747E-2</v>
      </c>
      <c r="R46" s="676">
        <f>'7&amp;8 SU'!$N270+'7&amp;8 SU'!$AA270</f>
        <v>2.3799546792952125E-2</v>
      </c>
      <c r="S46" s="677">
        <f>'7&amp;8 SU'!$N323+'7&amp;8 SU'!$AA323</f>
        <v>1.3581275371343739E-2</v>
      </c>
      <c r="T46" s="662">
        <f>B46*'Market Data'!$C$52+H46*'Market Data'!$M$52+N46*'Market Data'!$W$52</f>
        <v>0.40517279788312655</v>
      </c>
      <c r="U46" s="425">
        <f>SUM(C46:G46)*'Market Data'!$C$52+SUM(I46:M46)*'Market Data'!$M$52+SUM(O46:S46)*'Market Data'!$W$52</f>
        <v>0.59482720211687345</v>
      </c>
    </row>
    <row r="47" spans="1:26" ht="15" x14ac:dyDescent="0.2">
      <c r="A47" s="402">
        <v>2045</v>
      </c>
      <c r="B47" s="678">
        <f t="shared" si="6"/>
        <v>0.27657197145015289</v>
      </c>
      <c r="C47" s="679">
        <f>'7&amp;8 Sleep'!$N114+'7&amp;8 Sleep'!$AA114</f>
        <v>0.33251724014493345</v>
      </c>
      <c r="D47" s="679">
        <f>'7&amp;8 Sleep'!$N166+'7&amp;8 Sleep'!$AA166</f>
        <v>0.38168745472257726</v>
      </c>
      <c r="E47" s="679">
        <f>'7&amp;8 Sleep'!$N218+'7&amp;8 Sleep'!$AA218</f>
        <v>4.5358584590571963E-5</v>
      </c>
      <c r="F47" s="679">
        <f>'7&amp;8 Sleep'!$N271+'7&amp;8 Sleep'!$AA271</f>
        <v>9.1779750977458545E-3</v>
      </c>
      <c r="G47" s="680">
        <f>'7&amp;8 Sleep'!$N324+'7&amp;8 Sleep'!$AA324</f>
        <v>0</v>
      </c>
      <c r="H47" s="659">
        <f t="shared" si="7"/>
        <v>0.2989805373704405</v>
      </c>
      <c r="I47" s="659">
        <f>'7&amp;8 Day'!$N114+'7&amp;8 Day'!$AA114</f>
        <v>0.19814595200246676</v>
      </c>
      <c r="J47" s="659">
        <f>'7&amp;8 Day'!$N166+'7&amp;8 Day'!$AA166</f>
        <v>0.19766899120784648</v>
      </c>
      <c r="K47" s="659">
        <f>'7&amp;8 Day'!$N218+'7&amp;8 Day'!$AA218</f>
        <v>0.16013626145008925</v>
      </c>
      <c r="L47" s="659">
        <f>'7&amp;8 Day'!$N271+'7&amp;8 Day'!$AA271</f>
        <v>1.4731115960970854E-2</v>
      </c>
      <c r="M47" s="659">
        <f>'7&amp;8 Day'!$N324+'7&amp;8 Day'!$AA324</f>
        <v>0.13033714200818616</v>
      </c>
      <c r="N47" s="678">
        <f t="shared" si="8"/>
        <v>0.66740000409368139</v>
      </c>
      <c r="O47" s="679">
        <f>'7&amp;8 SU'!$N114+'7&amp;8 SU'!$AA114</f>
        <v>8.4112078932868567E-2</v>
      </c>
      <c r="P47" s="679">
        <f>'7&amp;8 SU'!$N166+'7&amp;8 SU'!$AA166</f>
        <v>0.13861219615884512</v>
      </c>
      <c r="Q47" s="679">
        <f>'7&amp;8 SU'!$N218+'7&amp;8 SU'!$AA218</f>
        <v>5.0837567526946278E-2</v>
      </c>
      <c r="R47" s="679">
        <f>'7&amp;8 SU'!$N271+'7&amp;8 SU'!$AA271</f>
        <v>3.5280745573791877E-2</v>
      </c>
      <c r="S47" s="680">
        <f>'7&amp;8 SU'!$N324+'7&amp;8 SU'!$AA324</f>
        <v>2.37574077138668E-2</v>
      </c>
      <c r="T47" s="663">
        <f>B47*'Market Data'!$C$52+H47*'Market Data'!$M$52+N47*'Market Data'!$W$52</f>
        <v>0.38700042680060537</v>
      </c>
      <c r="U47" s="428">
        <f>SUM(C47:G47)*'Market Data'!$C$52+SUM(I47:M47)*'Market Data'!$M$52+SUM(O47:S47)*'Market Data'!$W$52</f>
        <v>0.61299957319939458</v>
      </c>
      <c r="V47" s="425">
        <f>D47*'Market Data'!$C$52+J47*'Market Data'!$M$52+P47*'Market Data'!$W$52</f>
        <v>0.26948862391267692</v>
      </c>
      <c r="W47" s="425">
        <f>E47*'Market Data'!$C$52+Q47*'Market Data'!$W$52</f>
        <v>1.3639953071245424E-2</v>
      </c>
      <c r="X47" s="425">
        <f>F47*'Market Data'!$C$52+L47*'Market Data'!$M$52</f>
        <v>8.1402373476185327E-3</v>
      </c>
      <c r="Y47" s="425">
        <f>K47*'Market Data'!$M$52+R47*'Market Data'!$W$52</f>
        <v>5.0424282168718526E-2</v>
      </c>
      <c r="Z47" s="1285">
        <f>1-SUM(V47:Y47)</f>
        <v>0.65830690349974064</v>
      </c>
    </row>
    <row r="48" spans="1:26" ht="15" x14ac:dyDescent="0.2">
      <c r="A48" s="403">
        <v>2046</v>
      </c>
      <c r="B48" s="683">
        <f t="shared" si="6"/>
        <v>0.27761671080682038</v>
      </c>
      <c r="C48" s="684">
        <f>'7&amp;8 Sleep'!$N115+'7&amp;8 Sleep'!$AA115</f>
        <v>0.32809237448066914</v>
      </c>
      <c r="D48" s="684">
        <f>'7&amp;8 Sleep'!$N167+'7&amp;8 Sleep'!$AA167</f>
        <v>0.37839748173494131</v>
      </c>
      <c r="E48" s="684">
        <f>'7&amp;8 Sleep'!$N219+'7&amp;8 Sleep'!$AA219</f>
        <v>1.3959703463673995E-3</v>
      </c>
      <c r="F48" s="684">
        <f>'7&amp;8 Sleep'!$N272+'7&amp;8 Sleep'!$AA272</f>
        <v>1.4497462631201824E-2</v>
      </c>
      <c r="G48" s="685">
        <f>'7&amp;8 Sleep'!$N325+'7&amp;8 Sleep'!$AA325</f>
        <v>0</v>
      </c>
      <c r="H48" s="660">
        <f t="shared" si="7"/>
        <v>0.26916255125247179</v>
      </c>
      <c r="I48" s="660">
        <f>'7&amp;8 Day'!$N115+'7&amp;8 Day'!$AA115</f>
        <v>0.19716524365603011</v>
      </c>
      <c r="J48" s="660">
        <f>'7&amp;8 Day'!$N167+'7&amp;8 Day'!$AA167</f>
        <v>0.19575559480640359</v>
      </c>
      <c r="K48" s="660">
        <f>'7&amp;8 Day'!$N219+'7&amp;8 Day'!$AA219</f>
        <v>0.17581588512602053</v>
      </c>
      <c r="L48" s="660">
        <f>'7&amp;8 Day'!$N272+'7&amp;8 Day'!$AA272</f>
        <v>2.2067294168549835E-2</v>
      </c>
      <c r="M48" s="660">
        <f>'7&amp;8 Day'!$N325+'7&amp;8 Day'!$AA325</f>
        <v>0.14003343099052418</v>
      </c>
      <c r="N48" s="683">
        <f t="shared" si="8"/>
        <v>0.66740000366033758</v>
      </c>
      <c r="O48" s="684">
        <f>'7&amp;8 SU'!$N115+'7&amp;8 SU'!$AA115</f>
        <v>7.9659675322475268E-2</v>
      </c>
      <c r="P48" s="684">
        <f>'7&amp;8 SU'!$N167+'7&amp;8 SU'!$AA167</f>
        <v>0.13055956046384609</v>
      </c>
      <c r="Q48" s="684">
        <f>'7&amp;8 SU'!$N219+'7&amp;8 SU'!$AA219</f>
        <v>4.8500382953880192E-2</v>
      </c>
      <c r="R48" s="684">
        <f>'7&amp;8 SU'!$N272+'7&amp;8 SU'!$AA272</f>
        <v>4.2742437573075463E-2</v>
      </c>
      <c r="S48" s="685">
        <f>'7&amp;8 SU'!$N325+'7&amp;8 SU'!$AA325</f>
        <v>3.1137940026385404E-2</v>
      </c>
      <c r="T48" s="667">
        <f>B48*'Market Data'!$C$52+H48*'Market Data'!$M$52+N48*'Market Data'!$W$52</f>
        <v>0.37986860589135873</v>
      </c>
      <c r="U48" s="434">
        <f>SUM(C48:G48)*'Market Data'!$C$52+SUM(I48:M48)*'Market Data'!$M$52+SUM(O48:S48)*'Market Data'!$W$52</f>
        <v>0.62013139410864115</v>
      </c>
    </row>
    <row r="49" spans="1:21" ht="15" x14ac:dyDescent="0.2">
      <c r="A49" s="403">
        <v>2047</v>
      </c>
      <c r="B49" s="675">
        <f t="shared" si="6"/>
        <v>0.26742342556114929</v>
      </c>
      <c r="C49" s="676">
        <f>'7&amp;8 Sleep'!$N116+'7&amp;8 Sleep'!$AA116</f>
        <v>0.32315087930349573</v>
      </c>
      <c r="D49" s="676">
        <f>'7&amp;8 Sleep'!$N168+'7&amp;8 Sleep'!$AA168</f>
        <v>0.37839937778252808</v>
      </c>
      <c r="E49" s="676">
        <f>'7&amp;8 Sleep'!$N220+'7&amp;8 Sleep'!$AA220</f>
        <v>8.706897422455737E-3</v>
      </c>
      <c r="F49" s="676">
        <f>'7&amp;8 Sleep'!$N273+'7&amp;8 Sleep'!$AA273</f>
        <v>2.2319419930371173E-2</v>
      </c>
      <c r="G49" s="677">
        <f>'7&amp;8 Sleep'!$N326+'7&amp;8 Sleep'!$AA326</f>
        <v>0</v>
      </c>
      <c r="H49" s="658">
        <f t="shared" si="7"/>
        <v>0.23766961479785387</v>
      </c>
      <c r="I49" s="658">
        <f>'7&amp;8 Day'!$N116+'7&amp;8 Day'!$AA116</f>
        <v>0.19675739443971185</v>
      </c>
      <c r="J49" s="658">
        <f>'7&amp;8 Day'!$N168+'7&amp;8 Day'!$AA168</f>
        <v>0.19615748753437001</v>
      </c>
      <c r="K49" s="658">
        <f>'7&amp;8 Day'!$N220+'7&amp;8 Day'!$AA220</f>
        <v>0.18761823625523488</v>
      </c>
      <c r="L49" s="658">
        <f>'7&amp;8 Day'!$N273+'7&amp;8 Day'!$AA273</f>
        <v>3.0200216144401229E-2</v>
      </c>
      <c r="M49" s="658">
        <f>'7&amp;8 Day'!$N326+'7&amp;8 Day'!$AA326</f>
        <v>0.15159705082842806</v>
      </c>
      <c r="N49" s="675">
        <f t="shared" si="8"/>
        <v>0.66728321629595078</v>
      </c>
      <c r="O49" s="676">
        <f>'7&amp;8 SU'!$N116+'7&amp;8 SU'!$AA116</f>
        <v>7.7873167105958402E-2</v>
      </c>
      <c r="P49" s="676">
        <f>'7&amp;8 SU'!$N168+'7&amp;8 SU'!$AA168</f>
        <v>0.12226745706428724</v>
      </c>
      <c r="Q49" s="676">
        <f>'7&amp;8 SU'!$N220+'7&amp;8 SU'!$AA220</f>
        <v>4.7907534660364612E-2</v>
      </c>
      <c r="R49" s="676">
        <f>'7&amp;8 SU'!$N273+'7&amp;8 SU'!$AA273</f>
        <v>4.6711784208900931E-2</v>
      </c>
      <c r="S49" s="677">
        <f>'7&amp;8 SU'!$N326+'7&amp;8 SU'!$AA326</f>
        <v>3.7956840664538027E-2</v>
      </c>
      <c r="T49" s="662">
        <f>B49*'Market Data'!$C$52+H49*'Market Data'!$M$52+N49*'Market Data'!$W$52</f>
        <v>0.36692477123623024</v>
      </c>
      <c r="U49" s="425">
        <f>SUM(C49:G49)*'Market Data'!$C$52+SUM(I49:M49)*'Market Data'!$M$52+SUM(O49:S49)*'Market Data'!$W$52</f>
        <v>0.63307522876376976</v>
      </c>
    </row>
    <row r="50" spans="1:21" ht="15" x14ac:dyDescent="0.2">
      <c r="A50" s="403">
        <v>2048</v>
      </c>
      <c r="B50" s="675">
        <f t="shared" si="6"/>
        <v>0.26677180369804576</v>
      </c>
      <c r="C50" s="676">
        <f>'7&amp;8 Sleep'!$N117+'7&amp;8 Sleep'!$AA117</f>
        <v>0.31280036949361012</v>
      </c>
      <c r="D50" s="676">
        <f>'7&amp;8 Sleep'!$N169+'7&amp;8 Sleep'!$AA169</f>
        <v>0.36413100370385287</v>
      </c>
      <c r="E50" s="676">
        <f>'7&amp;8 Sleep'!$N221+'7&amp;8 Sleep'!$AA221</f>
        <v>2.5620065102783744E-2</v>
      </c>
      <c r="F50" s="676">
        <f>'7&amp;8 Sleep'!$N274+'7&amp;8 Sleep'!$AA274</f>
        <v>3.0676758001707525E-2</v>
      </c>
      <c r="G50" s="677">
        <f>'7&amp;8 Sleep'!$N327+'7&amp;8 Sleep'!$AA327</f>
        <v>0</v>
      </c>
      <c r="H50" s="658">
        <f t="shared" si="7"/>
        <v>0.21084976065241945</v>
      </c>
      <c r="I50" s="658">
        <f>'7&amp;8 Day'!$N117+'7&amp;8 Day'!$AA117</f>
        <v>0.19646488279626856</v>
      </c>
      <c r="J50" s="658">
        <f>'7&amp;8 Day'!$N169+'7&amp;8 Day'!$AA169</f>
        <v>0.19637684994440552</v>
      </c>
      <c r="K50" s="658">
        <f>'7&amp;8 Day'!$N221+'7&amp;8 Day'!$AA221</f>
        <v>0.1972338423590014</v>
      </c>
      <c r="L50" s="658">
        <f>'7&amp;8 Day'!$N274+'7&amp;8 Day'!$AA274</f>
        <v>3.5806685395509769E-2</v>
      </c>
      <c r="M50" s="658">
        <f>'7&amp;8 Day'!$N327+'7&amp;8 Day'!$AA327</f>
        <v>0.1632679788523953</v>
      </c>
      <c r="N50" s="675">
        <f t="shared" si="8"/>
        <v>0.66722126352566247</v>
      </c>
      <c r="O50" s="676">
        <f>'7&amp;8 SU'!$N117+'7&amp;8 SU'!$AA117</f>
        <v>7.6515505041703971E-2</v>
      </c>
      <c r="P50" s="676">
        <f>'7&amp;8 SU'!$N169+'7&amp;8 SU'!$AA169</f>
        <v>0.11776743866097679</v>
      </c>
      <c r="Q50" s="676">
        <f>'7&amp;8 SU'!$N221+'7&amp;8 SU'!$AA221</f>
        <v>4.6896271649200565E-2</v>
      </c>
      <c r="R50" s="676">
        <f>'7&amp;8 SU'!$N274+'7&amp;8 SU'!$AA274</f>
        <v>4.9321659910499777E-2</v>
      </c>
      <c r="S50" s="677">
        <f>'7&amp;8 SU'!$N327+'7&amp;8 SU'!$AA327</f>
        <v>4.2277861211956452E-2</v>
      </c>
      <c r="T50" s="662">
        <f>B50*'Market Data'!$C$52+H50*'Market Data'!$M$52+N50*'Market Data'!$W$52</f>
        <v>0.35973557119869753</v>
      </c>
      <c r="U50" s="425">
        <f>SUM(C50:G50)*'Market Data'!$C$52+SUM(I50:M50)*'Market Data'!$M$52+SUM(O50:S50)*'Market Data'!$W$52</f>
        <v>0.64026442880130241</v>
      </c>
    </row>
    <row r="51" spans="1:21" ht="15" x14ac:dyDescent="0.2">
      <c r="A51" s="403">
        <v>2049</v>
      </c>
      <c r="B51" s="675">
        <f t="shared" si="6"/>
        <v>0.26218920860416406</v>
      </c>
      <c r="C51" s="676">
        <f>'7&amp;8 Sleep'!$N118+'7&amp;8 Sleep'!$AA118</f>
        <v>0.29517978815515766</v>
      </c>
      <c r="D51" s="676">
        <f>'7&amp;8 Sleep'!$N170+'7&amp;8 Sleep'!$AA170</f>
        <v>0.34661013361517534</v>
      </c>
      <c r="E51" s="676">
        <f>'7&amp;8 Sleep'!$N222+'7&amp;8 Sleep'!$AA222</f>
        <v>5.4580734048934501E-2</v>
      </c>
      <c r="F51" s="676">
        <f>'7&amp;8 Sleep'!$N275+'7&amp;8 Sleep'!$AA275</f>
        <v>4.1440135576568497E-2</v>
      </c>
      <c r="G51" s="677">
        <f>'7&amp;8 Sleep'!$N328+'7&amp;8 Sleep'!$AA328</f>
        <v>0</v>
      </c>
      <c r="H51" s="658">
        <f t="shared" si="7"/>
        <v>0.1923362086206325</v>
      </c>
      <c r="I51" s="658">
        <f>'7&amp;8 Day'!$N118+'7&amp;8 Day'!$AA118</f>
        <v>0.19535148367759736</v>
      </c>
      <c r="J51" s="658">
        <f>'7&amp;8 Day'!$N170+'7&amp;8 Day'!$AA170</f>
        <v>0.19479821241994227</v>
      </c>
      <c r="K51" s="658">
        <f>'7&amp;8 Day'!$N222+'7&amp;8 Day'!$AA222</f>
        <v>0.20097140297509569</v>
      </c>
      <c r="L51" s="658">
        <f>'7&amp;8 Day'!$N275+'7&amp;8 Day'!$AA275</f>
        <v>4.0078357597910785E-2</v>
      </c>
      <c r="M51" s="658">
        <f>'7&amp;8 Day'!$N328+'7&amp;8 Day'!$AA328</f>
        <v>0.17646433470882139</v>
      </c>
      <c r="N51" s="675">
        <f t="shared" si="8"/>
        <v>0.6671452894110399</v>
      </c>
      <c r="O51" s="676">
        <f>'7&amp;8 SU'!$N118+'7&amp;8 SU'!$AA118</f>
        <v>7.4209711137466286E-2</v>
      </c>
      <c r="P51" s="676">
        <f>'7&amp;8 SU'!$N170+'7&amp;8 SU'!$AA170</f>
        <v>0.11379187417693221</v>
      </c>
      <c r="Q51" s="676">
        <f>'7&amp;8 SU'!$N222+'7&amp;8 SU'!$AA222</f>
        <v>4.7803383159193968E-2</v>
      </c>
      <c r="R51" s="676">
        <f>'7&amp;8 SU'!$N275+'7&amp;8 SU'!$AA275</f>
        <v>5.0416712077128528E-2</v>
      </c>
      <c r="S51" s="677">
        <f>'7&amp;8 SU'!$N328+'7&amp;8 SU'!$AA328</f>
        <v>4.6633030038239209E-2</v>
      </c>
      <c r="T51" s="662">
        <f>B51*'Market Data'!$C$52+H51*'Market Data'!$M$52+N51*'Market Data'!$W$52</f>
        <v>0.3527957619342329</v>
      </c>
      <c r="U51" s="425">
        <f>SUM(C51:G51)*'Market Data'!$C$52+SUM(I51:M51)*'Market Data'!$M$52+SUM(O51:S51)*'Market Data'!$W$52</f>
        <v>0.6472042380657671</v>
      </c>
    </row>
    <row r="52" spans="1:21" ht="16" thickBot="1" x14ac:dyDescent="0.25">
      <c r="A52" s="404">
        <v>2050</v>
      </c>
      <c r="B52" s="686">
        <f t="shared" si="6"/>
        <v>0.26346134015795142</v>
      </c>
      <c r="C52" s="687">
        <f>'7&amp;8 Sleep'!$N119+'7&amp;8 Sleep'!$AA119</f>
        <v>0.2711981103066633</v>
      </c>
      <c r="D52" s="687">
        <f>'7&amp;8 Sleep'!$N171+'7&amp;8 Sleep'!$AA171</f>
        <v>0.31770364922551453</v>
      </c>
      <c r="E52" s="687">
        <f>'7&amp;8 Sleep'!$N223+'7&amp;8 Sleep'!$AA223</f>
        <v>9.7090428158108671E-2</v>
      </c>
      <c r="F52" s="687">
        <f>'7&amp;8 Sleep'!$N276+'7&amp;8 Sleep'!$AA276</f>
        <v>5.0546472151762077E-2</v>
      </c>
      <c r="G52" s="688">
        <f>'7&amp;8 Sleep'!$N329+'7&amp;8 Sleep'!$AA329</f>
        <v>0</v>
      </c>
      <c r="H52" s="661">
        <f t="shared" si="7"/>
        <v>0.17133854625161582</v>
      </c>
      <c r="I52" s="661">
        <f>'7&amp;8 Day'!$N119+'7&amp;8 Day'!$AA119</f>
        <v>0.19479355394969416</v>
      </c>
      <c r="J52" s="661">
        <f>'7&amp;8 Day'!$N171+'7&amp;8 Day'!$AA171</f>
        <v>0.19470626999423779</v>
      </c>
      <c r="K52" s="661">
        <f>'7&amp;8 Day'!$N223+'7&amp;8 Day'!$AA223</f>
        <v>0.20414844770217927</v>
      </c>
      <c r="L52" s="661">
        <f>'7&amp;8 Day'!$N276+'7&amp;8 Day'!$AA276</f>
        <v>4.4242830242562772E-2</v>
      </c>
      <c r="M52" s="661">
        <f>'7&amp;8 Day'!$N329+'7&amp;8 Day'!$AA329</f>
        <v>0.19077035185971011</v>
      </c>
      <c r="N52" s="686">
        <f t="shared" si="8"/>
        <v>0.65449752571390851</v>
      </c>
      <c r="O52" s="687">
        <f>'7&amp;8 SU'!$N119+'7&amp;8 SU'!$AA119</f>
        <v>7.4553398730841103E-2</v>
      </c>
      <c r="P52" s="687">
        <f>'7&amp;8 SU'!$N171+'7&amp;8 SU'!$AA171</f>
        <v>0.11988185879214083</v>
      </c>
      <c r="Q52" s="687">
        <f>'7&amp;8 SU'!$N223+'7&amp;8 SU'!$AA223</f>
        <v>4.7871553438995323E-2</v>
      </c>
      <c r="R52" s="687">
        <f>'7&amp;8 SU'!$N276+'7&amp;8 SU'!$AA276</f>
        <v>5.3198587430355937E-2</v>
      </c>
      <c r="S52" s="688">
        <f>'7&amp;8 SU'!$N329+'7&amp;8 SU'!$AA329</f>
        <v>4.9997075893758347E-2</v>
      </c>
      <c r="T52" s="665">
        <f>B52*'Market Data'!$C$52+H52*'Market Data'!$M$52+N52*'Market Data'!$W$52</f>
        <v>0.34464097250059472</v>
      </c>
      <c r="U52" s="437">
        <f>SUM(C52:G52)*'Market Data'!$C$52+SUM(I52:M52)*'Market Data'!$M$52+SUM(O52:S52)*'Market Data'!$W$52</f>
        <v>0.65535902749940522</v>
      </c>
    </row>
    <row r="53" spans="1:21" x14ac:dyDescent="0.2">
      <c r="A53" s="398"/>
      <c r="B53" s="398"/>
    </row>
    <row r="54" spans="1:21" x14ac:dyDescent="0.2">
      <c r="A54" s="408" t="str">
        <f>"Run id: '"&amp;'Run Model'!B3&amp;"'"</f>
        <v>Run id: 'Testing Aug 24 FY2020 Final Run'</v>
      </c>
      <c r="B54" s="398"/>
    </row>
    <row r="55" spans="1:21" x14ac:dyDescent="0.2">
      <c r="A55" s="408" t="s">
        <v>126</v>
      </c>
      <c r="B55" s="398"/>
    </row>
    <row r="56" spans="1:21" x14ac:dyDescent="0.2">
      <c r="A56" s="473" t="str">
        <f>"Combination, Centrally Refueled: " &amp;TEXT(RtimeCls1Cent1,"mm/dd/yyyy hh:mm")</f>
        <v>Combination, Centrally Refueled: 07/21/2020 15:48</v>
      </c>
    </row>
    <row r="57" spans="1:21" x14ac:dyDescent="0.2">
      <c r="A57" s="473" t="str">
        <f>"Combination, Non-Centrally Refueled: " &amp;TEXT(RtimeCls1NCent1,"mm/dd/yyyy hh:mm")</f>
        <v>Combination, Non-Centrally Refueled: 07/21/2020 15:48</v>
      </c>
    </row>
    <row r="58" spans="1:21" x14ac:dyDescent="0.2">
      <c r="A58" s="473" t="str">
        <f>"Single Unit, Centrally Refueled: " &amp;TEXT(RtimeCls2Cent1,"mm/dd/yyyy hh:mm")</f>
        <v>Single Unit, Centrally Refueled: 07/21/2020 15:48</v>
      </c>
    </row>
    <row r="59" spans="1:21" x14ac:dyDescent="0.2">
      <c r="A59" s="473" t="str">
        <f>"Single Unit, Non-Centrally Refueled: " &amp;TEXT(RtimeCls2NCent1,"mm/dd/yyyy hh:mm")</f>
        <v>Single Unit, Non-Centrally Refueled: 07/21/2020 15:48</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2" t="s">
        <v>261</v>
      </c>
    </row>
    <row r="2" spans="1:24" ht="15" thickBot="1" x14ac:dyDescent="0.25"/>
    <row r="3" spans="1:24" ht="20" thickBot="1" x14ac:dyDescent="0.3">
      <c r="A3" s="1587" t="s">
        <v>151</v>
      </c>
      <c r="B3" s="1588"/>
      <c r="C3" s="1588"/>
      <c r="D3" s="1588"/>
      <c r="E3" s="1588"/>
      <c r="F3" s="1588"/>
      <c r="G3" s="1588"/>
      <c r="H3" s="1588"/>
      <c r="I3" s="1588"/>
      <c r="J3" s="1588"/>
      <c r="K3" s="1588"/>
      <c r="L3" s="1588"/>
      <c r="M3" s="1588"/>
      <c r="N3" s="1588"/>
      <c r="O3" s="1588"/>
      <c r="P3" s="1588"/>
      <c r="Q3" s="1588"/>
      <c r="R3" s="1588"/>
      <c r="S3" s="1588"/>
      <c r="T3" s="1588"/>
      <c r="U3" s="1589"/>
    </row>
    <row r="4" spans="1:24" ht="15" x14ac:dyDescent="0.2">
      <c r="A4" s="400"/>
      <c r="B4" s="1595" t="s">
        <v>249</v>
      </c>
      <c r="C4" s="1600"/>
      <c r="D4" s="1600"/>
      <c r="E4" s="1600"/>
      <c r="F4" s="1600"/>
      <c r="G4" s="1596"/>
      <c r="H4" s="1595" t="s">
        <v>250</v>
      </c>
      <c r="I4" s="1600"/>
      <c r="J4" s="1600"/>
      <c r="K4" s="1600"/>
      <c r="L4" s="1600"/>
      <c r="M4" s="1596"/>
      <c r="N4" s="1595" t="s">
        <v>154</v>
      </c>
      <c r="O4" s="1600"/>
      <c r="P4" s="1600"/>
      <c r="Q4" s="1600"/>
      <c r="R4" s="1600"/>
      <c r="S4" s="1596"/>
      <c r="T4" s="1612" t="s">
        <v>153</v>
      </c>
      <c r="U4" s="1611"/>
    </row>
    <row r="5" spans="1:24" ht="15" x14ac:dyDescent="0.2">
      <c r="A5" s="401"/>
      <c r="B5" s="1597" t="s">
        <v>129</v>
      </c>
      <c r="C5" s="1598"/>
      <c r="D5" s="1598"/>
      <c r="E5" s="1598"/>
      <c r="F5" s="1598"/>
      <c r="G5" s="1599"/>
      <c r="H5" s="1597" t="s">
        <v>129</v>
      </c>
      <c r="I5" s="1598"/>
      <c r="J5" s="1598"/>
      <c r="K5" s="1598"/>
      <c r="L5" s="1598"/>
      <c r="M5" s="1599"/>
      <c r="N5" s="1597" t="s">
        <v>129</v>
      </c>
      <c r="O5" s="1598"/>
      <c r="P5" s="1598"/>
      <c r="Q5" s="1598"/>
      <c r="R5" s="1598"/>
      <c r="S5" s="1599"/>
      <c r="T5" s="1593" t="s">
        <v>129</v>
      </c>
      <c r="U5" s="1594"/>
    </row>
    <row r="6" spans="1:24" ht="15" x14ac:dyDescent="0.2">
      <c r="A6" s="401"/>
      <c r="B6" s="1101" t="s">
        <v>69</v>
      </c>
      <c r="C6" s="1102" t="s">
        <v>65</v>
      </c>
      <c r="D6" s="1102" t="s">
        <v>66</v>
      </c>
      <c r="E6" s="1102" t="s">
        <v>67</v>
      </c>
      <c r="F6" s="1102" t="s">
        <v>205</v>
      </c>
      <c r="G6" s="1103" t="s">
        <v>206</v>
      </c>
      <c r="H6" s="1101" t="s">
        <v>69</v>
      </c>
      <c r="I6" s="1102" t="s">
        <v>65</v>
      </c>
      <c r="J6" s="1102" t="s">
        <v>66</v>
      </c>
      <c r="K6" s="1102" t="s">
        <v>67</v>
      </c>
      <c r="L6" s="1102" t="s">
        <v>205</v>
      </c>
      <c r="M6" s="1103" t="s">
        <v>206</v>
      </c>
      <c r="N6" s="1101" t="s">
        <v>69</v>
      </c>
      <c r="O6" s="1102" t="s">
        <v>65</v>
      </c>
      <c r="P6" s="1102" t="s">
        <v>66</v>
      </c>
      <c r="Q6" s="1102" t="s">
        <v>67</v>
      </c>
      <c r="R6" s="1102" t="s">
        <v>205</v>
      </c>
      <c r="S6" s="1103" t="s">
        <v>206</v>
      </c>
      <c r="T6" s="648"/>
      <c r="U6" s="650"/>
    </row>
    <row r="7" spans="1:24" ht="32" x14ac:dyDescent="0.2">
      <c r="A7" s="401"/>
      <c r="B7" s="1111" t="str">
        <f t="shared" ref="B7:G7" si="0">INDEX(TECH_OPT_DESC_Cls1,MATCH(B6,TECH_OPT_ROWS_Cls1,0))</f>
        <v>Conventional Diesel ICE</v>
      </c>
      <c r="C7" s="1112" t="str">
        <f t="shared" si="0"/>
        <v>Adv Conv</v>
      </c>
      <c r="D7" s="1112" t="str">
        <f t="shared" si="0"/>
        <v>HEV</v>
      </c>
      <c r="E7" s="1112" t="str">
        <f t="shared" si="0"/>
        <v>BEV</v>
      </c>
      <c r="F7" s="1112" t="str">
        <f t="shared" si="0"/>
        <v>FCEV</v>
      </c>
      <c r="G7" s="1113">
        <f t="shared" si="0"/>
        <v>0</v>
      </c>
      <c r="H7" s="1111" t="str">
        <f t="shared" ref="H7:M7" si="1">INDEX(TECH_OPT_DESC_Cls2,MATCH(H6,TECH_OPT_ROWS_Cls2,0))</f>
        <v>Conventional Diesel ICE</v>
      </c>
      <c r="I7" s="1112" t="str">
        <f t="shared" si="1"/>
        <v>Adv Conv</v>
      </c>
      <c r="J7" s="1112" t="str">
        <f t="shared" si="1"/>
        <v>ISG</v>
      </c>
      <c r="K7" s="1112" t="str">
        <f t="shared" si="1"/>
        <v>PHEV</v>
      </c>
      <c r="L7" s="1112" t="str">
        <f t="shared" si="1"/>
        <v>BEV</v>
      </c>
      <c r="M7" s="1113" t="str">
        <f t="shared" si="1"/>
        <v>FCHEV</v>
      </c>
      <c r="N7" s="1111" t="str">
        <f t="shared" ref="N7:S7" si="2">INDEX(TECH_OPT_DESC_Cls3,MATCH(N6,TECH_OPT_ROWS_Cls3,0))</f>
        <v>Conventional Diesel ICE</v>
      </c>
      <c r="O7" s="1112" t="str">
        <f t="shared" si="2"/>
        <v>Adv Conv</v>
      </c>
      <c r="P7" s="1112" t="str">
        <f t="shared" si="2"/>
        <v>ISG</v>
      </c>
      <c r="Q7" s="1112" t="str">
        <f t="shared" si="2"/>
        <v>HEV</v>
      </c>
      <c r="R7" s="1112" t="str">
        <f t="shared" si="2"/>
        <v>PHEV</v>
      </c>
      <c r="S7" s="1113" t="str">
        <f t="shared" si="2"/>
        <v>BEV</v>
      </c>
      <c r="T7" s="671" t="s">
        <v>69</v>
      </c>
      <c r="U7" s="417" t="s">
        <v>138</v>
      </c>
    </row>
    <row r="8" spans="1:24" ht="17" thickBot="1" x14ac:dyDescent="0.25">
      <c r="A8" s="405" t="s">
        <v>3</v>
      </c>
      <c r="B8" s="1107" t="str">
        <f t="shared" ref="B8:G8" si="3">INDEX(TECH_OPT_FUEL1_Cls1,MATCH(B6,TECH_OPT_ROWS_Cls1,0))</f>
        <v>Diesel</v>
      </c>
      <c r="C8" s="1108" t="str">
        <f t="shared" si="3"/>
        <v>Diesel</v>
      </c>
      <c r="D8" s="1108" t="str">
        <f t="shared" si="3"/>
        <v>Diesel</v>
      </c>
      <c r="E8" s="1108" t="str">
        <f t="shared" si="3"/>
        <v>Electricity</v>
      </c>
      <c r="F8" s="1108" t="str">
        <f t="shared" si="3"/>
        <v>Hydrogen</v>
      </c>
      <c r="G8" s="1109" t="str">
        <f t="shared" si="3"/>
        <v>Diesel</v>
      </c>
      <c r="H8" s="1107" t="str">
        <f t="shared" ref="H8:M8" si="4">INDEX(TECH_OPT_FUEL1_Cls2,MATCH(H6,TECH_OPT_ROWS_Cls2,0))</f>
        <v>Diesel</v>
      </c>
      <c r="I8" s="1108" t="str">
        <f t="shared" si="4"/>
        <v>Diesel</v>
      </c>
      <c r="J8" s="1108" t="str">
        <f t="shared" si="4"/>
        <v>Diesel</v>
      </c>
      <c r="K8" s="1108" t="str">
        <f t="shared" si="4"/>
        <v>Diesel</v>
      </c>
      <c r="L8" s="1108" t="str">
        <f t="shared" si="4"/>
        <v>Electricity</v>
      </c>
      <c r="M8" s="1109" t="str">
        <f t="shared" si="4"/>
        <v>Hydrogen</v>
      </c>
      <c r="N8" s="1107" t="str">
        <f t="shared" ref="N8:S8" si="5">INDEX(TECH_OPT_FUEL1_Cls3,MATCH(N6,TECH_OPT_ROWS_Cls3,0))</f>
        <v>Diesel</v>
      </c>
      <c r="O8" s="1108" t="str">
        <f t="shared" si="5"/>
        <v>Diesel</v>
      </c>
      <c r="P8" s="1108" t="str">
        <f t="shared" si="5"/>
        <v>Diesel</v>
      </c>
      <c r="Q8" s="1108" t="str">
        <f t="shared" si="5"/>
        <v>Diesel</v>
      </c>
      <c r="R8" s="1108" t="str">
        <f t="shared" si="5"/>
        <v>Diesel</v>
      </c>
      <c r="S8" s="1109" t="str">
        <f t="shared" si="5"/>
        <v>Electricity</v>
      </c>
      <c r="T8" s="419"/>
      <c r="U8" s="418"/>
    </row>
    <row r="9" spans="1:24" ht="16" thickTop="1" x14ac:dyDescent="0.2">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0.23336180793886238</v>
      </c>
      <c r="I23" s="431">
        <f>'Market Data'!$O$52*'Mkt Pen Veh-Mi'!I23</f>
        <v>5.1411008701354099E-3</v>
      </c>
      <c r="J23" s="431">
        <f>'Market Data'!$O$52*'Mkt Pen Veh-Mi'!J23</f>
        <v>3.3894361634973095E-3</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0.99146946296636718</v>
      </c>
      <c r="U23" s="434">
        <f t="shared" si="8"/>
        <v>8.5305370336327194E-3</v>
      </c>
      <c r="X23" s="117"/>
    </row>
    <row r="24" spans="1:24" ht="15" x14ac:dyDescent="0.2">
      <c r="A24" s="403">
        <v>2022</v>
      </c>
      <c r="B24" s="423">
        <f>'Market Data'!$E$52*'Mkt Pen Veh-Mi'!B24</f>
        <v>0.65171936113568707</v>
      </c>
      <c r="C24" s="424">
        <f>'Market Data'!$E$52*'Mkt Pen Veh-Mi'!C24</f>
        <v>1.0647363526695682E-2</v>
      </c>
      <c r="D24" s="424">
        <f>'Market Data'!$E$52*'Mkt Pen Veh-Mi'!D24</f>
        <v>6.0625230775437598E-3</v>
      </c>
      <c r="E24" s="700">
        <f>'Market Data'!$E$52*'Mkt Pen Veh-Mi'!E24</f>
        <v>0</v>
      </c>
      <c r="F24" s="700">
        <f>'Market Data'!$E$52*'Mkt Pen Veh-Mi'!F24</f>
        <v>0</v>
      </c>
      <c r="G24" s="705">
        <f>'Market Data'!$E$52*'Mkt Pen Veh-Mi'!G24</f>
        <v>0</v>
      </c>
      <c r="H24" s="423">
        <f>'Market Data'!$O$52*'Mkt Pen Veh-Mi'!H24</f>
        <v>0.22093042363584697</v>
      </c>
      <c r="I24" s="424">
        <f>'Market Data'!$O$52*'Mkt Pen Veh-Mi'!I24</f>
        <v>1.2409766042259889E-2</v>
      </c>
      <c r="J24" s="424">
        <f>'Market Data'!$O$52*'Mkt Pen Veh-Mi'!J24</f>
        <v>8.5521552943882452E-3</v>
      </c>
      <c r="K24" s="700">
        <f>'Market Data'!$O$52*'Mkt Pen Veh-Mi'!K24</f>
        <v>0</v>
      </c>
      <c r="L24" s="700">
        <f>'Market Data'!$O$52*'Mkt Pen Veh-Mi'!L24</f>
        <v>0</v>
      </c>
      <c r="M24" s="705">
        <f>'Market Data'!$O$52*'Mkt Pen Veh-Mi'!M24</f>
        <v>0</v>
      </c>
      <c r="N24" s="423">
        <f>'Market Data'!$Y$52*'Mkt Pen Veh-Mi'!N24</f>
        <v>8.6941327538505656E-2</v>
      </c>
      <c r="O24" s="424">
        <f>'Market Data'!$Y$52*'Mkt Pen Veh-Mi'!O24</f>
        <v>1.2055043351922501E-3</v>
      </c>
      <c r="P24" s="424">
        <f>'Market Data'!$Y$52*'Mkt Pen Veh-Mi'!P24</f>
        <v>1.3762345223599542E-3</v>
      </c>
      <c r="Q24" s="700">
        <f>'Market Data'!$Y$52*'Mkt Pen Veh-Mi'!Q24</f>
        <v>1.553408915204515E-4</v>
      </c>
      <c r="R24" s="700">
        <f>'Market Data'!$Y$52*'Mkt Pen Veh-Mi'!R24</f>
        <v>0</v>
      </c>
      <c r="S24" s="705">
        <f>'Market Data'!$Y$52*'Mkt Pen Veh-Mi'!S24</f>
        <v>0</v>
      </c>
      <c r="T24" s="423">
        <f t="shared" si="6"/>
        <v>0.9595911123100398</v>
      </c>
      <c r="U24" s="425">
        <f t="shared" si="8"/>
        <v>4.0408887689960232E-2</v>
      </c>
      <c r="X24" s="117"/>
    </row>
    <row r="25" spans="1:24" ht="15" x14ac:dyDescent="0.2">
      <c r="A25" s="403">
        <v>2023</v>
      </c>
      <c r="B25" s="423">
        <f>'Market Data'!$E$52*'Mkt Pen Veh-Mi'!B25</f>
        <v>0.62532650223197228</v>
      </c>
      <c r="C25" s="424">
        <f>'Market Data'!$E$52*'Mkt Pen Veh-Mi'!C25</f>
        <v>2.5738883408896112E-2</v>
      </c>
      <c r="D25" s="424">
        <f>'Market Data'!$E$52*'Mkt Pen Veh-Mi'!D25</f>
        <v>1.7363862099058137E-2</v>
      </c>
      <c r="E25" s="700">
        <f>'Market Data'!$E$52*'Mkt Pen Veh-Mi'!E25</f>
        <v>0</v>
      </c>
      <c r="F25" s="700">
        <f>'Market Data'!$E$52*'Mkt Pen Veh-Mi'!F25</f>
        <v>0</v>
      </c>
      <c r="G25" s="705">
        <f>'Market Data'!$E$52*'Mkt Pen Veh-Mi'!G25</f>
        <v>0</v>
      </c>
      <c r="H25" s="423">
        <f>'Market Data'!$O$52*'Mkt Pen Veh-Mi'!H25</f>
        <v>0.19711389694668779</v>
      </c>
      <c r="I25" s="424">
        <f>'Market Data'!$O$52*'Mkt Pen Veh-Mi'!I25</f>
        <v>2.6015500461731345E-2</v>
      </c>
      <c r="J25" s="424">
        <f>'Market Data'!$O$52*'Mkt Pen Veh-Mi'!J25</f>
        <v>1.8762947564075958E-2</v>
      </c>
      <c r="K25" s="700">
        <f>'Market Data'!$O$52*'Mkt Pen Veh-Mi'!K25</f>
        <v>0</v>
      </c>
      <c r="L25" s="700">
        <f>'Market Data'!$O$52*'Mkt Pen Veh-Mi'!L25</f>
        <v>0</v>
      </c>
      <c r="M25" s="705">
        <f>'Market Data'!$O$52*'Mkt Pen Veh-Mi'!M25</f>
        <v>0</v>
      </c>
      <c r="N25" s="423">
        <f>'Market Data'!$Y$52*'Mkt Pen Veh-Mi'!N25</f>
        <v>8.3087068475695511E-2</v>
      </c>
      <c r="O25" s="424">
        <f>'Market Data'!$Y$52*'Mkt Pen Veh-Mi'!O25</f>
        <v>2.9252748369129411E-3</v>
      </c>
      <c r="P25" s="424">
        <f>'Market Data'!$Y$52*'Mkt Pen Veh-Mi'!P25</f>
        <v>3.1584320418116298E-3</v>
      </c>
      <c r="Q25" s="700">
        <f>'Market Data'!$Y$52*'Mkt Pen Veh-Mi'!Q25</f>
        <v>5.0763193315822087E-4</v>
      </c>
      <c r="R25" s="700">
        <f>'Market Data'!$Y$52*'Mkt Pen Veh-Mi'!R25</f>
        <v>0</v>
      </c>
      <c r="S25" s="705">
        <f>'Market Data'!$Y$52*'Mkt Pen Veh-Mi'!S25</f>
        <v>0</v>
      </c>
      <c r="T25" s="423">
        <f t="shared" si="6"/>
        <v>0.90552746765435554</v>
      </c>
      <c r="U25" s="425">
        <f t="shared" si="8"/>
        <v>9.4472532345644331E-2</v>
      </c>
      <c r="X25" s="117"/>
    </row>
    <row r="26" spans="1:24" ht="15" x14ac:dyDescent="0.2">
      <c r="A26" s="403">
        <v>2024</v>
      </c>
      <c r="B26" s="423">
        <f>'Market Data'!$E$52*'Mkt Pen Veh-Mi'!B26</f>
        <v>0.5628872309280627</v>
      </c>
      <c r="C26" s="424">
        <f>'Market Data'!$E$52*'Mkt Pen Veh-Mi'!C26</f>
        <v>6.1093043721967728E-2</v>
      </c>
      <c r="D26" s="424">
        <f>'Market Data'!$E$52*'Mkt Pen Veh-Mi'!D26</f>
        <v>4.4448973089896107E-2</v>
      </c>
      <c r="E26" s="700">
        <f>'Market Data'!$E$52*'Mkt Pen Veh-Mi'!E26</f>
        <v>0</v>
      </c>
      <c r="F26" s="700">
        <f>'Market Data'!$E$52*'Mkt Pen Veh-Mi'!F26</f>
        <v>0</v>
      </c>
      <c r="G26" s="705">
        <f>'Market Data'!$E$52*'Mkt Pen Veh-Mi'!G26</f>
        <v>0</v>
      </c>
      <c r="H26" s="423">
        <f>'Market Data'!$O$52*'Mkt Pen Veh-Mi'!H26</f>
        <v>0.16582515061992667</v>
      </c>
      <c r="I26" s="424">
        <f>'Market Data'!$O$52*'Mkt Pen Veh-Mi'!I26</f>
        <v>4.0671878183409227E-2</v>
      </c>
      <c r="J26" s="424">
        <f>'Market Data'!$O$52*'Mkt Pen Veh-Mi'!J26</f>
        <v>3.5395316169159183E-2</v>
      </c>
      <c r="K26" s="700">
        <f>'Market Data'!$O$52*'Mkt Pen Veh-Mi'!K26</f>
        <v>0</v>
      </c>
      <c r="L26" s="700">
        <f>'Market Data'!$O$52*'Mkt Pen Veh-Mi'!L26</f>
        <v>0</v>
      </c>
      <c r="M26" s="705">
        <f>'Market Data'!$O$52*'Mkt Pen Veh-Mi'!M26</f>
        <v>0</v>
      </c>
      <c r="N26" s="423">
        <f>'Market Data'!$Y$52*'Mkt Pen Veh-Mi'!N26</f>
        <v>7.6361781425845085E-2</v>
      </c>
      <c r="O26" s="424">
        <f>'Market Data'!$Y$52*'Mkt Pen Veh-Mi'!O26</f>
        <v>5.8326507455636967E-3</v>
      </c>
      <c r="P26" s="424">
        <f>'Market Data'!$Y$52*'Mkt Pen Veh-Mi'!P26</f>
        <v>6.0133755656499354E-3</v>
      </c>
      <c r="Q26" s="700">
        <f>'Market Data'!$Y$52*'Mkt Pen Veh-Mi'!Q26</f>
        <v>1.470599550519591E-3</v>
      </c>
      <c r="R26" s="700">
        <f>'Market Data'!$Y$52*'Mkt Pen Veh-Mi'!R26</f>
        <v>0</v>
      </c>
      <c r="S26" s="705">
        <f>'Market Data'!$Y$52*'Mkt Pen Veh-Mi'!S26</f>
        <v>0</v>
      </c>
      <c r="T26" s="423">
        <f t="shared" si="6"/>
        <v>0.80507416297383438</v>
      </c>
      <c r="U26" s="425">
        <f t="shared" si="8"/>
        <v>0.19492583702616545</v>
      </c>
      <c r="X26" s="117"/>
    </row>
    <row r="27" spans="1:24" ht="15" x14ac:dyDescent="0.2">
      <c r="A27" s="402">
        <v>2025</v>
      </c>
      <c r="B27" s="426">
        <f>'Market Data'!$E$52*'Mkt Pen Veh-Mi'!B27</f>
        <v>0.45733483167100669</v>
      </c>
      <c r="C27" s="427">
        <f>'Market Data'!$E$52*'Mkt Pen Veh-Mi'!C27</f>
        <v>0.1230622131666364</v>
      </c>
      <c r="D27" s="427">
        <f>'Market Data'!$E$52*'Mkt Pen Veh-Mi'!D27</f>
        <v>8.8032202902283418E-2</v>
      </c>
      <c r="E27" s="701">
        <f>'Market Data'!$E$52*'Mkt Pen Veh-Mi'!E27</f>
        <v>0</v>
      </c>
      <c r="F27" s="701">
        <f>'Market Data'!$E$52*'Mkt Pen Veh-Mi'!F27</f>
        <v>0</v>
      </c>
      <c r="G27" s="706">
        <f>'Market Data'!$E$52*'Mkt Pen Veh-Mi'!G27</f>
        <v>0</v>
      </c>
      <c r="H27" s="426">
        <f>'Market Data'!$O$52*'Mkt Pen Veh-Mi'!H27</f>
        <v>0.13528899037497363</v>
      </c>
      <c r="I27" s="427">
        <f>'Market Data'!$O$52*'Mkt Pen Veh-Mi'!I27</f>
        <v>5.5149806355933979E-2</v>
      </c>
      <c r="J27" s="427">
        <f>'Market Data'!$O$52*'Mkt Pen Veh-Mi'!J27</f>
        <v>5.1453548241587474E-2</v>
      </c>
      <c r="K27" s="701">
        <f>'Market Data'!$O$52*'Mkt Pen Veh-Mi'!K27</f>
        <v>0</v>
      </c>
      <c r="L27" s="701">
        <f>'Market Data'!$O$52*'Mkt Pen Veh-Mi'!L27</f>
        <v>0</v>
      </c>
      <c r="M27" s="706">
        <f>'Market Data'!$O$52*'Mkt Pen Veh-Mi'!M27</f>
        <v>0</v>
      </c>
      <c r="N27" s="426">
        <f>'Market Data'!$Y$52*'Mkt Pen Veh-Mi'!N27</f>
        <v>7.1563718845574442E-2</v>
      </c>
      <c r="O27" s="427">
        <f>'Market Data'!$Y$52*'Mkt Pen Veh-Mi'!O27</f>
        <v>6.3250402641116107E-3</v>
      </c>
      <c r="P27" s="427">
        <f>'Market Data'!$Y$52*'Mkt Pen Veh-Mi'!P27</f>
        <v>8.4468453877739394E-3</v>
      </c>
      <c r="Q27" s="701">
        <f>'Market Data'!$Y$52*'Mkt Pen Veh-Mi'!Q27</f>
        <v>3.3428027901183134E-3</v>
      </c>
      <c r="R27" s="701">
        <f>'Market Data'!$Y$52*'Mkt Pen Veh-Mi'!R27</f>
        <v>0</v>
      </c>
      <c r="S27" s="706">
        <f>'Market Data'!$Y$52*'Mkt Pen Veh-Mi'!S27</f>
        <v>0</v>
      </c>
      <c r="T27" s="426">
        <f t="shared" si="6"/>
        <v>0.66418754089155474</v>
      </c>
      <c r="U27" s="428">
        <f t="shared" si="8"/>
        <v>0.33581245910844515</v>
      </c>
      <c r="X27" s="117"/>
    </row>
    <row r="28" spans="1:24" ht="15" x14ac:dyDescent="0.2">
      <c r="A28" s="429">
        <v>2026</v>
      </c>
      <c r="B28" s="430">
        <f>'Market Data'!$E$52*'Mkt Pen Veh-Mi'!B28</f>
        <v>0.40024470291908404</v>
      </c>
      <c r="C28" s="431">
        <f>'Market Data'!$E$52*'Mkt Pen Veh-Mi'!C28</f>
        <v>0.15032481113628601</v>
      </c>
      <c r="D28" s="431">
        <f>'Market Data'!$E$52*'Mkt Pen Veh-Mi'!D28</f>
        <v>0.1178597336845565</v>
      </c>
      <c r="E28" s="702">
        <f>'Market Data'!$E$52*'Mkt Pen Veh-Mi'!E28</f>
        <v>0</v>
      </c>
      <c r="F28" s="702">
        <f>'Market Data'!$E$52*'Mkt Pen Veh-Mi'!F28</f>
        <v>0</v>
      </c>
      <c r="G28" s="707">
        <f>'Market Data'!$E$52*'Mkt Pen Veh-Mi'!G28</f>
        <v>0</v>
      </c>
      <c r="H28" s="430">
        <f>'Market Data'!$O$52*'Mkt Pen Veh-Mi'!H28</f>
        <v>0.10204274658226084</v>
      </c>
      <c r="I28" s="431">
        <f>'Market Data'!$O$52*'Mkt Pen Veh-Mi'!I28</f>
        <v>7.1112644252446525E-2</v>
      </c>
      <c r="J28" s="431">
        <f>'Market Data'!$O$52*'Mkt Pen Veh-Mi'!J28</f>
        <v>6.8736954137787729E-2</v>
      </c>
      <c r="K28" s="702">
        <f>'Market Data'!$O$52*'Mkt Pen Veh-Mi'!K28</f>
        <v>0</v>
      </c>
      <c r="L28" s="702">
        <f>'Market Data'!$O$52*'Mkt Pen Veh-Mi'!L28</f>
        <v>0</v>
      </c>
      <c r="M28" s="707">
        <f>'Market Data'!$O$52*'Mkt Pen Veh-Mi'!M28</f>
        <v>0</v>
      </c>
      <c r="N28" s="430">
        <f>'Market Data'!$Y$52*'Mkt Pen Veh-Mi'!N28</f>
        <v>6.1624787620941597E-2</v>
      </c>
      <c r="O28" s="431">
        <f>'Market Data'!$Y$52*'Mkt Pen Veh-Mi'!O28</f>
        <v>9.3754401043414128E-3</v>
      </c>
      <c r="P28" s="431">
        <f>'Market Data'!$Y$52*'Mkt Pen Veh-Mi'!P28</f>
        <v>1.3425317938121049E-2</v>
      </c>
      <c r="Q28" s="702">
        <f>'Market Data'!$Y$52*'Mkt Pen Veh-Mi'!Q28</f>
        <v>5.2527811940572796E-3</v>
      </c>
      <c r="R28" s="702">
        <f>'Market Data'!$Y$52*'Mkt Pen Veh-Mi'!R28</f>
        <v>8.0430116983467532E-8</v>
      </c>
      <c r="S28" s="707">
        <f>'Market Data'!$Y$52*'Mkt Pen Veh-Mi'!S28</f>
        <v>0</v>
      </c>
      <c r="T28" s="433">
        <f t="shared" si="6"/>
        <v>0.56391223712228644</v>
      </c>
      <c r="U28" s="434">
        <f t="shared" si="8"/>
        <v>0.4360877628777135</v>
      </c>
      <c r="X28" s="117"/>
    </row>
    <row r="29" spans="1:24" ht="15" x14ac:dyDescent="0.2">
      <c r="A29" s="403">
        <v>2027</v>
      </c>
      <c r="B29" s="423">
        <f>'Market Data'!$E$52*'Mkt Pen Veh-Mi'!B29</f>
        <v>0.35103090338687387</v>
      </c>
      <c r="C29" s="424">
        <f>'Market Data'!$E$52*'Mkt Pen Veh-Mi'!C29</f>
        <v>0.18772063849728315</v>
      </c>
      <c r="D29" s="424">
        <f>'Market Data'!$E$52*'Mkt Pen Veh-Mi'!D29</f>
        <v>0.12967770585576949</v>
      </c>
      <c r="E29" s="700">
        <f>'Market Data'!$E$52*'Mkt Pen Veh-Mi'!E29</f>
        <v>0</v>
      </c>
      <c r="F29" s="700">
        <f>'Market Data'!$E$52*'Mkt Pen Veh-Mi'!F29</f>
        <v>0</v>
      </c>
      <c r="G29" s="705">
        <f>'Market Data'!$E$52*'Mkt Pen Veh-Mi'!G29</f>
        <v>0</v>
      </c>
      <c r="H29" s="423">
        <f>'Market Data'!$O$52*'Mkt Pen Veh-Mi'!H29</f>
        <v>8.3087935099392482E-2</v>
      </c>
      <c r="I29" s="424">
        <f>'Market Data'!$O$52*'Mkt Pen Veh-Mi'!I29</f>
        <v>8.033008713191668E-2</v>
      </c>
      <c r="J29" s="424">
        <f>'Market Data'!$O$52*'Mkt Pen Veh-Mi'!J29</f>
        <v>7.8474322741185945E-2</v>
      </c>
      <c r="K29" s="700">
        <f>'Market Data'!$O$52*'Mkt Pen Veh-Mi'!K29</f>
        <v>0</v>
      </c>
      <c r="L29" s="700">
        <f>'Market Data'!$O$52*'Mkt Pen Veh-Mi'!L29</f>
        <v>0</v>
      </c>
      <c r="M29" s="705">
        <f>'Market Data'!$O$52*'Mkt Pen Veh-Mi'!M29</f>
        <v>0</v>
      </c>
      <c r="N29" s="423">
        <f>'Market Data'!$Y$52*'Mkt Pen Veh-Mi'!N29</f>
        <v>5.5159924093119608E-2</v>
      </c>
      <c r="O29" s="424">
        <f>'Market Data'!$Y$52*'Mkt Pen Veh-Mi'!O29</f>
        <v>1.0166961705142846E-2</v>
      </c>
      <c r="P29" s="424">
        <f>'Market Data'!$Y$52*'Mkt Pen Veh-Mi'!P29</f>
        <v>1.7506558758081842E-2</v>
      </c>
      <c r="Q29" s="700">
        <f>'Market Data'!$Y$52*'Mkt Pen Veh-Mi'!Q29</f>
        <v>6.843888819654996E-3</v>
      </c>
      <c r="R29" s="700">
        <f>'Market Data'!$Y$52*'Mkt Pen Veh-Mi'!R29</f>
        <v>1.0739115790105966E-6</v>
      </c>
      <c r="S29" s="705">
        <f>'Market Data'!$Y$52*'Mkt Pen Veh-Mi'!S29</f>
        <v>0</v>
      </c>
      <c r="T29" s="423">
        <f t="shared" si="6"/>
        <v>0.48927876257938596</v>
      </c>
      <c r="U29" s="425">
        <f t="shared" si="8"/>
        <v>0.51072123742061393</v>
      </c>
      <c r="X29" s="117"/>
    </row>
    <row r="30" spans="1:24" ht="15" x14ac:dyDescent="0.2">
      <c r="A30" s="403">
        <v>2028</v>
      </c>
      <c r="B30" s="423">
        <f>'Market Data'!$E$52*'Mkt Pen Veh-Mi'!B30</f>
        <v>0.32047824454843654</v>
      </c>
      <c r="C30" s="424">
        <f>'Market Data'!$E$52*'Mkt Pen Veh-Mi'!C30</f>
        <v>0.19568973188121744</v>
      </c>
      <c r="D30" s="424">
        <f>'Market Data'!$E$52*'Mkt Pen Veh-Mi'!D30</f>
        <v>0.15226127131027256</v>
      </c>
      <c r="E30" s="700">
        <f>'Market Data'!$E$52*'Mkt Pen Veh-Mi'!E30</f>
        <v>0</v>
      </c>
      <c r="F30" s="700">
        <f>'Market Data'!$E$52*'Mkt Pen Veh-Mi'!F30</f>
        <v>0</v>
      </c>
      <c r="G30" s="705">
        <f>'Market Data'!$E$52*'Mkt Pen Veh-Mi'!G30</f>
        <v>0</v>
      </c>
      <c r="H30" s="423">
        <f>'Market Data'!$O$52*'Mkt Pen Veh-Mi'!H30</f>
        <v>6.9577484420243821E-2</v>
      </c>
      <c r="I30" s="424">
        <f>'Market Data'!$O$52*'Mkt Pen Veh-Mi'!I30</f>
        <v>8.7150879149920632E-2</v>
      </c>
      <c r="J30" s="424">
        <f>'Market Data'!$O$52*'Mkt Pen Veh-Mi'!J30</f>
        <v>8.5163981402330641E-2</v>
      </c>
      <c r="K30" s="700">
        <f>'Market Data'!$O$52*'Mkt Pen Veh-Mi'!K30</f>
        <v>0</v>
      </c>
      <c r="L30" s="700">
        <f>'Market Data'!$O$52*'Mkt Pen Veh-Mi'!L30</f>
        <v>0</v>
      </c>
      <c r="M30" s="705">
        <f>'Market Data'!$O$52*'Mkt Pen Veh-Mi'!M30</f>
        <v>0</v>
      </c>
      <c r="N30" s="423">
        <f>'Market Data'!$Y$52*'Mkt Pen Veh-Mi'!N30</f>
        <v>5.0252574798814113E-2</v>
      </c>
      <c r="O30" s="424">
        <f>'Market Data'!$Y$52*'Mkt Pen Veh-Mi'!O30</f>
        <v>1.1882754100666184E-2</v>
      </c>
      <c r="P30" s="424">
        <f>'Market Data'!$Y$52*'Mkt Pen Veh-Mi'!P30</f>
        <v>1.9344200931333412E-2</v>
      </c>
      <c r="Q30" s="700">
        <f>'Market Data'!$Y$52*'Mkt Pen Veh-Mi'!Q30</f>
        <v>8.1881529123683759E-3</v>
      </c>
      <c r="R30" s="700">
        <f>'Market Data'!$Y$52*'Mkt Pen Veh-Mi'!R30</f>
        <v>1.0724544396228984E-5</v>
      </c>
      <c r="S30" s="705">
        <f>'Market Data'!$Y$52*'Mkt Pen Veh-Mi'!S30</f>
        <v>0</v>
      </c>
      <c r="T30" s="423">
        <f t="shared" si="6"/>
        <v>0.44030830376749447</v>
      </c>
      <c r="U30" s="425">
        <f t="shared" si="8"/>
        <v>0.55969169623250536</v>
      </c>
      <c r="X30" s="117"/>
    </row>
    <row r="31" spans="1:24" ht="15" x14ac:dyDescent="0.2">
      <c r="A31" s="403">
        <v>2029</v>
      </c>
      <c r="B31" s="423">
        <f>'Market Data'!$E$52*'Mkt Pen Veh-Mi'!B31</f>
        <v>0.31677931820861671</v>
      </c>
      <c r="C31" s="424">
        <f>'Market Data'!$E$52*'Mkt Pen Veh-Mi'!C31</f>
        <v>0.20515487300916307</v>
      </c>
      <c r="D31" s="424">
        <f>'Market Data'!$E$52*'Mkt Pen Veh-Mi'!D31</f>
        <v>0.14649505652214673</v>
      </c>
      <c r="E31" s="700">
        <f>'Market Data'!$E$52*'Mkt Pen Veh-Mi'!E31</f>
        <v>0</v>
      </c>
      <c r="F31" s="700">
        <f>'Market Data'!$E$52*'Mkt Pen Veh-Mi'!F31</f>
        <v>0</v>
      </c>
      <c r="G31" s="705">
        <f>'Market Data'!$E$52*'Mkt Pen Veh-Mi'!G31</f>
        <v>0</v>
      </c>
      <c r="H31" s="423">
        <f>'Market Data'!$O$52*'Mkt Pen Veh-Mi'!H31</f>
        <v>6.3191866081896461E-2</v>
      </c>
      <c r="I31" s="424">
        <f>'Market Data'!$O$52*'Mkt Pen Veh-Mi'!I31</f>
        <v>8.992256736102297E-2</v>
      </c>
      <c r="J31" s="424">
        <f>'Market Data'!$O$52*'Mkt Pen Veh-Mi'!J31</f>
        <v>8.8777911529575648E-2</v>
      </c>
      <c r="K31" s="700">
        <f>'Market Data'!$O$52*'Mkt Pen Veh-Mi'!K31</f>
        <v>0</v>
      </c>
      <c r="L31" s="700">
        <f>'Market Data'!$O$52*'Mkt Pen Veh-Mi'!L31</f>
        <v>0</v>
      </c>
      <c r="M31" s="705">
        <f>'Market Data'!$O$52*'Mkt Pen Veh-Mi'!M31</f>
        <v>0</v>
      </c>
      <c r="N31" s="423">
        <f>'Market Data'!$Y$52*'Mkt Pen Veh-Mi'!N31</f>
        <v>4.8191692617809298E-2</v>
      </c>
      <c r="O31" s="424">
        <f>'Market Data'!$Y$52*'Mkt Pen Veh-Mi'!O31</f>
        <v>1.2652483147988175E-2</v>
      </c>
      <c r="P31" s="424">
        <f>'Market Data'!$Y$52*'Mkt Pen Veh-Mi'!P31</f>
        <v>1.9747709188036752E-2</v>
      </c>
      <c r="Q31" s="700">
        <f>'Market Data'!$Y$52*'Mkt Pen Veh-Mi'!Q31</f>
        <v>9.0325069675918582E-3</v>
      </c>
      <c r="R31" s="700">
        <f>'Market Data'!$Y$52*'Mkt Pen Veh-Mi'!R31</f>
        <v>5.4015366152236254E-5</v>
      </c>
      <c r="S31" s="705">
        <f>'Market Data'!$Y$52*'Mkt Pen Veh-Mi'!S31</f>
        <v>0</v>
      </c>
      <c r="T31" s="423">
        <f t="shared" si="6"/>
        <v>0.4281628769083225</v>
      </c>
      <c r="U31" s="425">
        <f t="shared" si="8"/>
        <v>0.57183712309167745</v>
      </c>
      <c r="X31" s="117"/>
    </row>
    <row r="32" spans="1:24" ht="15" x14ac:dyDescent="0.2">
      <c r="A32" s="402">
        <v>2030</v>
      </c>
      <c r="B32" s="426">
        <f>'Market Data'!$E$52*'Mkt Pen Veh-Mi'!B32</f>
        <v>0.31132291349534197</v>
      </c>
      <c r="C32" s="427">
        <f>'Market Data'!$E$52*'Mkt Pen Veh-Mi'!C32</f>
        <v>0.20065151610903431</v>
      </c>
      <c r="D32" s="427">
        <f>'Market Data'!$E$52*'Mkt Pen Veh-Mi'!D32</f>
        <v>0.15645481813555021</v>
      </c>
      <c r="E32" s="701">
        <f>'Market Data'!$E$52*'Mkt Pen Veh-Mi'!E32</f>
        <v>0</v>
      </c>
      <c r="F32" s="701">
        <f>'Market Data'!$E$52*'Mkt Pen Veh-Mi'!F32</f>
        <v>0</v>
      </c>
      <c r="G32" s="706">
        <f>'Market Data'!$E$52*'Mkt Pen Veh-Mi'!G32</f>
        <v>0</v>
      </c>
      <c r="H32" s="426">
        <f>'Market Data'!$O$52*'Mkt Pen Veh-Mi'!H32</f>
        <v>5.637435536470059E-2</v>
      </c>
      <c r="I32" s="427">
        <f>'Market Data'!$O$52*'Mkt Pen Veh-Mi'!I32</f>
        <v>9.2916186897393171E-2</v>
      </c>
      <c r="J32" s="427">
        <f>'Market Data'!$O$52*'Mkt Pen Veh-Mi'!J32</f>
        <v>9.2601802710401318E-2</v>
      </c>
      <c r="K32" s="701">
        <f>'Market Data'!$O$52*'Mkt Pen Veh-Mi'!K32</f>
        <v>0</v>
      </c>
      <c r="L32" s="701">
        <f>'Market Data'!$O$52*'Mkt Pen Veh-Mi'!L32</f>
        <v>0</v>
      </c>
      <c r="M32" s="706">
        <f>'Market Data'!$O$52*'Mkt Pen Veh-Mi'!M32</f>
        <v>0</v>
      </c>
      <c r="N32" s="426">
        <f>'Market Data'!$Y$52*'Mkt Pen Veh-Mi'!N32</f>
        <v>4.6303175158862397E-2</v>
      </c>
      <c r="O32" s="427">
        <f>'Market Data'!$Y$52*'Mkt Pen Veh-Mi'!O32</f>
        <v>1.3368655116050046E-2</v>
      </c>
      <c r="P32" s="427">
        <f>'Market Data'!$Y$52*'Mkt Pen Veh-Mi'!P32</f>
        <v>1.9855477314096821E-2</v>
      </c>
      <c r="Q32" s="701">
        <f>'Market Data'!$Y$52*'Mkt Pen Veh-Mi'!Q32</f>
        <v>9.9443641407546812E-3</v>
      </c>
      <c r="R32" s="701">
        <f>'Market Data'!$Y$52*'Mkt Pen Veh-Mi'!R32</f>
        <v>2.0673555781435741E-4</v>
      </c>
      <c r="S32" s="706">
        <f>'Market Data'!$Y$52*'Mkt Pen Veh-Mi'!S32</f>
        <v>0</v>
      </c>
      <c r="T32" s="426">
        <f t="shared" si="6"/>
        <v>0.41400044401890496</v>
      </c>
      <c r="U32" s="428">
        <f t="shared" si="8"/>
        <v>0.58599955598109477</v>
      </c>
      <c r="X32" s="117"/>
    </row>
    <row r="33" spans="1:21" ht="15" x14ac:dyDescent="0.2">
      <c r="A33" s="429">
        <v>2031</v>
      </c>
      <c r="B33" s="430">
        <f>'Market Data'!$E$52*'Mkt Pen Veh-Mi'!B33</f>
        <v>0.31183027953071474</v>
      </c>
      <c r="C33" s="431">
        <f>'Market Data'!$E$52*'Mkt Pen Veh-Mi'!C33</f>
        <v>0.19691217637744252</v>
      </c>
      <c r="D33" s="431">
        <f>'Market Data'!$E$52*'Mkt Pen Veh-Mi'!D33</f>
        <v>0.15968679183176923</v>
      </c>
      <c r="E33" s="702">
        <f>'Market Data'!$E$52*'Mkt Pen Veh-Mi'!E33</f>
        <v>0</v>
      </c>
      <c r="F33" s="702">
        <f>'Market Data'!$E$52*'Mkt Pen Veh-Mi'!F33</f>
        <v>0</v>
      </c>
      <c r="G33" s="707">
        <f>'Market Data'!$E$52*'Mkt Pen Veh-Mi'!G33</f>
        <v>0</v>
      </c>
      <c r="H33" s="430">
        <f>'Market Data'!$O$52*'Mkt Pen Veh-Mi'!H33</f>
        <v>5.5959348042725447E-2</v>
      </c>
      <c r="I33" s="431">
        <f>'Market Data'!$O$52*'Mkt Pen Veh-Mi'!I33</f>
        <v>9.2986995698931055E-2</v>
      </c>
      <c r="J33" s="431">
        <f>'Market Data'!$O$52*'Mkt Pen Veh-Mi'!J33</f>
        <v>9.2945329675461388E-2</v>
      </c>
      <c r="K33" s="702">
        <f>'Market Data'!$O$52*'Mkt Pen Veh-Mi'!K33</f>
        <v>6.7155537719013028E-7</v>
      </c>
      <c r="L33" s="702">
        <f>'Market Data'!$O$52*'Mkt Pen Veh-Mi'!L33</f>
        <v>0</v>
      </c>
      <c r="M33" s="707">
        <f>'Market Data'!$O$52*'Mkt Pen Veh-Mi'!M33</f>
        <v>0</v>
      </c>
      <c r="N33" s="430">
        <f>'Market Data'!$Y$52*'Mkt Pen Veh-Mi'!N33</f>
        <v>4.6095923485412582E-2</v>
      </c>
      <c r="O33" s="431">
        <f>'Market Data'!$Y$52*'Mkt Pen Veh-Mi'!O33</f>
        <v>1.3543568262175495E-2</v>
      </c>
      <c r="P33" s="431">
        <f>'Market Data'!$Y$52*'Mkt Pen Veh-Mi'!P33</f>
        <v>1.9734896676382042E-2</v>
      </c>
      <c r="Q33" s="702">
        <f>'Market Data'!$Y$52*'Mkt Pen Veh-Mi'!Q33</f>
        <v>9.9564401549785252E-3</v>
      </c>
      <c r="R33" s="702">
        <f>'Market Data'!$Y$52*'Mkt Pen Veh-Mi'!R33</f>
        <v>3.4757870862966935E-4</v>
      </c>
      <c r="S33" s="707">
        <f>'Market Data'!$Y$52*'Mkt Pen Veh-Mi'!S33</f>
        <v>0</v>
      </c>
      <c r="T33" s="433">
        <f t="shared" si="6"/>
        <v>0.41388555105885277</v>
      </c>
      <c r="U33" s="434">
        <f t="shared" si="8"/>
        <v>0.58611444894114717</v>
      </c>
    </row>
    <row r="34" spans="1:21" ht="15" x14ac:dyDescent="0.2">
      <c r="A34" s="403">
        <v>2032</v>
      </c>
      <c r="B34" s="423">
        <f>'Market Data'!$E$52*'Mkt Pen Veh-Mi'!B34</f>
        <v>0.31436622111120621</v>
      </c>
      <c r="C34" s="424">
        <f>'Market Data'!$E$52*'Mkt Pen Veh-Mi'!C34</f>
        <v>0.19312685490006395</v>
      </c>
      <c r="D34" s="424">
        <f>'Market Data'!$E$52*'Mkt Pen Veh-Mi'!D34</f>
        <v>0.16093617172865635</v>
      </c>
      <c r="E34" s="700">
        <f>'Market Data'!$E$52*'Mkt Pen Veh-Mi'!E34</f>
        <v>0</v>
      </c>
      <c r="F34" s="700">
        <f>'Market Data'!$E$52*'Mkt Pen Veh-Mi'!F34</f>
        <v>0</v>
      </c>
      <c r="G34" s="705">
        <f>'Market Data'!$E$52*'Mkt Pen Veh-Mi'!G34</f>
        <v>0</v>
      </c>
      <c r="H34" s="423">
        <f>'Market Data'!$O$52*'Mkt Pen Veh-Mi'!H34</f>
        <v>5.4242943896565629E-2</v>
      </c>
      <c r="I34" s="424">
        <f>'Market Data'!$O$52*'Mkt Pen Veh-Mi'!I34</f>
        <v>9.3874844529076198E-2</v>
      </c>
      <c r="J34" s="424">
        <f>'Market Data'!$O$52*'Mkt Pen Veh-Mi'!J34</f>
        <v>9.3667120107038607E-2</v>
      </c>
      <c r="K34" s="700">
        <f>'Market Data'!$O$52*'Mkt Pen Veh-Mi'!K34</f>
        <v>1.0743643981464811E-4</v>
      </c>
      <c r="L34" s="700">
        <f>'Market Data'!$O$52*'Mkt Pen Veh-Mi'!L34</f>
        <v>0</v>
      </c>
      <c r="M34" s="705">
        <f>'Market Data'!$O$52*'Mkt Pen Veh-Mi'!M34</f>
        <v>0</v>
      </c>
      <c r="N34" s="423">
        <f>'Market Data'!$Y$52*'Mkt Pen Veh-Mi'!N34</f>
        <v>4.5345812977483836E-2</v>
      </c>
      <c r="O34" s="424">
        <f>'Market Data'!$Y$52*'Mkt Pen Veh-Mi'!O34</f>
        <v>1.3566390230299187E-2</v>
      </c>
      <c r="P34" s="424">
        <f>'Market Data'!$Y$52*'Mkt Pen Veh-Mi'!P34</f>
        <v>2.0271976752862193E-2</v>
      </c>
      <c r="Q34" s="700">
        <f>'Market Data'!$Y$52*'Mkt Pen Veh-Mi'!Q34</f>
        <v>9.9812336943135519E-3</v>
      </c>
      <c r="R34" s="700">
        <f>'Market Data'!$Y$52*'Mkt Pen Veh-Mi'!R34</f>
        <v>5.1299363261953315E-4</v>
      </c>
      <c r="S34" s="705">
        <f>'Market Data'!$Y$52*'Mkt Pen Veh-Mi'!S34</f>
        <v>0</v>
      </c>
      <c r="T34" s="423">
        <f t="shared" si="6"/>
        <v>0.41395497798525571</v>
      </c>
      <c r="U34" s="425">
        <f t="shared" si="8"/>
        <v>0.58604502201474429</v>
      </c>
    </row>
    <row r="35" spans="1:21" ht="15" x14ac:dyDescent="0.2">
      <c r="A35" s="403">
        <v>2033</v>
      </c>
      <c r="B35" s="423">
        <f>'Market Data'!$E$52*'Mkt Pen Veh-Mi'!B35</f>
        <v>0.30541702026663081</v>
      </c>
      <c r="C35" s="424">
        <f>'Market Data'!$E$52*'Mkt Pen Veh-Mi'!C35</f>
        <v>0.18478237146611379</v>
      </c>
      <c r="D35" s="424">
        <f>'Market Data'!$E$52*'Mkt Pen Veh-Mi'!D35</f>
        <v>0.17822985600718194</v>
      </c>
      <c r="E35" s="700">
        <f>'Market Data'!$E$52*'Mkt Pen Veh-Mi'!E35</f>
        <v>0</v>
      </c>
      <c r="F35" s="700">
        <f>'Market Data'!$E$52*'Mkt Pen Veh-Mi'!F35</f>
        <v>0</v>
      </c>
      <c r="G35" s="705">
        <f>'Market Data'!$E$52*'Mkt Pen Veh-Mi'!G35</f>
        <v>0</v>
      </c>
      <c r="H35" s="423">
        <f>'Market Data'!$O$52*'Mkt Pen Veh-Mi'!H35</f>
        <v>5.2548086512958364E-2</v>
      </c>
      <c r="I35" s="424">
        <f>'Market Data'!$O$52*'Mkt Pen Veh-Mi'!I35</f>
        <v>9.4209695637021057E-2</v>
      </c>
      <c r="J35" s="424">
        <f>'Market Data'!$O$52*'Mkt Pen Veh-Mi'!J35</f>
        <v>9.416748174076621E-2</v>
      </c>
      <c r="K35" s="700">
        <f>'Market Data'!$O$52*'Mkt Pen Veh-Mi'!K35</f>
        <v>9.6708108174946327E-4</v>
      </c>
      <c r="L35" s="700">
        <f>'Market Data'!$O$52*'Mkt Pen Veh-Mi'!L35</f>
        <v>0</v>
      </c>
      <c r="M35" s="705">
        <f>'Market Data'!$O$52*'Mkt Pen Veh-Mi'!M35</f>
        <v>0</v>
      </c>
      <c r="N35" s="423">
        <f>'Market Data'!$Y$52*'Mkt Pen Veh-Mi'!N35</f>
        <v>4.4836433475158949E-2</v>
      </c>
      <c r="O35" s="424">
        <f>'Market Data'!$Y$52*'Mkt Pen Veh-Mi'!O35</f>
        <v>1.3849661429846023E-2</v>
      </c>
      <c r="P35" s="424">
        <f>'Market Data'!$Y$52*'Mkt Pen Veh-Mi'!P35</f>
        <v>2.0191259668856185E-2</v>
      </c>
      <c r="Q35" s="700">
        <f>'Market Data'!$Y$52*'Mkt Pen Veh-Mi'!Q35</f>
        <v>1.008114270549341E-2</v>
      </c>
      <c r="R35" s="700">
        <f>'Market Data'!$Y$52*'Mkt Pen Veh-Mi'!R35</f>
        <v>7.1991000822373803E-4</v>
      </c>
      <c r="S35" s="705">
        <f>'Market Data'!$Y$52*'Mkt Pen Veh-Mi'!S35</f>
        <v>0</v>
      </c>
      <c r="T35" s="423">
        <f t="shared" si="6"/>
        <v>0.40280154025474812</v>
      </c>
      <c r="U35" s="425">
        <f t="shared" si="8"/>
        <v>0.59719845974525188</v>
      </c>
    </row>
    <row r="36" spans="1:21" ht="15" x14ac:dyDescent="0.2">
      <c r="A36" s="403">
        <v>2034</v>
      </c>
      <c r="B36" s="423">
        <f>'Market Data'!$E$52*'Mkt Pen Veh-Mi'!B36</f>
        <v>0.30208637739661631</v>
      </c>
      <c r="C36" s="424">
        <f>'Market Data'!$E$52*'Mkt Pen Veh-Mi'!C36</f>
        <v>0.1843704180615037</v>
      </c>
      <c r="D36" s="424">
        <f>'Market Data'!$E$52*'Mkt Pen Veh-Mi'!D36</f>
        <v>0.18197245228180645</v>
      </c>
      <c r="E36" s="700">
        <f>'Market Data'!$E$52*'Mkt Pen Veh-Mi'!E36</f>
        <v>0</v>
      </c>
      <c r="F36" s="700">
        <f>'Market Data'!$E$52*'Mkt Pen Veh-Mi'!F36</f>
        <v>0</v>
      </c>
      <c r="G36" s="705">
        <f>'Market Data'!$E$52*'Mkt Pen Veh-Mi'!G36</f>
        <v>0</v>
      </c>
      <c r="H36" s="423">
        <f>'Market Data'!$O$52*'Mkt Pen Veh-Mi'!H36</f>
        <v>5.2533316461711194E-2</v>
      </c>
      <c r="I36" s="424">
        <f>'Market Data'!$O$52*'Mkt Pen Veh-Mi'!I36</f>
        <v>9.3242350705645821E-2</v>
      </c>
      <c r="J36" s="424">
        <f>'Market Data'!$O$52*'Mkt Pen Veh-Mi'!J36</f>
        <v>9.3200570261577617E-2</v>
      </c>
      <c r="K36" s="700">
        <f>'Market Data'!$O$52*'Mkt Pen Veh-Mi'!K36</f>
        <v>2.9161075435604534E-3</v>
      </c>
      <c r="L36" s="700">
        <f>'Market Data'!$O$52*'Mkt Pen Veh-Mi'!L36</f>
        <v>0</v>
      </c>
      <c r="M36" s="705">
        <f>'Market Data'!$O$52*'Mkt Pen Veh-Mi'!M36</f>
        <v>0</v>
      </c>
      <c r="N36" s="423">
        <f>'Market Data'!$Y$52*'Mkt Pen Veh-Mi'!N36</f>
        <v>4.4595600030573682E-2</v>
      </c>
      <c r="O36" s="424">
        <f>'Market Data'!$Y$52*'Mkt Pen Veh-Mi'!O36</f>
        <v>1.385777782867088E-2</v>
      </c>
      <c r="P36" s="424">
        <f>'Market Data'!$Y$52*'Mkt Pen Veh-Mi'!P36</f>
        <v>2.0131873701295166E-2</v>
      </c>
      <c r="Q36" s="700">
        <f>'Market Data'!$Y$52*'Mkt Pen Veh-Mi'!Q36</f>
        <v>1.0144145055291294E-2</v>
      </c>
      <c r="R36" s="700">
        <f>'Market Data'!$Y$52*'Mkt Pen Veh-Mi'!R36</f>
        <v>9.4901067174728575E-4</v>
      </c>
      <c r="S36" s="705">
        <f>'Market Data'!$Y$52*'Mkt Pen Veh-Mi'!S36</f>
        <v>0</v>
      </c>
      <c r="T36" s="423">
        <f t="shared" si="6"/>
        <v>0.3992152938889012</v>
      </c>
      <c r="U36" s="425">
        <f t="shared" si="8"/>
        <v>0.60078470611109869</v>
      </c>
    </row>
    <row r="37" spans="1:21" ht="15" x14ac:dyDescent="0.2">
      <c r="A37" s="402">
        <v>2035</v>
      </c>
      <c r="B37" s="426">
        <f>'Market Data'!$E$52*'Mkt Pen Veh-Mi'!B37</f>
        <v>0.29947430029122962</v>
      </c>
      <c r="C37" s="427">
        <f>'Market Data'!$E$52*'Mkt Pen Veh-Mi'!C37</f>
        <v>0.18315286461754385</v>
      </c>
      <c r="D37" s="427">
        <f>'Market Data'!$E$52*'Mkt Pen Veh-Mi'!D37</f>
        <v>0.18580208283115304</v>
      </c>
      <c r="E37" s="701">
        <f>'Market Data'!$E$52*'Mkt Pen Veh-Mi'!E37</f>
        <v>0</v>
      </c>
      <c r="F37" s="701">
        <f>'Market Data'!$E$52*'Mkt Pen Veh-Mi'!F37</f>
        <v>0</v>
      </c>
      <c r="G37" s="706">
        <f>'Market Data'!$E$52*'Mkt Pen Veh-Mi'!G37</f>
        <v>0</v>
      </c>
      <c r="H37" s="426">
        <f>'Market Data'!$O$52*'Mkt Pen Veh-Mi'!H37</f>
        <v>5.2378007247356841E-2</v>
      </c>
      <c r="I37" s="427">
        <f>'Market Data'!$O$52*'Mkt Pen Veh-Mi'!I37</f>
        <v>9.1088459871633692E-2</v>
      </c>
      <c r="J37" s="427">
        <f>'Market Data'!$O$52*'Mkt Pen Veh-Mi'!J37</f>
        <v>9.1047644552477491E-2</v>
      </c>
      <c r="K37" s="701">
        <f>'Market Data'!$O$52*'Mkt Pen Veh-Mi'!K37</f>
        <v>7.3782333010270866E-3</v>
      </c>
      <c r="L37" s="701">
        <f>'Market Data'!$O$52*'Mkt Pen Veh-Mi'!L37</f>
        <v>0</v>
      </c>
      <c r="M37" s="706">
        <f>'Market Data'!$O$52*'Mkt Pen Veh-Mi'!M37</f>
        <v>0</v>
      </c>
      <c r="N37" s="426">
        <f>'Market Data'!$Y$52*'Mkt Pen Veh-Mi'!N37</f>
        <v>4.4591570154023125E-2</v>
      </c>
      <c r="O37" s="427">
        <f>'Market Data'!$Y$52*'Mkt Pen Veh-Mi'!O37</f>
        <v>1.3835813775748832E-2</v>
      </c>
      <c r="P37" s="427">
        <f>'Market Data'!$Y$52*'Mkt Pen Veh-Mi'!P37</f>
        <v>1.979537551020296E-2</v>
      </c>
      <c r="Q37" s="701">
        <f>'Market Data'!$Y$52*'Mkt Pen Veh-Mi'!Q37</f>
        <v>1.0169150591511529E-2</v>
      </c>
      <c r="R37" s="701">
        <f>'Market Data'!$Y$52*'Mkt Pen Veh-Mi'!R37</f>
        <v>1.2864972560918681E-3</v>
      </c>
      <c r="S37" s="706">
        <f>'Market Data'!$Y$52*'Mkt Pen Veh-Mi'!S37</f>
        <v>0</v>
      </c>
      <c r="T37" s="426">
        <f t="shared" si="6"/>
        <v>0.39644387769260958</v>
      </c>
      <c r="U37" s="428">
        <f t="shared" si="8"/>
        <v>0.60355612230739031</v>
      </c>
    </row>
    <row r="38" spans="1:21" ht="15" x14ac:dyDescent="0.2">
      <c r="A38" s="429">
        <v>2036</v>
      </c>
      <c r="B38" s="430">
        <f>'Market Data'!$E$52*'Mkt Pen Veh-Mi'!B38</f>
        <v>0.28033841752673205</v>
      </c>
      <c r="C38" s="431">
        <f>'Market Data'!$E$52*'Mkt Pen Veh-Mi'!C38</f>
        <v>0.14647598733430267</v>
      </c>
      <c r="D38" s="431">
        <f>'Market Data'!$E$52*'Mkt Pen Veh-Mi'!D38</f>
        <v>0.24161484287889182</v>
      </c>
      <c r="E38" s="702">
        <f>'Market Data'!$E$52*'Mkt Pen Veh-Mi'!E38</f>
        <v>0</v>
      </c>
      <c r="F38" s="702">
        <f>'Market Data'!$E$52*'Mkt Pen Veh-Mi'!F38</f>
        <v>0</v>
      </c>
      <c r="G38" s="707">
        <f>'Market Data'!$E$52*'Mkt Pen Veh-Mi'!G38</f>
        <v>0</v>
      </c>
      <c r="H38" s="430">
        <f>'Market Data'!$O$52*'Mkt Pen Veh-Mi'!H38</f>
        <v>5.1106537789086498E-2</v>
      </c>
      <c r="I38" s="431">
        <f>'Market Data'!$O$52*'Mkt Pen Veh-Mi'!I38</f>
        <v>9.0863707538833008E-2</v>
      </c>
      <c r="J38" s="431">
        <f>'Market Data'!$O$52*'Mkt Pen Veh-Mi'!J38</f>
        <v>9.0422430588802602E-2</v>
      </c>
      <c r="K38" s="702">
        <f>'Market Data'!$O$52*'Mkt Pen Veh-Mi'!K38</f>
        <v>9.4996690557729944E-3</v>
      </c>
      <c r="L38" s="702">
        <f>'Market Data'!$O$52*'Mkt Pen Veh-Mi'!L38</f>
        <v>0</v>
      </c>
      <c r="M38" s="707">
        <f>'Market Data'!$O$52*'Mkt Pen Veh-Mi'!M38</f>
        <v>0</v>
      </c>
      <c r="N38" s="430">
        <f>'Market Data'!$Y$52*'Mkt Pen Veh-Mi'!N38</f>
        <v>4.3256520133888303E-2</v>
      </c>
      <c r="O38" s="431">
        <f>'Market Data'!$Y$52*'Mkt Pen Veh-Mi'!O38</f>
        <v>1.4283800025004848E-2</v>
      </c>
      <c r="P38" s="431">
        <f>'Market Data'!$Y$52*'Mkt Pen Veh-Mi'!P38</f>
        <v>2.0897060774641995E-2</v>
      </c>
      <c r="Q38" s="702">
        <f>'Market Data'!$Y$52*'Mkt Pen Veh-Mi'!Q38</f>
        <v>9.8351168987791653E-3</v>
      </c>
      <c r="R38" s="702">
        <f>'Market Data'!$Y$52*'Mkt Pen Veh-Mi'!R38</f>
        <v>1.4059094552639961E-3</v>
      </c>
      <c r="S38" s="707">
        <f>'Market Data'!$Y$52*'Mkt Pen Veh-Mi'!S38</f>
        <v>0</v>
      </c>
      <c r="T38" s="433">
        <f t="shared" si="6"/>
        <v>0.37470147544970689</v>
      </c>
      <c r="U38" s="434">
        <f t="shared" si="8"/>
        <v>0.625298524550293</v>
      </c>
    </row>
    <row r="39" spans="1:21" ht="15" x14ac:dyDescent="0.2">
      <c r="A39" s="403">
        <v>2037</v>
      </c>
      <c r="B39" s="423">
        <f>'Market Data'!$E$52*'Mkt Pen Veh-Mi'!B39</f>
        <v>0.26727082293000387</v>
      </c>
      <c r="C39" s="424">
        <f>'Market Data'!$E$52*'Mkt Pen Veh-Mi'!C39</f>
        <v>0.13655951305586622</v>
      </c>
      <c r="D39" s="424">
        <f>'Market Data'!$E$52*'Mkt Pen Veh-Mi'!D39</f>
        <v>0.26459891175405642</v>
      </c>
      <c r="E39" s="700">
        <f>'Market Data'!$E$52*'Mkt Pen Veh-Mi'!E39</f>
        <v>0</v>
      </c>
      <c r="F39" s="700">
        <f>'Market Data'!$E$52*'Mkt Pen Veh-Mi'!F39</f>
        <v>0</v>
      </c>
      <c r="G39" s="705">
        <f>'Market Data'!$E$52*'Mkt Pen Veh-Mi'!G39</f>
        <v>0</v>
      </c>
      <c r="H39" s="423">
        <f>'Market Data'!$O$52*'Mkt Pen Veh-Mi'!H39</f>
        <v>4.9422887340334593E-2</v>
      </c>
      <c r="I39" s="424">
        <f>'Market Data'!$O$52*'Mkt Pen Veh-Mi'!I39</f>
        <v>9.0643645121852134E-2</v>
      </c>
      <c r="J39" s="424">
        <f>'Market Data'!$O$52*'Mkt Pen Veh-Mi'!J39</f>
        <v>9.0216362947017098E-2</v>
      </c>
      <c r="K39" s="700">
        <f>'Market Data'!$O$52*'Mkt Pen Veh-Mi'!K39</f>
        <v>1.160944956329126E-2</v>
      </c>
      <c r="L39" s="700">
        <f>'Market Data'!$O$52*'Mkt Pen Veh-Mi'!L39</f>
        <v>0</v>
      </c>
      <c r="M39" s="705">
        <f>'Market Data'!$O$52*'Mkt Pen Veh-Mi'!M39</f>
        <v>0</v>
      </c>
      <c r="N39" s="423">
        <f>'Market Data'!$Y$52*'Mkt Pen Veh-Mi'!N39</f>
        <v>4.3218921896212674E-2</v>
      </c>
      <c r="O39" s="424">
        <f>'Market Data'!$Y$52*'Mkt Pen Veh-Mi'!O39</f>
        <v>1.4222993734302395E-2</v>
      </c>
      <c r="P39" s="424">
        <f>'Market Data'!$Y$52*'Mkt Pen Veh-Mi'!P39</f>
        <v>2.0839095088993415E-2</v>
      </c>
      <c r="Q39" s="700">
        <f>'Market Data'!$Y$52*'Mkt Pen Veh-Mi'!Q39</f>
        <v>9.8950350616829816E-3</v>
      </c>
      <c r="R39" s="700">
        <f>'Market Data'!$Y$52*'Mkt Pen Veh-Mi'!R39</f>
        <v>1.5023615063868587E-3</v>
      </c>
      <c r="S39" s="705">
        <f>'Market Data'!$Y$52*'Mkt Pen Veh-Mi'!S39</f>
        <v>0</v>
      </c>
      <c r="T39" s="423">
        <f t="shared" si="6"/>
        <v>0.35991263216655112</v>
      </c>
      <c r="U39" s="425">
        <f t="shared" si="8"/>
        <v>0.64008736783344877</v>
      </c>
    </row>
    <row r="40" spans="1:21" ht="15" x14ac:dyDescent="0.2">
      <c r="A40" s="403">
        <v>2038</v>
      </c>
      <c r="B40" s="423">
        <f>'Market Data'!$E$52*'Mkt Pen Veh-Mi'!B40</f>
        <v>0.23717574997366664</v>
      </c>
      <c r="C40" s="424">
        <f>'Market Data'!$E$52*'Mkt Pen Veh-Mi'!C40</f>
        <v>0.16164175080499027</v>
      </c>
      <c r="D40" s="424">
        <f>'Market Data'!$E$52*'Mkt Pen Veh-Mi'!D40</f>
        <v>0.26961174696126955</v>
      </c>
      <c r="E40" s="700">
        <f>'Market Data'!$E$52*'Mkt Pen Veh-Mi'!E40</f>
        <v>0</v>
      </c>
      <c r="F40" s="700">
        <f>'Market Data'!$E$52*'Mkt Pen Veh-Mi'!F40</f>
        <v>0</v>
      </c>
      <c r="G40" s="705">
        <f>'Market Data'!$E$52*'Mkt Pen Veh-Mi'!G40</f>
        <v>0</v>
      </c>
      <c r="H40" s="423">
        <f>'Market Data'!$O$52*'Mkt Pen Veh-Mi'!H40</f>
        <v>4.9422612340069845E-2</v>
      </c>
      <c r="I40" s="424">
        <f>'Market Data'!$O$52*'Mkt Pen Veh-Mi'!I40</f>
        <v>8.9235449233448075E-2</v>
      </c>
      <c r="J40" s="424">
        <f>'Market Data'!$O$52*'Mkt Pen Veh-Mi'!J40</f>
        <v>8.9195464219477674E-2</v>
      </c>
      <c r="K40" s="700">
        <f>'Market Data'!$O$52*'Mkt Pen Veh-Mi'!K40</f>
        <v>1.4038819179499505E-2</v>
      </c>
      <c r="L40" s="700">
        <f>'Market Data'!$O$52*'Mkt Pen Veh-Mi'!L40</f>
        <v>0</v>
      </c>
      <c r="M40" s="705">
        <f>'Market Data'!$O$52*'Mkt Pen Veh-Mi'!M40</f>
        <v>0</v>
      </c>
      <c r="N40" s="423">
        <f>'Market Data'!$Y$52*'Mkt Pen Veh-Mi'!N40</f>
        <v>4.321720588093924E-2</v>
      </c>
      <c r="O40" s="424">
        <f>'Market Data'!$Y$52*'Mkt Pen Veh-Mi'!O40</f>
        <v>1.4276806684005048E-2</v>
      </c>
      <c r="P40" s="424">
        <f>'Market Data'!$Y$52*'Mkt Pen Veh-Mi'!P40</f>
        <v>2.0489319009418167E-2</v>
      </c>
      <c r="Q40" s="700">
        <f>'Market Data'!$Y$52*'Mkt Pen Veh-Mi'!Q40</f>
        <v>1.006744498278983E-2</v>
      </c>
      <c r="R40" s="700">
        <f>'Market Data'!$Y$52*'Mkt Pen Veh-Mi'!R40</f>
        <v>1.6276307304260282E-3</v>
      </c>
      <c r="S40" s="705">
        <f>'Market Data'!$Y$52*'Mkt Pen Veh-Mi'!S40</f>
        <v>0</v>
      </c>
      <c r="T40" s="423">
        <f t="shared" si="6"/>
        <v>0.32981556819467572</v>
      </c>
      <c r="U40" s="425">
        <f t="shared" si="8"/>
        <v>0.67018443180532417</v>
      </c>
    </row>
    <row r="41" spans="1:21" ht="15" x14ac:dyDescent="0.2">
      <c r="A41" s="403">
        <v>2039</v>
      </c>
      <c r="B41" s="423">
        <f>'Market Data'!$E$52*'Mkt Pen Veh-Mi'!B41</f>
        <v>0.20693390917616858</v>
      </c>
      <c r="C41" s="424">
        <f>'Market Data'!$E$52*'Mkt Pen Veh-Mi'!C41</f>
        <v>0.19412229972235368</v>
      </c>
      <c r="D41" s="424">
        <f>'Market Data'!$E$52*'Mkt Pen Veh-Mi'!D41</f>
        <v>0.26737303884140429</v>
      </c>
      <c r="E41" s="700">
        <f>'Market Data'!$E$52*'Mkt Pen Veh-Mi'!E41</f>
        <v>0</v>
      </c>
      <c r="F41" s="700">
        <f>'Market Data'!$E$52*'Mkt Pen Veh-Mi'!F41</f>
        <v>0</v>
      </c>
      <c r="G41" s="705">
        <f>'Market Data'!$E$52*'Mkt Pen Veh-Mi'!G41</f>
        <v>0</v>
      </c>
      <c r="H41" s="423">
        <f>'Market Data'!$O$52*'Mkt Pen Veh-Mi'!H41</f>
        <v>4.9296559429296893E-2</v>
      </c>
      <c r="I41" s="424">
        <f>'Market Data'!$O$52*'Mkt Pen Veh-Mi'!I41</f>
        <v>8.7528054459550989E-2</v>
      </c>
      <c r="J41" s="424">
        <f>'Market Data'!$O$52*'Mkt Pen Veh-Mi'!J41</f>
        <v>8.7446129558545152E-2</v>
      </c>
      <c r="K41" s="700">
        <f>'Market Data'!$O$52*'Mkt Pen Veh-Mi'!K41</f>
        <v>1.7619387387510815E-2</v>
      </c>
      <c r="L41" s="700">
        <f>'Market Data'!$O$52*'Mkt Pen Veh-Mi'!L41</f>
        <v>0</v>
      </c>
      <c r="M41" s="705">
        <f>'Market Data'!$O$52*'Mkt Pen Veh-Mi'!M41</f>
        <v>2.2141375912330757E-6</v>
      </c>
      <c r="N41" s="423">
        <f>'Market Data'!$Y$52*'Mkt Pen Veh-Mi'!N41</f>
        <v>4.3128526265985886E-2</v>
      </c>
      <c r="O41" s="424">
        <f>'Market Data'!$Y$52*'Mkt Pen Veh-Mi'!O41</f>
        <v>1.4419309956897466E-2</v>
      </c>
      <c r="P41" s="424">
        <f>'Market Data'!$Y$52*'Mkt Pen Veh-Mi'!P41</f>
        <v>2.0309983518279794E-2</v>
      </c>
      <c r="Q41" s="700">
        <f>'Market Data'!$Y$52*'Mkt Pen Veh-Mi'!Q41</f>
        <v>1.0006036491353967E-2</v>
      </c>
      <c r="R41" s="700">
        <f>'Market Data'!$Y$52*'Mkt Pen Veh-Mi'!R41</f>
        <v>1.8110233232550724E-3</v>
      </c>
      <c r="S41" s="705">
        <f>'Market Data'!$Y$52*'Mkt Pen Veh-Mi'!S41</f>
        <v>3.5277318061214091E-6</v>
      </c>
      <c r="T41" s="423">
        <f t="shared" si="6"/>
        <v>0.29935899487145134</v>
      </c>
      <c r="U41" s="425">
        <f t="shared" si="8"/>
        <v>0.70064100512854854</v>
      </c>
    </row>
    <row r="42" spans="1:21" ht="15" x14ac:dyDescent="0.2">
      <c r="A42" s="402">
        <v>2040</v>
      </c>
      <c r="B42" s="426">
        <f>'Market Data'!$E$52*'Mkt Pen Veh-Mi'!B42</f>
        <v>0.17756776339639846</v>
      </c>
      <c r="C42" s="427">
        <f>'Market Data'!$E$52*'Mkt Pen Veh-Mi'!C42</f>
        <v>0.21870111585080884</v>
      </c>
      <c r="D42" s="427">
        <f>'Market Data'!$E$52*'Mkt Pen Veh-Mi'!D42</f>
        <v>0.27216036849271924</v>
      </c>
      <c r="E42" s="701">
        <f>'Market Data'!$E$52*'Mkt Pen Veh-Mi'!E42</f>
        <v>0</v>
      </c>
      <c r="F42" s="701">
        <f>'Market Data'!$E$52*'Mkt Pen Veh-Mi'!F42</f>
        <v>0</v>
      </c>
      <c r="G42" s="706">
        <f>'Market Data'!$E$52*'Mkt Pen Veh-Mi'!G42</f>
        <v>0</v>
      </c>
      <c r="H42" s="426">
        <f>'Market Data'!$O$52*'Mkt Pen Veh-Mi'!H42</f>
        <v>4.9296522187603734E-2</v>
      </c>
      <c r="I42" s="427">
        <f>'Market Data'!$O$52*'Mkt Pen Veh-Mi'!I42</f>
        <v>8.5151379107525779E-2</v>
      </c>
      <c r="J42" s="427">
        <f>'Market Data'!$O$52*'Mkt Pen Veh-Mi'!J42</f>
        <v>8.5070519149444371E-2</v>
      </c>
      <c r="K42" s="701">
        <f>'Market Data'!$O$52*'Mkt Pen Veh-Mi'!K42</f>
        <v>2.074332190469938E-2</v>
      </c>
      <c r="L42" s="701">
        <f>'Market Data'!$O$52*'Mkt Pen Veh-Mi'!L42</f>
        <v>0</v>
      </c>
      <c r="M42" s="706">
        <f>'Market Data'!$O$52*'Mkt Pen Veh-Mi'!M42</f>
        <v>1.6306026232218304E-3</v>
      </c>
      <c r="N42" s="426">
        <f>'Market Data'!$Y$52*'Mkt Pen Veh-Mi'!N42</f>
        <v>4.3128501798147062E-2</v>
      </c>
      <c r="O42" s="427">
        <f>'Market Data'!$Y$52*'Mkt Pen Veh-Mi'!O42</f>
        <v>1.4333610139004797E-2</v>
      </c>
      <c r="P42" s="427">
        <f>'Market Data'!$Y$52*'Mkt Pen Veh-Mi'!P42</f>
        <v>2.0216893386131377E-2</v>
      </c>
      <c r="Q42" s="701">
        <f>'Market Data'!$Y$52*'Mkt Pen Veh-Mi'!Q42</f>
        <v>9.9303262819924343E-3</v>
      </c>
      <c r="R42" s="701">
        <f>'Market Data'!$Y$52*'Mkt Pen Veh-Mi'!R42</f>
        <v>2.0421592726605187E-3</v>
      </c>
      <c r="S42" s="706">
        <f>'Market Data'!$Y$52*'Mkt Pen Veh-Mi'!S42</f>
        <v>2.6916409642125411E-5</v>
      </c>
      <c r="T42" s="426">
        <f t="shared" si="6"/>
        <v>0.26999278738214927</v>
      </c>
      <c r="U42" s="428">
        <f t="shared" si="8"/>
        <v>0.73000721261785073</v>
      </c>
    </row>
    <row r="43" spans="1:21" ht="15" x14ac:dyDescent="0.2">
      <c r="A43" s="403">
        <v>2041</v>
      </c>
      <c r="B43" s="430">
        <f>'Market Data'!$E$52*'Mkt Pen Veh-Mi'!B43</f>
        <v>0.15415771002942691</v>
      </c>
      <c r="C43" s="431">
        <f>'Market Data'!$E$52*'Mkt Pen Veh-Mi'!C43</f>
        <v>0.23530989228436427</v>
      </c>
      <c r="D43" s="431">
        <f>'Market Data'!$E$52*'Mkt Pen Veh-Mi'!D43</f>
        <v>0.27895594884928382</v>
      </c>
      <c r="E43" s="702">
        <f>'Market Data'!$E$52*'Mkt Pen Veh-Mi'!E43</f>
        <v>0</v>
      </c>
      <c r="F43" s="702">
        <f>'Market Data'!$E$52*'Mkt Pen Veh-Mi'!F43</f>
        <v>5.696576851505908E-6</v>
      </c>
      <c r="G43" s="707">
        <f>'Market Data'!$E$52*'Mkt Pen Veh-Mi'!G43</f>
        <v>0</v>
      </c>
      <c r="H43" s="430">
        <f>'Market Data'!$O$52*'Mkt Pen Veh-Mi'!H43</f>
        <v>4.8434416197542317E-2</v>
      </c>
      <c r="I43" s="431">
        <f>'Market Data'!$O$52*'Mkt Pen Veh-Mi'!I43</f>
        <v>7.7496313729585223E-2</v>
      </c>
      <c r="J43" s="431">
        <f>'Market Data'!$O$52*'Mkt Pen Veh-Mi'!J43</f>
        <v>7.746020335172972E-2</v>
      </c>
      <c r="K43" s="702">
        <f>'Market Data'!$O$52*'Mkt Pen Veh-Mi'!K43</f>
        <v>2.4309258432506968E-2</v>
      </c>
      <c r="L43" s="702">
        <f>'Market Data'!$O$52*'Mkt Pen Veh-Mi'!L43</f>
        <v>0</v>
      </c>
      <c r="M43" s="707">
        <f>'Market Data'!$O$52*'Mkt Pen Veh-Mi'!M43</f>
        <v>1.4192153261130875E-2</v>
      </c>
      <c r="N43" s="430">
        <f>'Market Data'!$Y$52*'Mkt Pen Veh-Mi'!N43</f>
        <v>4.2401019990346366E-2</v>
      </c>
      <c r="O43" s="431">
        <f>'Market Data'!$Y$52*'Mkt Pen Veh-Mi'!O43</f>
        <v>1.4316184270008393E-2</v>
      </c>
      <c r="P43" s="431">
        <f>'Market Data'!$Y$52*'Mkt Pen Veh-Mi'!P43</f>
        <v>2.058449096034454E-2</v>
      </c>
      <c r="Q43" s="702">
        <f>'Market Data'!$Y$52*'Mkt Pen Veh-Mi'!Q43</f>
        <v>9.7900306286943881E-3</v>
      </c>
      <c r="R43" s="702">
        <f>'Market Data'!$Y$52*'Mkt Pen Veh-Mi'!R43</f>
        <v>2.4260501964526917E-3</v>
      </c>
      <c r="S43" s="707">
        <f>'Market Data'!$Y$52*'Mkt Pen Veh-Mi'!S43</f>
        <v>1.606312417319365E-4</v>
      </c>
      <c r="T43" s="433">
        <f t="shared" si="6"/>
        <v>0.2449931462173156</v>
      </c>
      <c r="U43" s="434">
        <f t="shared" si="8"/>
        <v>0.75500685378268428</v>
      </c>
    </row>
    <row r="44" spans="1:21" ht="15" x14ac:dyDescent="0.2">
      <c r="A44" s="403">
        <v>2042</v>
      </c>
      <c r="B44" s="423">
        <f>'Market Data'!$E$52*'Mkt Pen Veh-Mi'!B44</f>
        <v>0.1410340656631465</v>
      </c>
      <c r="C44" s="424">
        <f>'Market Data'!$E$52*'Mkt Pen Veh-Mi'!C44</f>
        <v>0.24520371600525265</v>
      </c>
      <c r="D44" s="424">
        <f>'Market Data'!$E$52*'Mkt Pen Veh-Mi'!D44</f>
        <v>0.28180243056765586</v>
      </c>
      <c r="E44" s="700">
        <f>'Market Data'!$E$52*'Mkt Pen Veh-Mi'!E44</f>
        <v>0</v>
      </c>
      <c r="F44" s="700">
        <f>'Market Data'!$E$52*'Mkt Pen Veh-Mi'!F44</f>
        <v>3.8903550387155465E-4</v>
      </c>
      <c r="G44" s="705">
        <f>'Market Data'!$E$52*'Mkt Pen Veh-Mi'!G44</f>
        <v>0</v>
      </c>
      <c r="H44" s="423">
        <f>'Market Data'!$O$52*'Mkt Pen Veh-Mi'!H44</f>
        <v>4.7302489607138093E-2</v>
      </c>
      <c r="I44" s="424">
        <f>'Market Data'!$O$52*'Mkt Pen Veh-Mi'!I44</f>
        <v>6.8928124401016339E-2</v>
      </c>
      <c r="J44" s="424">
        <f>'Market Data'!$O$52*'Mkt Pen Veh-Mi'!J44</f>
        <v>6.8897238782791692E-2</v>
      </c>
      <c r="K44" s="700">
        <f>'Market Data'!$O$52*'Mkt Pen Veh-Mi'!K44</f>
        <v>3.0597536826901271E-2</v>
      </c>
      <c r="L44" s="700">
        <f>'Market Data'!$O$52*'Mkt Pen Veh-Mi'!L44</f>
        <v>0</v>
      </c>
      <c r="M44" s="705">
        <f>'Market Data'!$O$52*'Mkt Pen Veh-Mi'!M44</f>
        <v>2.6166955354647713E-2</v>
      </c>
      <c r="N44" s="423">
        <f>'Market Data'!$Y$52*'Mkt Pen Veh-Mi'!N44</f>
        <v>4.1784759161373954E-2</v>
      </c>
      <c r="O44" s="424">
        <f>'Market Data'!$Y$52*'Mkt Pen Veh-Mi'!O44</f>
        <v>1.4002963411801076E-2</v>
      </c>
      <c r="P44" s="424">
        <f>'Market Data'!$Y$52*'Mkt Pen Veh-Mi'!P44</f>
        <v>2.0328389607404181E-2</v>
      </c>
      <c r="Q44" s="700">
        <f>'Market Data'!$Y$52*'Mkt Pen Veh-Mi'!Q44</f>
        <v>9.850600198619823E-3</v>
      </c>
      <c r="R44" s="700">
        <f>'Market Data'!$Y$52*'Mkt Pen Veh-Mi'!R44</f>
        <v>3.0700920809336846E-3</v>
      </c>
      <c r="S44" s="705">
        <f>'Market Data'!$Y$52*'Mkt Pen Veh-Mi'!S44</f>
        <v>6.4160282744559665E-4</v>
      </c>
      <c r="T44" s="423">
        <f t="shared" si="6"/>
        <v>0.23012131443165854</v>
      </c>
      <c r="U44" s="425">
        <f t="shared" si="8"/>
        <v>0.76987868556834149</v>
      </c>
    </row>
    <row r="45" spans="1:21" ht="15" x14ac:dyDescent="0.2">
      <c r="A45" s="403">
        <v>2043</v>
      </c>
      <c r="B45" s="423">
        <f>'Market Data'!$E$52*'Mkt Pen Veh-Mi'!B45</f>
        <v>0.13889637104716254</v>
      </c>
      <c r="C45" s="424">
        <f>'Market Data'!$E$52*'Mkt Pen Veh-Mi'!C45</f>
        <v>0.24787005735461901</v>
      </c>
      <c r="D45" s="424">
        <f>'Market Data'!$E$52*'Mkt Pen Veh-Mi'!D45</f>
        <v>0.28013012131890891</v>
      </c>
      <c r="E45" s="700">
        <f>'Market Data'!$E$52*'Mkt Pen Veh-Mi'!E45</f>
        <v>0</v>
      </c>
      <c r="F45" s="700">
        <f>'Market Data'!$E$52*'Mkt Pen Veh-Mi'!F45</f>
        <v>1.5326980192359996E-3</v>
      </c>
      <c r="G45" s="705">
        <f>'Market Data'!$E$52*'Mkt Pen Veh-Mi'!G45</f>
        <v>0</v>
      </c>
      <c r="H45" s="423">
        <f>'Market Data'!$O$52*'Mkt Pen Veh-Mi'!H45</f>
        <v>4.6850412590829379E-2</v>
      </c>
      <c r="I45" s="424">
        <f>'Market Data'!$O$52*'Mkt Pen Veh-Mi'!I45</f>
        <v>6.3484086795356068E-2</v>
      </c>
      <c r="J45" s="424">
        <f>'Market Data'!$O$52*'Mkt Pen Veh-Mi'!J45</f>
        <v>6.3403028436780293E-2</v>
      </c>
      <c r="K45" s="700">
        <f>'Market Data'!$O$52*'Mkt Pen Veh-Mi'!K45</f>
        <v>3.7441260383043636E-2</v>
      </c>
      <c r="L45" s="700">
        <f>'Market Data'!$O$52*'Mkt Pen Veh-Mi'!L45</f>
        <v>8.749701977447117E-5</v>
      </c>
      <c r="M45" s="705">
        <f>'Market Data'!$O$52*'Mkt Pen Veh-Mi'!M45</f>
        <v>3.0626059746711218E-2</v>
      </c>
      <c r="N45" s="423">
        <f>'Market Data'!$Y$52*'Mkt Pen Veh-Mi'!N45</f>
        <v>4.1783292955891206E-2</v>
      </c>
      <c r="O45" s="424">
        <f>'Market Data'!$Y$52*'Mkt Pen Veh-Mi'!O45</f>
        <v>1.3661850842824608E-2</v>
      </c>
      <c r="P45" s="424">
        <f>'Market Data'!$Y$52*'Mkt Pen Veh-Mi'!P45</f>
        <v>1.9463960151084734E-2</v>
      </c>
      <c r="Q45" s="700">
        <f>'Market Data'!$Y$52*'Mkt Pen Veh-Mi'!Q45</f>
        <v>9.434941839725864E-3</v>
      </c>
      <c r="R45" s="700">
        <f>'Market Data'!$Y$52*'Mkt Pen Veh-Mi'!R45</f>
        <v>3.9117024523922777E-3</v>
      </c>
      <c r="S45" s="705">
        <f>'Market Data'!$Y$52*'Mkt Pen Veh-Mi'!S45</f>
        <v>1.4226590456596327E-3</v>
      </c>
      <c r="T45" s="423">
        <f t="shared" si="6"/>
        <v>0.22753007659388313</v>
      </c>
      <c r="U45" s="425">
        <f t="shared" si="8"/>
        <v>0.77246992340611664</v>
      </c>
    </row>
    <row r="46" spans="1:21" ht="15" x14ac:dyDescent="0.2">
      <c r="A46" s="403">
        <v>2044</v>
      </c>
      <c r="B46" s="423">
        <f>'Market Data'!$E$52*'Mkt Pen Veh-Mi'!B46</f>
        <v>0.13825192257719873</v>
      </c>
      <c r="C46" s="424">
        <f>'Market Data'!$E$52*'Mkt Pen Veh-Mi'!C46</f>
        <v>0.24695981328862165</v>
      </c>
      <c r="D46" s="424">
        <f>'Market Data'!$E$52*'Mkt Pen Veh-Mi'!D46</f>
        <v>0.27911866138042146</v>
      </c>
      <c r="E46" s="700">
        <f>'Market Data'!$E$52*'Mkt Pen Veh-Mi'!E46</f>
        <v>0</v>
      </c>
      <c r="F46" s="700">
        <f>'Market Data'!$E$52*'Mkt Pen Veh-Mi'!F46</f>
        <v>4.098850493684734E-3</v>
      </c>
      <c r="G46" s="705">
        <f>'Market Data'!$E$52*'Mkt Pen Veh-Mi'!G46</f>
        <v>0</v>
      </c>
      <c r="H46" s="423">
        <f>'Market Data'!$O$52*'Mkt Pen Veh-Mi'!H46</f>
        <v>4.5433271710191341E-2</v>
      </c>
      <c r="I46" s="424">
        <f>'Market Data'!$O$52*'Mkt Pen Veh-Mi'!I46</f>
        <v>5.9756015698760573E-2</v>
      </c>
      <c r="J46" s="424">
        <f>'Market Data'!$O$52*'Mkt Pen Veh-Mi'!J46</f>
        <v>5.9729239959488166E-2</v>
      </c>
      <c r="K46" s="700">
        <f>'Market Data'!$O$52*'Mkt Pen Veh-Mi'!K46</f>
        <v>4.2933744765257451E-2</v>
      </c>
      <c r="L46" s="700">
        <f>'Market Data'!$O$52*'Mkt Pen Veh-Mi'!L46</f>
        <v>8.2964480381491766E-4</v>
      </c>
      <c r="M46" s="705">
        <f>'Market Data'!$O$52*'Mkt Pen Veh-Mi'!M46</f>
        <v>3.3210428034982656E-2</v>
      </c>
      <c r="N46" s="423">
        <f>'Market Data'!$Y$52*'Mkt Pen Veh-Mi'!N46</f>
        <v>4.1435323194593837E-2</v>
      </c>
      <c r="O46" s="424">
        <f>'Market Data'!$Y$52*'Mkt Pen Veh-Mi'!O46</f>
        <v>1.3062436539085865E-2</v>
      </c>
      <c r="P46" s="424">
        <f>'Market Data'!$Y$52*'Mkt Pen Veh-Mi'!P46</f>
        <v>1.8582101502806637E-2</v>
      </c>
      <c r="Q46" s="700">
        <f>'Market Data'!$Y$52*'Mkt Pen Veh-Mi'!Q46</f>
        <v>9.1828030950391517E-3</v>
      </c>
      <c r="R46" s="700">
        <f>'Market Data'!$Y$52*'Mkt Pen Veh-Mi'!R46</f>
        <v>4.9821502409125931E-3</v>
      </c>
      <c r="S46" s="705">
        <f>'Market Data'!$Y$52*'Mkt Pen Veh-Mi'!S46</f>
        <v>2.4335927151402305E-3</v>
      </c>
      <c r="T46" s="423">
        <f t="shared" si="6"/>
        <v>0.22512051748198392</v>
      </c>
      <c r="U46" s="425">
        <f t="shared" si="8"/>
        <v>0.77487948251801619</v>
      </c>
    </row>
    <row r="47" spans="1:21" ht="15" x14ac:dyDescent="0.2">
      <c r="A47" s="402">
        <v>2045</v>
      </c>
      <c r="B47" s="426">
        <f>'Market Data'!$E$52*'Mkt Pen Veh-Mi'!B47</f>
        <v>0.13860534520835438</v>
      </c>
      <c r="C47" s="427">
        <f>'Market Data'!$E$52*'Mkt Pen Veh-Mi'!C47</f>
        <v>0.24599824334939135</v>
      </c>
      <c r="D47" s="427">
        <f>'Market Data'!$E$52*'Mkt Pen Veh-Mi'!D47</f>
        <v>0.2753458940024035</v>
      </c>
      <c r="E47" s="701">
        <f>'Market Data'!$E$52*'Mkt Pen Veh-Mi'!E47</f>
        <v>3.3898515352768028E-5</v>
      </c>
      <c r="F47" s="701">
        <f>'Market Data'!$E$52*'Mkt Pen Veh-Mi'!F47</f>
        <v>8.4458666644245256E-3</v>
      </c>
      <c r="G47" s="706">
        <f>'Market Data'!$E$52*'Mkt Pen Veh-Mi'!G47</f>
        <v>0</v>
      </c>
      <c r="H47" s="426">
        <f>'Market Data'!$O$52*'Mkt Pen Veh-Mi'!H47</f>
        <v>3.4840580049389905E-2</v>
      </c>
      <c r="I47" s="427">
        <f>'Market Data'!$O$52*'Mkt Pen Veh-Mi'!I47</f>
        <v>5.9490593924893122E-2</v>
      </c>
      <c r="J47" s="427">
        <f>'Market Data'!$O$52*'Mkt Pen Veh-Mi'!J47</f>
        <v>5.9425327335263498E-2</v>
      </c>
      <c r="K47" s="701">
        <f>'Market Data'!$O$52*'Mkt Pen Veh-Mi'!K47</f>
        <v>4.8573112179731842E-2</v>
      </c>
      <c r="L47" s="701">
        <f>'Market Data'!$O$52*'Mkt Pen Veh-Mi'!L47</f>
        <v>2.273717228374546E-3</v>
      </c>
      <c r="M47" s="706">
        <f>'Market Data'!$O$52*'Mkt Pen Veh-Mi'!M47</f>
        <v>3.7289014254842184E-2</v>
      </c>
      <c r="N47" s="426">
        <f>'Market Data'!$Y$52*'Mkt Pen Veh-Mi'!N47</f>
        <v>4.0260650936166403E-2</v>
      </c>
      <c r="O47" s="427">
        <f>'Market Data'!$Y$52*'Mkt Pen Veh-Mi'!O47</f>
        <v>1.2500515330078371E-2</v>
      </c>
      <c r="P47" s="427">
        <f>'Market Data'!$Y$52*'Mkt Pen Veh-Mi'!P47</f>
        <v>1.8065217206388783E-2</v>
      </c>
      <c r="Q47" s="701">
        <f>'Market Data'!$Y$52*'Mkt Pen Veh-Mi'!Q47</f>
        <v>8.7582582104300567E-3</v>
      </c>
      <c r="R47" s="701">
        <f>'Market Data'!$Y$52*'Mkt Pen Veh-Mi'!R47</f>
        <v>6.3303339296295648E-3</v>
      </c>
      <c r="S47" s="706">
        <f>'Market Data'!$Y$52*'Mkt Pen Veh-Mi'!S47</f>
        <v>3.7634316748851367E-3</v>
      </c>
      <c r="T47" s="426">
        <f t="shared" si="6"/>
        <v>0.2137065761939107</v>
      </c>
      <c r="U47" s="428">
        <f t="shared" si="8"/>
        <v>0.78629342380608913</v>
      </c>
    </row>
    <row r="48" spans="1:21" ht="15" x14ac:dyDescent="0.2">
      <c r="A48" s="403">
        <v>2046</v>
      </c>
      <c r="B48" s="430">
        <f>'Market Data'!$E$52*'Mkt Pen Veh-Mi'!B48</f>
        <v>0.13993112259587509</v>
      </c>
      <c r="C48" s="431">
        <f>'Market Data'!$E$52*'Mkt Pen Veh-Mi'!C48</f>
        <v>0.24253083431842268</v>
      </c>
      <c r="D48" s="431">
        <f>'Market Data'!$E$52*'Mkt Pen Veh-Mi'!D48</f>
        <v>0.27227812651858685</v>
      </c>
      <c r="E48" s="702">
        <f>'Market Data'!$E$52*'Mkt Pen Veh-Mi'!E48</f>
        <v>1.0168075317841894E-3</v>
      </c>
      <c r="F48" s="702">
        <f>'Market Data'!$E$52*'Mkt Pen Veh-Mi'!F48</f>
        <v>1.2672356775257668E-2</v>
      </c>
      <c r="G48" s="707">
        <f>'Market Data'!$E$52*'Mkt Pen Veh-Mi'!G48</f>
        <v>0</v>
      </c>
      <c r="H48" s="430">
        <f>'Market Data'!$O$52*'Mkt Pen Veh-Mi'!H48</f>
        <v>3.0421814918862405E-2</v>
      </c>
      <c r="I48" s="431">
        <f>'Market Data'!$O$52*'Mkt Pen Veh-Mi'!I48</f>
        <v>5.9096721282571749E-2</v>
      </c>
      <c r="J48" s="431">
        <f>'Market Data'!$O$52*'Mkt Pen Veh-Mi'!J48</f>
        <v>5.8888219109874969E-2</v>
      </c>
      <c r="K48" s="702">
        <f>'Market Data'!$O$52*'Mkt Pen Veh-Mi'!K48</f>
        <v>5.1351182933354778E-2</v>
      </c>
      <c r="L48" s="702">
        <f>'Market Data'!$O$52*'Mkt Pen Veh-Mi'!L48</f>
        <v>3.2476312812177287E-3</v>
      </c>
      <c r="M48" s="707">
        <f>'Market Data'!$O$52*'Mkt Pen Veh-Mi'!M48</f>
        <v>3.8886775446613453E-2</v>
      </c>
      <c r="N48" s="430">
        <f>'Market Data'!$Y$52*'Mkt Pen Veh-Mi'!N48</f>
        <v>4.0260650871780122E-2</v>
      </c>
      <c r="O48" s="431">
        <f>'Market Data'!$Y$52*'Mkt Pen Veh-Mi'!O48</f>
        <v>1.1990313789522179E-2</v>
      </c>
      <c r="P48" s="431">
        <f>'Market Data'!$Y$52*'Mkt Pen Veh-Mi'!P48</f>
        <v>1.7198526298853298E-2</v>
      </c>
      <c r="Q48" s="702">
        <f>'Market Data'!$Y$52*'Mkt Pen Veh-Mi'!Q48</f>
        <v>8.4659093400392006E-3</v>
      </c>
      <c r="R48" s="702">
        <f>'Market Data'!$Y$52*'Mkt Pen Veh-Mi'!R48</f>
        <v>7.1672180636662792E-3</v>
      </c>
      <c r="S48" s="707">
        <f>'Market Data'!$Y$52*'Mkt Pen Veh-Mi'!S48</f>
        <v>4.5957889237172216E-3</v>
      </c>
      <c r="T48" s="433">
        <f t="shared" si="6"/>
        <v>0.21061358838651761</v>
      </c>
      <c r="U48" s="434">
        <f t="shared" si="8"/>
        <v>0.78938641161348233</v>
      </c>
    </row>
    <row r="49" spans="1:21" ht="15" x14ac:dyDescent="0.2">
      <c r="A49" s="403">
        <v>2047</v>
      </c>
      <c r="B49" s="423">
        <f>'Market Data'!$E$52*'Mkt Pen Veh-Mi'!B49</f>
        <v>0.13330997054969726</v>
      </c>
      <c r="C49" s="424">
        <f>'Market Data'!$E$52*'Mkt Pen Veh-Mi'!C49</f>
        <v>0.23857001404210842</v>
      </c>
      <c r="D49" s="424">
        <f>'Market Data'!$E$52*'Mkt Pen Veh-Mi'!D49</f>
        <v>0.27162307021147675</v>
      </c>
      <c r="E49" s="700">
        <f>'Market Data'!$E$52*'Mkt Pen Veh-Mi'!E49</f>
        <v>6.2337820515516781E-3</v>
      </c>
      <c r="F49" s="700">
        <f>'Market Data'!$E$52*'Mkt Pen Veh-Mi'!F49</f>
        <v>1.8692410885092357E-2</v>
      </c>
      <c r="G49" s="705">
        <f>'Market Data'!$E$52*'Mkt Pen Veh-Mi'!G49</f>
        <v>0</v>
      </c>
      <c r="H49" s="423">
        <f>'Market Data'!$O$52*'Mkt Pen Veh-Mi'!H49</f>
        <v>2.5848715771600098E-2</v>
      </c>
      <c r="I49" s="424">
        <f>'Market Data'!$O$52*'Mkt Pen Veh-Mi'!I49</f>
        <v>5.8844222199179022E-2</v>
      </c>
      <c r="J49" s="424">
        <f>'Market Data'!$O$52*'Mkt Pen Veh-Mi'!J49</f>
        <v>5.8769570918955072E-2</v>
      </c>
      <c r="K49" s="700">
        <f>'Market Data'!$O$52*'Mkt Pen Veh-Mi'!K49</f>
        <v>5.3487957109315747E-2</v>
      </c>
      <c r="L49" s="700">
        <f>'Market Data'!$O$52*'Mkt Pen Veh-Mi'!L49</f>
        <v>4.2989719762154249E-3</v>
      </c>
      <c r="M49" s="705">
        <f>'Market Data'!$O$52*'Mkt Pen Veh-Mi'!M49</f>
        <v>4.0642906997229722E-2</v>
      </c>
      <c r="N49" s="423">
        <f>'Market Data'!$Y$52*'Mkt Pen Veh-Mi'!N49</f>
        <v>4.0256102580116401E-2</v>
      </c>
      <c r="O49" s="424">
        <f>'Market Data'!$Y$52*'Mkt Pen Veh-Mi'!O49</f>
        <v>1.1772700909427765E-2</v>
      </c>
      <c r="P49" s="424">
        <f>'Market Data'!$Y$52*'Mkt Pen Veh-Mi'!P49</f>
        <v>1.6316240772428759E-2</v>
      </c>
      <c r="Q49" s="700">
        <f>'Market Data'!$Y$52*'Mkt Pen Veh-Mi'!Q49</f>
        <v>8.377651858101633E-3</v>
      </c>
      <c r="R49" s="700">
        <f>'Market Data'!$Y$52*'Mkt Pen Veh-Mi'!R49</f>
        <v>7.6154510749303662E-3</v>
      </c>
      <c r="S49" s="705">
        <f>'Market Data'!$Y$52*'Mkt Pen Veh-Mi'!S49</f>
        <v>5.340260092573385E-3</v>
      </c>
      <c r="T49" s="423">
        <f t="shared" si="6"/>
        <v>0.19941478890141373</v>
      </c>
      <c r="U49" s="425">
        <f t="shared" si="8"/>
        <v>0.80058521109858594</v>
      </c>
    </row>
    <row r="50" spans="1:21" ht="15" x14ac:dyDescent="0.2">
      <c r="A50" s="403">
        <v>2048</v>
      </c>
      <c r="B50" s="423">
        <f>'Market Data'!$E$52*'Mkt Pen Veh-Mi'!B50</f>
        <v>0.13264657672106014</v>
      </c>
      <c r="C50" s="424">
        <f>'Market Data'!$E$52*'Mkt Pen Veh-Mi'!C50</f>
        <v>0.23090457091062278</v>
      </c>
      <c r="D50" s="424">
        <f>'Market Data'!$E$52*'Mkt Pen Veh-Mi'!D50</f>
        <v>0.26201830554798372</v>
      </c>
      <c r="E50" s="700">
        <f>'Market Data'!$E$52*'Mkt Pen Veh-Mi'!E50</f>
        <v>1.8000439025395085E-2</v>
      </c>
      <c r="F50" s="700">
        <f>'Market Data'!$E$52*'Mkt Pen Veh-Mi'!F50</f>
        <v>2.4859355534864753E-2</v>
      </c>
      <c r="G50" s="705">
        <f>'Market Data'!$E$52*'Mkt Pen Veh-Mi'!G50</f>
        <v>0</v>
      </c>
      <c r="H50" s="423">
        <f>'Market Data'!$O$52*'Mkt Pen Veh-Mi'!H50</f>
        <v>2.2494622629510731E-2</v>
      </c>
      <c r="I50" s="424">
        <f>'Market Data'!$O$52*'Mkt Pen Veh-Mi'!I50</f>
        <v>5.8655242277001529E-2</v>
      </c>
      <c r="J50" s="424">
        <f>'Market Data'!$O$52*'Mkt Pen Veh-Mi'!J50</f>
        <v>5.8628959777142685E-2</v>
      </c>
      <c r="K50" s="700">
        <f>'Market Data'!$O$52*'Mkt Pen Veh-Mi'!K50</f>
        <v>5.5096019458465463E-2</v>
      </c>
      <c r="L50" s="700">
        <f>'Market Data'!$O$52*'Mkt Pen Veh-Mi'!L50</f>
        <v>4.9898972201581843E-3</v>
      </c>
      <c r="M50" s="705">
        <f>'Market Data'!$O$52*'Mkt Pen Veh-Mi'!M50</f>
        <v>4.2027603610216506E-2</v>
      </c>
      <c r="N50" s="423">
        <f>'Market Data'!$Y$52*'Mkt Pen Veh-Mi'!N50</f>
        <v>4.0253595683844637E-2</v>
      </c>
      <c r="O50" s="424">
        <f>'Market Data'!$Y$52*'Mkt Pen Veh-Mi'!O50</f>
        <v>1.1590916551033968E-2</v>
      </c>
      <c r="P50" s="424">
        <f>'Market Data'!$Y$52*'Mkt Pen Veh-Mi'!P50</f>
        <v>1.5823356205872722E-2</v>
      </c>
      <c r="Q50" s="700">
        <f>'Market Data'!$Y$52*'Mkt Pen Veh-Mi'!Q50</f>
        <v>8.2650331330795003E-3</v>
      </c>
      <c r="R50" s="700">
        <f>'Market Data'!$Y$52*'Mkt Pen Veh-Mi'!R50</f>
        <v>7.9170085275443742E-3</v>
      </c>
      <c r="S50" s="705">
        <f>'Market Data'!$Y$52*'Mkt Pen Veh-Mi'!S50</f>
        <v>5.8284971862031113E-3</v>
      </c>
      <c r="T50" s="423">
        <f t="shared" si="6"/>
        <v>0.19539479503441554</v>
      </c>
      <c r="U50" s="425">
        <f t="shared" si="8"/>
        <v>0.80460520496558441</v>
      </c>
    </row>
    <row r="51" spans="1:21" ht="15" x14ac:dyDescent="0.2">
      <c r="A51" s="403">
        <v>2049</v>
      </c>
      <c r="B51" s="423">
        <f>'Market Data'!$E$52*'Mkt Pen Veh-Mi'!B51</f>
        <v>0.13044493881634539</v>
      </c>
      <c r="C51" s="424">
        <f>'Market Data'!$E$52*'Mkt Pen Veh-Mi'!C51</f>
        <v>0.21852525451860452</v>
      </c>
      <c r="D51" s="424">
        <f>'Market Data'!$E$52*'Mkt Pen Veh-Mi'!D51</f>
        <v>0.24929297378202431</v>
      </c>
      <c r="E51" s="700">
        <f>'Market Data'!$E$52*'Mkt Pen Veh-Mi'!E51</f>
        <v>3.7467879702305834E-2</v>
      </c>
      <c r="F51" s="700">
        <f>'Market Data'!$E$52*'Mkt Pen Veh-Mi'!F51</f>
        <v>3.2698200920646465E-2</v>
      </c>
      <c r="G51" s="705">
        <f>'Market Data'!$E$52*'Mkt Pen Veh-Mi'!G51</f>
        <v>0</v>
      </c>
      <c r="H51" s="423">
        <f>'Market Data'!$O$52*'Mkt Pen Veh-Mi'!H51</f>
        <v>2.0529204737669976E-2</v>
      </c>
      <c r="I51" s="424">
        <f>'Market Data'!$O$52*'Mkt Pen Veh-Mi'!I51</f>
        <v>5.8235297479958197E-2</v>
      </c>
      <c r="J51" s="424">
        <f>'Market Data'!$O$52*'Mkt Pen Veh-Mi'!J51</f>
        <v>5.8162878605628972E-2</v>
      </c>
      <c r="K51" s="700">
        <f>'Market Data'!$O$52*'Mkt Pen Veh-Mi'!K51</f>
        <v>5.5789856926419384E-2</v>
      </c>
      <c r="L51" s="700">
        <f>'Market Data'!$O$52*'Mkt Pen Veh-Mi'!L51</f>
        <v>5.480152528844871E-3</v>
      </c>
      <c r="M51" s="705">
        <f>'Market Data'!$O$52*'Mkt Pen Veh-Mi'!M51</f>
        <v>4.3694954693973706E-2</v>
      </c>
      <c r="N51" s="423">
        <f>'Market Data'!$Y$52*'Mkt Pen Veh-Mi'!N51</f>
        <v>4.0250419817683979E-2</v>
      </c>
      <c r="O51" s="424">
        <f>'Market Data'!$Y$52*'Mkt Pen Veh-Mi'!O51</f>
        <v>1.1345670240642623E-2</v>
      </c>
      <c r="P51" s="424">
        <f>'Market Data'!$Y$52*'Mkt Pen Veh-Mi'!P51</f>
        <v>1.5412427679937474E-2</v>
      </c>
      <c r="Q51" s="700">
        <f>'Market Data'!$Y$52*'Mkt Pen Veh-Mi'!Q51</f>
        <v>8.3403772263301278E-3</v>
      </c>
      <c r="R51" s="700">
        <f>'Market Data'!$Y$52*'Mkt Pen Veh-Mi'!R51</f>
        <v>8.0254871179322278E-3</v>
      </c>
      <c r="S51" s="705">
        <f>'Market Data'!$Y$52*'Mkt Pen Veh-Mi'!S51</f>
        <v>6.3040252050518735E-3</v>
      </c>
      <c r="T51" s="423">
        <f t="shared" si="6"/>
        <v>0.19122456337169935</v>
      </c>
      <c r="U51" s="425">
        <f t="shared" si="8"/>
        <v>0.80877543662830054</v>
      </c>
    </row>
    <row r="52" spans="1:21" ht="16" thickBot="1" x14ac:dyDescent="0.25">
      <c r="A52" s="404">
        <v>2050</v>
      </c>
      <c r="B52" s="435">
        <f>'Market Data'!$E$52*'Mkt Pen Veh-Mi'!B52</f>
        <v>0.13132614363608353</v>
      </c>
      <c r="C52" s="436">
        <f>'Market Data'!$E$52*'Mkt Pen Veh-Mi'!C52</f>
        <v>0.20260001289497806</v>
      </c>
      <c r="D52" s="436">
        <f>'Market Data'!$E$52*'Mkt Pen Veh-Mi'!D52</f>
        <v>0.23031389752656617</v>
      </c>
      <c r="E52" s="703">
        <f>'Market Data'!$E$52*'Mkt Pen Veh-Mi'!E52</f>
        <v>6.5015251930071891E-2</v>
      </c>
      <c r="F52" s="703">
        <f>'Market Data'!$E$52*'Mkt Pen Veh-Mi'!F52</f>
        <v>3.9173941752226826E-2</v>
      </c>
      <c r="G52" s="708">
        <f>'Market Data'!$E$52*'Mkt Pen Veh-Mi'!G52</f>
        <v>0</v>
      </c>
      <c r="H52" s="435">
        <f>'Market Data'!$O$52*'Mkt Pen Veh-Mi'!H52</f>
        <v>1.8397935463081393E-2</v>
      </c>
      <c r="I52" s="436">
        <f>'Market Data'!$O$52*'Mkt Pen Veh-Mi'!I52</f>
        <v>5.8070344551318376E-2</v>
      </c>
      <c r="J52" s="436">
        <f>'Market Data'!$O$52*'Mkt Pen Veh-Mi'!J52</f>
        <v>5.8044324135014119E-2</v>
      </c>
      <c r="K52" s="703">
        <f>'Market Data'!$O$52*'Mkt Pen Veh-Mi'!K52</f>
        <v>5.629205723385533E-2</v>
      </c>
      <c r="L52" s="703">
        <f>'Market Data'!$O$52*'Mkt Pen Veh-Mi'!L52</f>
        <v>5.9853762062452498E-3</v>
      </c>
      <c r="M52" s="708">
        <f>'Market Data'!$O$52*'Mkt Pen Veh-Mi'!M52</f>
        <v>4.5102307382980655E-2</v>
      </c>
      <c r="N52" s="435">
        <f>'Market Data'!$Y$52*'Mkt Pen Veh-Mi'!N52</f>
        <v>3.906018740436E-2</v>
      </c>
      <c r="O52" s="436">
        <f>'Market Data'!$Y$52*'Mkt Pen Veh-Mi'!O52</f>
        <v>1.1350596324846361E-2</v>
      </c>
      <c r="P52" s="436">
        <f>'Market Data'!$Y$52*'Mkt Pen Veh-Mi'!P52</f>
        <v>1.5949389577521331E-2</v>
      </c>
      <c r="Q52" s="703">
        <f>'Market Data'!$Y$52*'Mkt Pen Veh-Mi'!Q52</f>
        <v>8.3275353926351627E-3</v>
      </c>
      <c r="R52" s="703">
        <f>'Market Data'!$Y$52*'Mkt Pen Veh-Mi'!R52</f>
        <v>8.3416036025525768E-3</v>
      </c>
      <c r="S52" s="708">
        <f>'Market Data'!$Y$52*'Mkt Pen Veh-Mi'!S52</f>
        <v>6.6490949856628841E-3</v>
      </c>
      <c r="T52" s="435">
        <f t="shared" si="6"/>
        <v>0.18878426650352492</v>
      </c>
      <c r="U52" s="437">
        <f t="shared" si="8"/>
        <v>0.81121573349647513</v>
      </c>
    </row>
    <row r="53" spans="1:21" x14ac:dyDescent="0.2">
      <c r="A53" s="398"/>
      <c r="B53" s="398"/>
    </row>
    <row r="54" spans="1:21" x14ac:dyDescent="0.2">
      <c r="A54" s="408" t="str">
        <f>"Run id: '"&amp;'Run Model'!B3&amp;"'"</f>
        <v>Run id: 'Testing Aug 24 FY2020 Final Run'</v>
      </c>
      <c r="B54" s="398"/>
    </row>
    <row r="55" spans="1:21" x14ac:dyDescent="0.2">
      <c r="A55" s="408" t="s">
        <v>126</v>
      </c>
      <c r="B55" s="398"/>
    </row>
    <row r="56" spans="1:21" x14ac:dyDescent="0.2">
      <c r="A56" s="473" t="str">
        <f>"Combination, Centrally Refueled: " &amp;TEXT(RtimeCls1Cent1,"mm/dd/yyyy hh:mm")</f>
        <v>Combination, Centrally Refueled: 07/21/2020 15:48</v>
      </c>
      <c r="B56" s="399"/>
    </row>
    <row r="57" spans="1:21" x14ac:dyDescent="0.2">
      <c r="A57" s="473" t="str">
        <f>"Combination, Non-Centrally Refueled: " &amp;TEXT(RtimeCls1NCent1,"mm/dd/yyyy hh:mm")</f>
        <v>Combination, Non-Centrally Refueled: 07/21/2020 15:48</v>
      </c>
    </row>
    <row r="58" spans="1:21" x14ac:dyDescent="0.2">
      <c r="A58" s="473" t="str">
        <f>"Single Unit, Centrally Refueled: " &amp;TEXT(RtimeCls2Cent1,"mm/dd/yyyy hh:mm")</f>
        <v>Single Unit, Centrally Refueled: 07/21/2020 15:48</v>
      </c>
    </row>
    <row r="59" spans="1:21" x14ac:dyDescent="0.2">
      <c r="A59" s="473" t="str">
        <f>"Single Unit, Non-Centrally Refueled: " &amp;TEXT(RtimeCls2NCent1,"mm/dd/yyyy hh:mm")</f>
        <v>Single Unit, Non-Centrally Refueled: 07/21/2020 15:48</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7"/>
    <col min="2" max="19" width="13.5" style="1177" customWidth="1"/>
    <col min="20" max="16384" width="9.1640625" style="1177"/>
  </cols>
  <sheetData>
    <row r="1" spans="1:19" ht="16" x14ac:dyDescent="0.2">
      <c r="A1" s="1209" t="s">
        <v>313</v>
      </c>
    </row>
    <row r="3" spans="1:19" ht="16" thickBot="1" x14ac:dyDescent="0.25"/>
    <row r="4" spans="1:19" x14ac:dyDescent="0.2">
      <c r="A4" s="1178"/>
      <c r="B4" s="1613" t="s">
        <v>249</v>
      </c>
      <c r="C4" s="1614"/>
      <c r="D4" s="1614"/>
      <c r="E4" s="1614"/>
      <c r="F4" s="1614"/>
      <c r="G4" s="1615"/>
      <c r="H4" s="1613" t="s">
        <v>250</v>
      </c>
      <c r="I4" s="1614"/>
      <c r="J4" s="1614"/>
      <c r="K4" s="1614"/>
      <c r="L4" s="1614"/>
      <c r="M4" s="1615"/>
      <c r="N4" s="1613" t="s">
        <v>154</v>
      </c>
      <c r="O4" s="1614"/>
      <c r="P4" s="1614"/>
      <c r="Q4" s="1614"/>
      <c r="R4" s="1614"/>
      <c r="S4" s="1615"/>
    </row>
    <row r="5" spans="1:19" x14ac:dyDescent="0.2">
      <c r="A5" s="1179" t="s">
        <v>312</v>
      </c>
      <c r="B5" s="1619">
        <f>'Market Data'!C49/('Market Data'!E49+'Market Data'!C49)</f>
        <v>0.23038147668861172</v>
      </c>
      <c r="C5" s="1620"/>
      <c r="D5" s="1620"/>
      <c r="E5" s="1620"/>
      <c r="F5" s="1620"/>
      <c r="G5" s="1621"/>
      <c r="H5" s="1619">
        <f>'Market Data'!M49/('Market Data'!M49+'Market Data'!O49)</f>
        <v>0.61452169476443286</v>
      </c>
      <c r="I5" s="1620"/>
      <c r="J5" s="1620"/>
      <c r="K5" s="1620"/>
      <c r="L5" s="1620"/>
      <c r="M5" s="1621"/>
      <c r="N5" s="1619">
        <f>'Market Data'!W49/('Market Data'!W49+'Market Data'!Y49)</f>
        <v>0.39932829612730575</v>
      </c>
      <c r="O5" s="1620"/>
      <c r="P5" s="1620"/>
      <c r="Q5" s="1620"/>
      <c r="R5" s="1620"/>
      <c r="S5" s="1621"/>
    </row>
    <row r="6" spans="1:19" x14ac:dyDescent="0.2">
      <c r="A6" s="1179"/>
      <c r="B6" s="1616" t="s">
        <v>129</v>
      </c>
      <c r="C6" s="1617"/>
      <c r="D6" s="1617"/>
      <c r="E6" s="1617"/>
      <c r="F6" s="1617"/>
      <c r="G6" s="1618"/>
      <c r="H6" s="1616" t="s">
        <v>129</v>
      </c>
      <c r="I6" s="1617"/>
      <c r="J6" s="1617"/>
      <c r="K6" s="1617"/>
      <c r="L6" s="1617"/>
      <c r="M6" s="1618"/>
      <c r="N6" s="1616" t="s">
        <v>129</v>
      </c>
      <c r="O6" s="1617"/>
      <c r="P6" s="1617"/>
      <c r="Q6" s="1617"/>
      <c r="R6" s="1617"/>
      <c r="S6" s="1618"/>
    </row>
    <row r="7" spans="1:19" x14ac:dyDescent="0.2">
      <c r="A7" s="1179"/>
      <c r="B7" s="1180" t="s">
        <v>69</v>
      </c>
      <c r="C7" s="1181" t="s">
        <v>65</v>
      </c>
      <c r="D7" s="1181" t="s">
        <v>66</v>
      </c>
      <c r="E7" s="1181" t="s">
        <v>67</v>
      </c>
      <c r="F7" s="1181" t="s">
        <v>205</v>
      </c>
      <c r="G7" s="1182" t="s">
        <v>206</v>
      </c>
      <c r="H7" s="1180" t="s">
        <v>69</v>
      </c>
      <c r="I7" s="1181" t="s">
        <v>65</v>
      </c>
      <c r="J7" s="1181" t="s">
        <v>66</v>
      </c>
      <c r="K7" s="1181" t="s">
        <v>67</v>
      </c>
      <c r="L7" s="1181" t="s">
        <v>205</v>
      </c>
      <c r="M7" s="1182" t="s">
        <v>206</v>
      </c>
      <c r="N7" s="1180" t="s">
        <v>69</v>
      </c>
      <c r="O7" s="1181" t="s">
        <v>65</v>
      </c>
      <c r="P7" s="1181" t="s">
        <v>66</v>
      </c>
      <c r="Q7" s="1181" t="s">
        <v>67</v>
      </c>
      <c r="R7" s="1181" t="s">
        <v>205</v>
      </c>
      <c r="S7" s="1182" t="s">
        <v>206</v>
      </c>
    </row>
    <row r="8" spans="1:19" ht="32" x14ac:dyDescent="0.2">
      <c r="A8" s="1183"/>
      <c r="B8" s="1184" t="str">
        <f t="shared" ref="B8:G8" si="0">INDEX(TECH_OPT_DESC_Cls1,MATCH(B7,TECH_OPT_ROWS_Cls1,0))</f>
        <v>Conventional Diesel ICE</v>
      </c>
      <c r="C8" s="1185" t="str">
        <f t="shared" si="0"/>
        <v>Adv Conv</v>
      </c>
      <c r="D8" s="1185" t="str">
        <f t="shared" si="0"/>
        <v>HEV</v>
      </c>
      <c r="E8" s="1185" t="str">
        <f t="shared" si="0"/>
        <v>BEV</v>
      </c>
      <c r="F8" s="1185" t="str">
        <f t="shared" si="0"/>
        <v>FCEV</v>
      </c>
      <c r="G8" s="1186">
        <f t="shared" si="0"/>
        <v>0</v>
      </c>
      <c r="H8" s="1184" t="str">
        <f t="shared" ref="H8:M8" si="1">INDEX(TECH_OPT_DESC_Cls2,MATCH(H7,TECH_OPT_ROWS_Cls2,0))</f>
        <v>Conventional Diesel ICE</v>
      </c>
      <c r="I8" s="1185" t="str">
        <f t="shared" si="1"/>
        <v>Adv Conv</v>
      </c>
      <c r="J8" s="1185" t="str">
        <f t="shared" si="1"/>
        <v>ISG</v>
      </c>
      <c r="K8" s="1185" t="str">
        <f t="shared" si="1"/>
        <v>PHEV</v>
      </c>
      <c r="L8" s="1185" t="str">
        <f t="shared" si="1"/>
        <v>BEV</v>
      </c>
      <c r="M8" s="1186" t="str">
        <f t="shared" si="1"/>
        <v>FCHEV</v>
      </c>
      <c r="N8" s="1184" t="str">
        <f t="shared" ref="N8:S8" si="2">INDEX(TECH_OPT_DESC_Cls3,MATCH(N7,TECH_OPT_ROWS_Cls3,0))</f>
        <v>Conventional Diesel ICE</v>
      </c>
      <c r="O8" s="1185" t="str">
        <f t="shared" si="2"/>
        <v>Adv Conv</v>
      </c>
      <c r="P8" s="1185" t="str">
        <f t="shared" si="2"/>
        <v>ISG</v>
      </c>
      <c r="Q8" s="1185" t="str">
        <f t="shared" si="2"/>
        <v>HEV</v>
      </c>
      <c r="R8" s="1185" t="str">
        <f t="shared" si="2"/>
        <v>PHEV</v>
      </c>
      <c r="S8" s="1186" t="str">
        <f t="shared" si="2"/>
        <v>BEV</v>
      </c>
    </row>
    <row r="9" spans="1:19" ht="17" thickBot="1" x14ac:dyDescent="0.25">
      <c r="A9" s="1187" t="s">
        <v>3</v>
      </c>
      <c r="B9" s="1188" t="str">
        <f t="shared" ref="B9:G9" si="3">INDEX(TECH_OPT_FUEL1_Cls1,MATCH(B7,TECH_OPT_ROWS_Cls1,0))</f>
        <v>Diesel</v>
      </c>
      <c r="C9" s="1189" t="str">
        <f t="shared" si="3"/>
        <v>Diesel</v>
      </c>
      <c r="D9" s="1189" t="str">
        <f t="shared" si="3"/>
        <v>Diesel</v>
      </c>
      <c r="E9" s="1189" t="str">
        <f t="shared" si="3"/>
        <v>Electricity</v>
      </c>
      <c r="F9" s="1189" t="str">
        <f t="shared" si="3"/>
        <v>Hydrogen</v>
      </c>
      <c r="G9" s="1190" t="str">
        <f t="shared" si="3"/>
        <v>Diesel</v>
      </c>
      <c r="H9" s="1191" t="str">
        <f t="shared" ref="H9:M9" si="4">INDEX(TECH_OPT_FUEL1_Cls2,MATCH(H7,TECH_OPT_ROWS_Cls2,0))</f>
        <v>Diesel</v>
      </c>
      <c r="I9" s="1189" t="str">
        <f t="shared" si="4"/>
        <v>Diesel</v>
      </c>
      <c r="J9" s="1189" t="str">
        <f t="shared" si="4"/>
        <v>Diesel</v>
      </c>
      <c r="K9" s="1189" t="str">
        <f t="shared" si="4"/>
        <v>Diesel</v>
      </c>
      <c r="L9" s="1189" t="str">
        <f t="shared" si="4"/>
        <v>Electricity</v>
      </c>
      <c r="M9" s="1190" t="str">
        <f t="shared" si="4"/>
        <v>Hydrogen</v>
      </c>
      <c r="N9" s="1188" t="str">
        <f t="shared" ref="N9:S9" si="5">INDEX(TECH_OPT_FUEL1_Cls3,MATCH(N7,TECH_OPT_ROWS_Cls3,0))</f>
        <v>Diesel</v>
      </c>
      <c r="O9" s="1189" t="str">
        <f t="shared" si="5"/>
        <v>Diesel</v>
      </c>
      <c r="P9" s="1189" t="str">
        <f t="shared" si="5"/>
        <v>Diesel</v>
      </c>
      <c r="Q9" s="1189" t="str">
        <f t="shared" si="5"/>
        <v>Diesel</v>
      </c>
      <c r="R9" s="1189" t="str">
        <f t="shared" si="5"/>
        <v>Diesel</v>
      </c>
      <c r="S9" s="1190" t="str">
        <f t="shared" si="5"/>
        <v>Electricity</v>
      </c>
    </row>
    <row r="10" spans="1:19" ht="16" thickTop="1" x14ac:dyDescent="0.2">
      <c r="A10" s="1192">
        <v>2007</v>
      </c>
      <c r="B10" s="1193">
        <f>IF('Mkt Pen Veh-Mi'!B9=0,$B$5,($B$5-SUMPRODUCT(C10:G10,'Mkt Pen Veh-Mi'!C9:G9))/'Mkt Pen Veh-Mi'!B9)</f>
        <v>0.23038147668861172</v>
      </c>
      <c r="C10" s="1194">
        <f t="shared" ref="C10:C53" si="6">INDEX(Cls1TechACentShr,MATCH($A10,$A$10:$A$53,0))</f>
        <v>0</v>
      </c>
      <c r="D10" s="1194">
        <f t="shared" ref="D10:D53" si="7">INDEX(Cls1TechBCentShr,MATCH($A10,$A$10:$A$53,0))</f>
        <v>0</v>
      </c>
      <c r="E10" s="1194">
        <f t="shared" ref="E10:E53" si="8">INDEX(Cls1TechCCentShr,MATCH($A10,$A$10:$A$53,0))</f>
        <v>0</v>
      </c>
      <c r="F10" s="1194">
        <f t="shared" ref="F10:F53" si="9">INDEX(Cls1TechDCentShr,MATCH($A10,$A$10:$A$53,0))</f>
        <v>0</v>
      </c>
      <c r="G10" s="1219">
        <f t="shared" ref="G10:G53" si="10">INDEX(Cls1TechECentShr,MATCH($A10,$A$10:$A$53,0))</f>
        <v>0</v>
      </c>
      <c r="H10" s="1193">
        <f>IF('Mkt Pen Veh-Mi'!H9=0,$H$5,($H$5-SUMPRODUCT(I10:M10,'Mkt Pen Veh-Mi'!I9:M9))/'Mkt Pen Veh-Mi'!H9)</f>
        <v>0.61452169476443286</v>
      </c>
      <c r="I10" s="1194">
        <f t="shared" ref="I10:I53" si="11">INDEX(Cls2TechACentShr,MATCH($A10,$A$10:$A$53,0))</f>
        <v>0</v>
      </c>
      <c r="J10" s="1194">
        <f t="shared" ref="J10:J53" si="12">INDEX(Cls2TechBCentShr,MATCH($A10,$A$10:$A$53,0))</f>
        <v>0</v>
      </c>
      <c r="K10" s="1194">
        <f t="shared" ref="K10:K53" si="13">INDEX(Cls2TechCCentShr,MATCH($A10,$A$10:$A$53,0))</f>
        <v>0</v>
      </c>
      <c r="L10" s="1194">
        <f t="shared" ref="L10:L53" si="14">INDEX(Cls2TechDCentShr,MATCH($A10,$A$10:$A$53,0))</f>
        <v>0</v>
      </c>
      <c r="M10" s="1220">
        <f t="shared" ref="M10:M53" si="15">INDEX(Cls2TechECentShr,MATCH($A10,$A$10:$A$53,0))</f>
        <v>0</v>
      </c>
      <c r="N10" s="1193">
        <f>IF('Mkt Pen Veh-Mi'!N9=0,$N$5,($N$5-SUMPRODUCT(O10:S10,'Mkt Pen Veh-Mi'!O9:S9))/'Mkt Pen Veh-Mi'!N9)</f>
        <v>0.39932829612730575</v>
      </c>
      <c r="O10" s="1194">
        <f t="shared" ref="O10:O53" si="16">INDEX(Cls3TechACentShr,MATCH($A10,$A$10:$A$53,0))</f>
        <v>0</v>
      </c>
      <c r="P10" s="1194">
        <f t="shared" ref="P10:P53" si="17">INDEX(Cls3TechBCentShr,MATCH($A10,$A$10:$A$53,0))</f>
        <v>0</v>
      </c>
      <c r="Q10" s="1194">
        <f t="shared" ref="Q10:Q53" si="18">INDEX(Cls3TechCCentShr,MATCH($A10,$A$10:$A$53,0))</f>
        <v>0</v>
      </c>
      <c r="R10" s="1194">
        <f t="shared" ref="R10:R53" si="19">INDEX(Cls3TechDCentShr,MATCH($A10,$A$10:$A$53,0))</f>
        <v>0</v>
      </c>
      <c r="S10" s="1219">
        <f t="shared" ref="S10:S53" si="20">INDEX(Cls3TechECentShr,MATCH($A10,$A$10:$A$53,0))</f>
        <v>0</v>
      </c>
    </row>
    <row r="11" spans="1:19" x14ac:dyDescent="0.2">
      <c r="A11" s="1192">
        <v>2008</v>
      </c>
      <c r="B11" s="1195">
        <f>IF('Mkt Pen Veh-Mi'!B10=0,$B$5,($B$5-SUMPRODUCT(C11:G11,'Mkt Pen Veh-Mi'!C10:G10))/'Mkt Pen Veh-Mi'!B10)</f>
        <v>0.23038147668861172</v>
      </c>
      <c r="C11" s="1196">
        <f t="shared" si="6"/>
        <v>0</v>
      </c>
      <c r="D11" s="1196">
        <f t="shared" si="7"/>
        <v>0</v>
      </c>
      <c r="E11" s="1196">
        <f t="shared" si="8"/>
        <v>0</v>
      </c>
      <c r="F11" s="1196">
        <f t="shared" si="9"/>
        <v>0</v>
      </c>
      <c r="G11" s="1197">
        <f t="shared" si="10"/>
        <v>0</v>
      </c>
      <c r="H11" s="1195">
        <f>IF('Mkt Pen Veh-Mi'!H10=0,$H$5,($H$5-SUMPRODUCT(I11:M11,'Mkt Pen Veh-Mi'!I10:M10))/'Mkt Pen Veh-Mi'!H10)</f>
        <v>0.61452169476443286</v>
      </c>
      <c r="I11" s="1196">
        <f t="shared" si="11"/>
        <v>0</v>
      </c>
      <c r="J11" s="1196">
        <f t="shared" si="12"/>
        <v>0</v>
      </c>
      <c r="K11" s="1196">
        <f t="shared" si="13"/>
        <v>0</v>
      </c>
      <c r="L11" s="1196">
        <f t="shared" si="14"/>
        <v>0</v>
      </c>
      <c r="M11" s="1197">
        <f t="shared" si="15"/>
        <v>0</v>
      </c>
      <c r="N11" s="1195">
        <f>IF('Mkt Pen Veh-Mi'!N10=0,$N$5,($N$5-SUMPRODUCT(O11:S11,'Mkt Pen Veh-Mi'!O10:S10))/'Mkt Pen Veh-Mi'!N10)</f>
        <v>0.39932829612730575</v>
      </c>
      <c r="O11" s="1196">
        <f t="shared" si="16"/>
        <v>0</v>
      </c>
      <c r="P11" s="1196">
        <f t="shared" si="17"/>
        <v>0</v>
      </c>
      <c r="Q11" s="1196">
        <f t="shared" si="18"/>
        <v>0</v>
      </c>
      <c r="R11" s="1196">
        <f t="shared" si="19"/>
        <v>0</v>
      </c>
      <c r="S11" s="1197">
        <f t="shared" si="20"/>
        <v>0</v>
      </c>
    </row>
    <row r="12" spans="1:19" x14ac:dyDescent="0.2">
      <c r="A12" s="1192">
        <v>2009</v>
      </c>
      <c r="B12" s="1195">
        <f>IF('Mkt Pen Veh-Mi'!B11=0,$B$5,($B$5-SUMPRODUCT(C12:G12,'Mkt Pen Veh-Mi'!C11:G11))/'Mkt Pen Veh-Mi'!B11)</f>
        <v>0.23038147668861172</v>
      </c>
      <c r="C12" s="1196">
        <f t="shared" si="6"/>
        <v>0</v>
      </c>
      <c r="D12" s="1196">
        <f t="shared" si="7"/>
        <v>0</v>
      </c>
      <c r="E12" s="1196">
        <f t="shared" si="8"/>
        <v>0</v>
      </c>
      <c r="F12" s="1196">
        <f t="shared" si="9"/>
        <v>0</v>
      </c>
      <c r="G12" s="1197">
        <f t="shared" si="10"/>
        <v>0</v>
      </c>
      <c r="H12" s="1195">
        <f>IF('Mkt Pen Veh-Mi'!H11=0,$H$5,($H$5-SUMPRODUCT(I12:M12,'Mkt Pen Veh-Mi'!I11:M11))/'Mkt Pen Veh-Mi'!H11)</f>
        <v>0.61452169476443286</v>
      </c>
      <c r="I12" s="1196">
        <f t="shared" si="11"/>
        <v>0</v>
      </c>
      <c r="J12" s="1196">
        <f t="shared" si="12"/>
        <v>0</v>
      </c>
      <c r="K12" s="1196">
        <f t="shared" si="13"/>
        <v>0</v>
      </c>
      <c r="L12" s="1196">
        <f t="shared" si="14"/>
        <v>0</v>
      </c>
      <c r="M12" s="1197">
        <f t="shared" si="15"/>
        <v>0</v>
      </c>
      <c r="N12" s="1195">
        <f>IF('Mkt Pen Veh-Mi'!N11=0,$N$5,($N$5-SUMPRODUCT(O12:S12,'Mkt Pen Veh-Mi'!O11:S11))/'Mkt Pen Veh-Mi'!N11)</f>
        <v>0.39932829612730575</v>
      </c>
      <c r="O12" s="1196">
        <f t="shared" si="16"/>
        <v>0</v>
      </c>
      <c r="P12" s="1196">
        <f t="shared" si="17"/>
        <v>0</v>
      </c>
      <c r="Q12" s="1196">
        <f t="shared" si="18"/>
        <v>0</v>
      </c>
      <c r="R12" s="1196">
        <f t="shared" si="19"/>
        <v>0</v>
      </c>
      <c r="S12" s="1197">
        <f t="shared" si="20"/>
        <v>0</v>
      </c>
    </row>
    <row r="13" spans="1:19" x14ac:dyDescent="0.2">
      <c r="A13" s="1198">
        <v>2010</v>
      </c>
      <c r="B13" s="1199">
        <f>IF('Mkt Pen Veh-Mi'!B12=0,$B$5,($B$5-SUMPRODUCT(C13:G13,'Mkt Pen Veh-Mi'!C12:G12))/'Mkt Pen Veh-Mi'!B12)</f>
        <v>0.23038147668861172</v>
      </c>
      <c r="C13" s="1200">
        <f t="shared" si="6"/>
        <v>0</v>
      </c>
      <c r="D13" s="1200">
        <f t="shared" si="7"/>
        <v>0</v>
      </c>
      <c r="E13" s="1200">
        <f t="shared" si="8"/>
        <v>0</v>
      </c>
      <c r="F13" s="1200">
        <f t="shared" si="9"/>
        <v>0</v>
      </c>
      <c r="G13" s="1201">
        <f t="shared" si="10"/>
        <v>0</v>
      </c>
      <c r="H13" s="1199">
        <f>IF('Mkt Pen Veh-Mi'!H12=0,$H$5,($H$5-SUMPRODUCT(I13:M13,'Mkt Pen Veh-Mi'!I12:M12))/'Mkt Pen Veh-Mi'!H12)</f>
        <v>0.61452169476443286</v>
      </c>
      <c r="I13" s="1200">
        <f t="shared" si="11"/>
        <v>0</v>
      </c>
      <c r="J13" s="1200">
        <f t="shared" si="12"/>
        <v>0</v>
      </c>
      <c r="K13" s="1200">
        <f t="shared" si="13"/>
        <v>0</v>
      </c>
      <c r="L13" s="1200">
        <f t="shared" si="14"/>
        <v>0</v>
      </c>
      <c r="M13" s="1201">
        <f t="shared" si="15"/>
        <v>0</v>
      </c>
      <c r="N13" s="1199">
        <f>IF('Mkt Pen Veh-Mi'!N12=0,$N$5,($N$5-SUMPRODUCT(O13:S13,'Mkt Pen Veh-Mi'!O12:S12))/'Mkt Pen Veh-Mi'!N12)</f>
        <v>0.39932829612730575</v>
      </c>
      <c r="O13" s="1200">
        <f t="shared" si="16"/>
        <v>0</v>
      </c>
      <c r="P13" s="1200">
        <f t="shared" si="17"/>
        <v>0</v>
      </c>
      <c r="Q13" s="1200">
        <f t="shared" si="18"/>
        <v>0</v>
      </c>
      <c r="R13" s="1200">
        <f t="shared" si="19"/>
        <v>0</v>
      </c>
      <c r="S13" s="1201">
        <f t="shared" si="20"/>
        <v>0</v>
      </c>
    </row>
    <row r="14" spans="1:19" x14ac:dyDescent="0.2">
      <c r="A14" s="1192">
        <v>2011</v>
      </c>
      <c r="B14" s="1202">
        <f>IF('Mkt Pen Veh-Mi'!B13=0,$B$5,($B$5-SUMPRODUCT(C14:G14,'Mkt Pen Veh-Mi'!C13:G13))/'Mkt Pen Veh-Mi'!B13)</f>
        <v>0.23038147668861172</v>
      </c>
      <c r="C14" s="1203">
        <f t="shared" si="6"/>
        <v>0</v>
      </c>
      <c r="D14" s="1203">
        <f t="shared" si="7"/>
        <v>0</v>
      </c>
      <c r="E14" s="1203">
        <f t="shared" si="8"/>
        <v>0</v>
      </c>
      <c r="F14" s="1203">
        <f t="shared" si="9"/>
        <v>0</v>
      </c>
      <c r="G14" s="1204">
        <f t="shared" si="10"/>
        <v>0</v>
      </c>
      <c r="H14" s="1202">
        <f>IF('Mkt Pen Veh-Mi'!H13=0,$H$5,($H$5-SUMPRODUCT(I14:M14,'Mkt Pen Veh-Mi'!I13:M13))/'Mkt Pen Veh-Mi'!H13)</f>
        <v>0.61452169476443286</v>
      </c>
      <c r="I14" s="1203">
        <f t="shared" si="11"/>
        <v>0</v>
      </c>
      <c r="J14" s="1203">
        <f t="shared" si="12"/>
        <v>0</v>
      </c>
      <c r="K14" s="1203">
        <f t="shared" si="13"/>
        <v>0</v>
      </c>
      <c r="L14" s="1203">
        <f t="shared" si="14"/>
        <v>0</v>
      </c>
      <c r="M14" s="1204">
        <f t="shared" si="15"/>
        <v>0</v>
      </c>
      <c r="N14" s="1202">
        <f>IF('Mkt Pen Veh-Mi'!N13=0,$N$5,($N$5-SUMPRODUCT(O14:S14,'Mkt Pen Veh-Mi'!O13:S13))/'Mkt Pen Veh-Mi'!N13)</f>
        <v>0.39932829612730575</v>
      </c>
      <c r="O14" s="1203">
        <f t="shared" si="16"/>
        <v>0</v>
      </c>
      <c r="P14" s="1203">
        <f t="shared" si="17"/>
        <v>0</v>
      </c>
      <c r="Q14" s="1203">
        <f t="shared" si="18"/>
        <v>0</v>
      </c>
      <c r="R14" s="1203">
        <f t="shared" si="19"/>
        <v>0</v>
      </c>
      <c r="S14" s="1204">
        <f t="shared" si="20"/>
        <v>0</v>
      </c>
    </row>
    <row r="15" spans="1:19" x14ac:dyDescent="0.2">
      <c r="A15" s="1192">
        <v>2012</v>
      </c>
      <c r="B15" s="1195">
        <f>IF('Mkt Pen Veh-Mi'!B14=0,$B$5,($B$5-SUMPRODUCT(C15:G15,'Mkt Pen Veh-Mi'!C14:G14))/'Mkt Pen Veh-Mi'!B14)</f>
        <v>0.23038147668861172</v>
      </c>
      <c r="C15" s="1196">
        <f t="shared" si="6"/>
        <v>0</v>
      </c>
      <c r="D15" s="1196">
        <f t="shared" si="7"/>
        <v>0</v>
      </c>
      <c r="E15" s="1196">
        <f t="shared" si="8"/>
        <v>0</v>
      </c>
      <c r="F15" s="1196">
        <f t="shared" si="9"/>
        <v>0</v>
      </c>
      <c r="G15" s="1197">
        <f t="shared" si="10"/>
        <v>0</v>
      </c>
      <c r="H15" s="1195">
        <f>IF('Mkt Pen Veh-Mi'!H14=0,$H$5,($H$5-SUMPRODUCT(I15:M15,'Mkt Pen Veh-Mi'!I14:M14))/'Mkt Pen Veh-Mi'!H14)</f>
        <v>0.61452169476443286</v>
      </c>
      <c r="I15" s="1196">
        <f t="shared" si="11"/>
        <v>0</v>
      </c>
      <c r="J15" s="1196">
        <f t="shared" si="12"/>
        <v>0</v>
      </c>
      <c r="K15" s="1196">
        <f t="shared" si="13"/>
        <v>0</v>
      </c>
      <c r="L15" s="1196">
        <f t="shared" si="14"/>
        <v>0</v>
      </c>
      <c r="M15" s="1197">
        <f t="shared" si="15"/>
        <v>0</v>
      </c>
      <c r="N15" s="1195">
        <f>IF('Mkt Pen Veh-Mi'!N14=0,$N$5,($N$5-SUMPRODUCT(O15:S15,'Mkt Pen Veh-Mi'!O14:S14))/'Mkt Pen Veh-Mi'!N14)</f>
        <v>0.39932829612730575</v>
      </c>
      <c r="O15" s="1196">
        <f t="shared" si="16"/>
        <v>0</v>
      </c>
      <c r="P15" s="1196">
        <f t="shared" si="17"/>
        <v>0</v>
      </c>
      <c r="Q15" s="1196">
        <f t="shared" si="18"/>
        <v>0</v>
      </c>
      <c r="R15" s="1196">
        <f t="shared" si="19"/>
        <v>0</v>
      </c>
      <c r="S15" s="1197">
        <f t="shared" si="20"/>
        <v>0</v>
      </c>
    </row>
    <row r="16" spans="1:19" x14ac:dyDescent="0.2">
      <c r="A16" s="1192">
        <v>2013</v>
      </c>
      <c r="B16" s="1195">
        <f>IF('Mkt Pen Veh-Mi'!B15=0,$B$5,($B$5-SUMPRODUCT(C16:G16,'Mkt Pen Veh-Mi'!C15:G15))/'Mkt Pen Veh-Mi'!B15)</f>
        <v>0.23038147668861172</v>
      </c>
      <c r="C16" s="1196">
        <f t="shared" si="6"/>
        <v>0</v>
      </c>
      <c r="D16" s="1196">
        <f t="shared" si="7"/>
        <v>0</v>
      </c>
      <c r="E16" s="1196">
        <f t="shared" si="8"/>
        <v>0</v>
      </c>
      <c r="F16" s="1196">
        <f t="shared" si="9"/>
        <v>0</v>
      </c>
      <c r="G16" s="1197">
        <f t="shared" si="10"/>
        <v>0</v>
      </c>
      <c r="H16" s="1195">
        <f>IF('Mkt Pen Veh-Mi'!H15=0,$H$5,($H$5-SUMPRODUCT(I16:M16,'Mkt Pen Veh-Mi'!I15:M15))/'Mkt Pen Veh-Mi'!H15)</f>
        <v>0.61452169476443286</v>
      </c>
      <c r="I16" s="1196">
        <f t="shared" si="11"/>
        <v>0</v>
      </c>
      <c r="J16" s="1196">
        <f t="shared" si="12"/>
        <v>0</v>
      </c>
      <c r="K16" s="1196">
        <f t="shared" si="13"/>
        <v>0</v>
      </c>
      <c r="L16" s="1196">
        <f t="shared" si="14"/>
        <v>0</v>
      </c>
      <c r="M16" s="1197">
        <f t="shared" si="15"/>
        <v>0</v>
      </c>
      <c r="N16" s="1195">
        <f>IF('Mkt Pen Veh-Mi'!N15=0,$N$5,($N$5-SUMPRODUCT(O16:S16,'Mkt Pen Veh-Mi'!O15:S15))/'Mkt Pen Veh-Mi'!N15)</f>
        <v>0.39932829612730575</v>
      </c>
      <c r="O16" s="1196">
        <f t="shared" si="16"/>
        <v>0</v>
      </c>
      <c r="P16" s="1196">
        <f t="shared" si="17"/>
        <v>0</v>
      </c>
      <c r="Q16" s="1196">
        <f t="shared" si="18"/>
        <v>0</v>
      </c>
      <c r="R16" s="1196">
        <f t="shared" si="19"/>
        <v>0</v>
      </c>
      <c r="S16" s="1197">
        <f t="shared" si="20"/>
        <v>0</v>
      </c>
    </row>
    <row r="17" spans="1:19" x14ac:dyDescent="0.2">
      <c r="A17" s="1192">
        <v>2014</v>
      </c>
      <c r="B17" s="1195">
        <f>IF('Mkt Pen Veh-Mi'!B16=0,$B$5,($B$5-SUMPRODUCT(C17:G17,'Mkt Pen Veh-Mi'!C16:G16))/'Mkt Pen Veh-Mi'!B16)</f>
        <v>0.23038147668861172</v>
      </c>
      <c r="C17" s="1196">
        <f t="shared" si="6"/>
        <v>0</v>
      </c>
      <c r="D17" s="1196">
        <f t="shared" si="7"/>
        <v>0</v>
      </c>
      <c r="E17" s="1196">
        <f t="shared" si="8"/>
        <v>0</v>
      </c>
      <c r="F17" s="1196">
        <f t="shared" si="9"/>
        <v>0</v>
      </c>
      <c r="G17" s="1197">
        <f t="shared" si="10"/>
        <v>0</v>
      </c>
      <c r="H17" s="1195">
        <f>IF('Mkt Pen Veh-Mi'!H16=0,$H$5,($H$5-SUMPRODUCT(I17:M17,'Mkt Pen Veh-Mi'!I16:M16))/'Mkt Pen Veh-Mi'!H16)</f>
        <v>0.61452169476443286</v>
      </c>
      <c r="I17" s="1196">
        <f t="shared" si="11"/>
        <v>0</v>
      </c>
      <c r="J17" s="1196">
        <f t="shared" si="12"/>
        <v>0</v>
      </c>
      <c r="K17" s="1196">
        <f t="shared" si="13"/>
        <v>0</v>
      </c>
      <c r="L17" s="1196">
        <f t="shared" si="14"/>
        <v>0</v>
      </c>
      <c r="M17" s="1197">
        <f t="shared" si="15"/>
        <v>0</v>
      </c>
      <c r="N17" s="1195">
        <f>IF('Mkt Pen Veh-Mi'!N16=0,$N$5,($N$5-SUMPRODUCT(O17:S17,'Mkt Pen Veh-Mi'!O16:S16))/'Mkt Pen Veh-Mi'!N16)</f>
        <v>0.39932829612730575</v>
      </c>
      <c r="O17" s="1196">
        <f t="shared" si="16"/>
        <v>0</v>
      </c>
      <c r="P17" s="1196">
        <f t="shared" si="17"/>
        <v>0</v>
      </c>
      <c r="Q17" s="1196">
        <f t="shared" si="18"/>
        <v>0</v>
      </c>
      <c r="R17" s="1196">
        <f t="shared" si="19"/>
        <v>0</v>
      </c>
      <c r="S17" s="1197">
        <f t="shared" si="20"/>
        <v>0</v>
      </c>
    </row>
    <row r="18" spans="1:19" x14ac:dyDescent="0.2">
      <c r="A18" s="1198">
        <v>2015</v>
      </c>
      <c r="B18" s="1199">
        <f>IF('Mkt Pen Veh-Mi'!B17=0,$B$5,($B$5-SUMPRODUCT(C18:G18,'Mkt Pen Veh-Mi'!C17:G17))/'Mkt Pen Veh-Mi'!B17)</f>
        <v>0.23038147668861172</v>
      </c>
      <c r="C18" s="1200">
        <f t="shared" si="6"/>
        <v>0</v>
      </c>
      <c r="D18" s="1200">
        <f t="shared" si="7"/>
        <v>0</v>
      </c>
      <c r="E18" s="1200">
        <f t="shared" si="8"/>
        <v>0</v>
      </c>
      <c r="F18" s="1200">
        <f t="shared" si="9"/>
        <v>0</v>
      </c>
      <c r="G18" s="1201">
        <f t="shared" si="10"/>
        <v>0</v>
      </c>
      <c r="H18" s="1199">
        <f>IF('Mkt Pen Veh-Mi'!H17=0,$H$5,($H$5-SUMPRODUCT(I18:M18,'Mkt Pen Veh-Mi'!I17:M17))/'Mkt Pen Veh-Mi'!H17)</f>
        <v>0.61452169476443286</v>
      </c>
      <c r="I18" s="1200">
        <f t="shared" si="11"/>
        <v>0</v>
      </c>
      <c r="J18" s="1200">
        <f t="shared" si="12"/>
        <v>0</v>
      </c>
      <c r="K18" s="1200">
        <f t="shared" si="13"/>
        <v>0</v>
      </c>
      <c r="L18" s="1200">
        <f t="shared" si="14"/>
        <v>0</v>
      </c>
      <c r="M18" s="1201">
        <f t="shared" si="15"/>
        <v>0</v>
      </c>
      <c r="N18" s="1199">
        <f>IF('Mkt Pen Veh-Mi'!N17=0,$N$5,($N$5-SUMPRODUCT(O18:S18,'Mkt Pen Veh-Mi'!O17:S17))/'Mkt Pen Veh-Mi'!N17)</f>
        <v>0.39932829612730575</v>
      </c>
      <c r="O18" s="1200">
        <f t="shared" si="16"/>
        <v>0</v>
      </c>
      <c r="P18" s="1200">
        <f t="shared" si="17"/>
        <v>0</v>
      </c>
      <c r="Q18" s="1200">
        <f t="shared" si="18"/>
        <v>0</v>
      </c>
      <c r="R18" s="1200">
        <f t="shared" si="19"/>
        <v>0</v>
      </c>
      <c r="S18" s="1201">
        <f t="shared" si="20"/>
        <v>0</v>
      </c>
    </row>
    <row r="19" spans="1:19" x14ac:dyDescent="0.2">
      <c r="A19" s="1192">
        <v>2016</v>
      </c>
      <c r="B19" s="1202">
        <f>IF('Mkt Pen Veh-Mi'!B18=0,$B$5,($B$5-SUMPRODUCT(C19:G19,'Mkt Pen Veh-Mi'!C18:G18))/'Mkt Pen Veh-Mi'!B18)</f>
        <v>0.23038147668861172</v>
      </c>
      <c r="C19" s="1203">
        <f t="shared" si="6"/>
        <v>0</v>
      </c>
      <c r="D19" s="1203">
        <f t="shared" si="7"/>
        <v>0</v>
      </c>
      <c r="E19" s="1203">
        <f t="shared" si="8"/>
        <v>0</v>
      </c>
      <c r="F19" s="1203">
        <f t="shared" si="9"/>
        <v>0</v>
      </c>
      <c r="G19" s="1204">
        <f t="shared" si="10"/>
        <v>0</v>
      </c>
      <c r="H19" s="1202">
        <f>IF('Mkt Pen Veh-Mi'!H18=0,$H$5,($H$5-SUMPRODUCT(I19:M19,'Mkt Pen Veh-Mi'!I18:M18))/'Mkt Pen Veh-Mi'!H18)</f>
        <v>0.61452169476443286</v>
      </c>
      <c r="I19" s="1203">
        <f t="shared" si="11"/>
        <v>0</v>
      </c>
      <c r="J19" s="1203">
        <f t="shared" si="12"/>
        <v>0</v>
      </c>
      <c r="K19" s="1203">
        <f t="shared" si="13"/>
        <v>0</v>
      </c>
      <c r="L19" s="1203">
        <f t="shared" si="14"/>
        <v>0</v>
      </c>
      <c r="M19" s="1204">
        <f t="shared" si="15"/>
        <v>0</v>
      </c>
      <c r="N19" s="1202">
        <f>IF('Mkt Pen Veh-Mi'!N18=0,$N$5,($N$5-SUMPRODUCT(O19:S19,'Mkt Pen Veh-Mi'!O18:S18))/'Mkt Pen Veh-Mi'!N18)</f>
        <v>0.39932829612730575</v>
      </c>
      <c r="O19" s="1203">
        <f t="shared" si="16"/>
        <v>0</v>
      </c>
      <c r="P19" s="1203">
        <f t="shared" si="17"/>
        <v>0</v>
      </c>
      <c r="Q19" s="1203">
        <f t="shared" si="18"/>
        <v>0</v>
      </c>
      <c r="R19" s="1203">
        <f t="shared" si="19"/>
        <v>0</v>
      </c>
      <c r="S19" s="1204">
        <f t="shared" si="20"/>
        <v>0</v>
      </c>
    </row>
    <row r="20" spans="1:19" x14ac:dyDescent="0.2">
      <c r="A20" s="1192">
        <v>2017</v>
      </c>
      <c r="B20" s="1195">
        <f>IF('Mkt Pen Veh-Mi'!B19=0,$B$5,($B$5-SUMPRODUCT(C20:G20,'Mkt Pen Veh-Mi'!C19:G19))/'Mkt Pen Veh-Mi'!B19)</f>
        <v>0.23038147668861172</v>
      </c>
      <c r="C20" s="1196">
        <f t="shared" si="6"/>
        <v>0</v>
      </c>
      <c r="D20" s="1196">
        <f t="shared" si="7"/>
        <v>0</v>
      </c>
      <c r="E20" s="1196">
        <f t="shared" si="8"/>
        <v>0</v>
      </c>
      <c r="F20" s="1196">
        <f t="shared" si="9"/>
        <v>0</v>
      </c>
      <c r="G20" s="1197">
        <f t="shared" si="10"/>
        <v>0</v>
      </c>
      <c r="H20" s="1195">
        <f>IF('Mkt Pen Veh-Mi'!H19=0,$H$5,($H$5-SUMPRODUCT(I20:M20,'Mkt Pen Veh-Mi'!I19:M19))/'Mkt Pen Veh-Mi'!H19)</f>
        <v>0.61452169476443286</v>
      </c>
      <c r="I20" s="1196">
        <f t="shared" si="11"/>
        <v>0</v>
      </c>
      <c r="J20" s="1196">
        <f t="shared" si="12"/>
        <v>0</v>
      </c>
      <c r="K20" s="1196">
        <f t="shared" si="13"/>
        <v>0</v>
      </c>
      <c r="L20" s="1196">
        <f t="shared" si="14"/>
        <v>0</v>
      </c>
      <c r="M20" s="1197">
        <f t="shared" si="15"/>
        <v>0</v>
      </c>
      <c r="N20" s="1195">
        <f>IF('Mkt Pen Veh-Mi'!N19=0,$N$5,($N$5-SUMPRODUCT(O20:S20,'Mkt Pen Veh-Mi'!O19:S19))/'Mkt Pen Veh-Mi'!N19)</f>
        <v>0.39932829612730575</v>
      </c>
      <c r="O20" s="1196">
        <f t="shared" si="16"/>
        <v>0</v>
      </c>
      <c r="P20" s="1196">
        <f t="shared" si="17"/>
        <v>0</v>
      </c>
      <c r="Q20" s="1196">
        <f t="shared" si="18"/>
        <v>0</v>
      </c>
      <c r="R20" s="1196">
        <f t="shared" si="19"/>
        <v>0</v>
      </c>
      <c r="S20" s="1197">
        <f t="shared" si="20"/>
        <v>0</v>
      </c>
    </row>
    <row r="21" spans="1:19" x14ac:dyDescent="0.2">
      <c r="A21" s="1192">
        <v>2018</v>
      </c>
      <c r="B21" s="1195">
        <f>IF('Mkt Pen Veh-Mi'!B20=0,$B$5,($B$5-SUMPRODUCT(C21:G21,'Mkt Pen Veh-Mi'!C20:G20))/'Mkt Pen Veh-Mi'!B20)</f>
        <v>0.23038147668861172</v>
      </c>
      <c r="C21" s="1196">
        <f t="shared" si="6"/>
        <v>0</v>
      </c>
      <c r="D21" s="1196">
        <f t="shared" si="7"/>
        <v>0</v>
      </c>
      <c r="E21" s="1196">
        <f t="shared" si="8"/>
        <v>0</v>
      </c>
      <c r="F21" s="1196">
        <f t="shared" si="9"/>
        <v>0</v>
      </c>
      <c r="G21" s="1197">
        <f t="shared" si="10"/>
        <v>0</v>
      </c>
      <c r="H21" s="1195">
        <f>IF('Mkt Pen Veh-Mi'!H20=0,$H$5,($H$5-SUMPRODUCT(I21:M21,'Mkt Pen Veh-Mi'!I20:M20))/'Mkt Pen Veh-Mi'!H20)</f>
        <v>0.61452169476443286</v>
      </c>
      <c r="I21" s="1196">
        <f t="shared" si="11"/>
        <v>0</v>
      </c>
      <c r="J21" s="1196">
        <f t="shared" si="12"/>
        <v>0</v>
      </c>
      <c r="K21" s="1196">
        <f t="shared" si="13"/>
        <v>0</v>
      </c>
      <c r="L21" s="1196">
        <f t="shared" si="14"/>
        <v>0</v>
      </c>
      <c r="M21" s="1197">
        <f t="shared" si="15"/>
        <v>0</v>
      </c>
      <c r="N21" s="1195">
        <f>IF('Mkt Pen Veh-Mi'!N20=0,$N$5,($N$5-SUMPRODUCT(O21:S21,'Mkt Pen Veh-Mi'!O20:S20))/'Mkt Pen Veh-Mi'!N20)</f>
        <v>0.39932829612730575</v>
      </c>
      <c r="O21" s="1196">
        <f t="shared" si="16"/>
        <v>0</v>
      </c>
      <c r="P21" s="1196">
        <f t="shared" si="17"/>
        <v>0</v>
      </c>
      <c r="Q21" s="1196">
        <f t="shared" si="18"/>
        <v>0</v>
      </c>
      <c r="R21" s="1196">
        <f t="shared" si="19"/>
        <v>0</v>
      </c>
      <c r="S21" s="1197">
        <f t="shared" si="20"/>
        <v>0</v>
      </c>
    </row>
    <row r="22" spans="1:19" x14ac:dyDescent="0.2">
      <c r="A22" s="1192">
        <v>2019</v>
      </c>
      <c r="B22" s="1195">
        <f>IF('Mkt Pen Veh-Mi'!B21=0,$B$5,($B$5-SUMPRODUCT(C22:G22,'Mkt Pen Veh-Mi'!C21:G21))/'Mkt Pen Veh-Mi'!B21)</f>
        <v>0.23038147668861172</v>
      </c>
      <c r="C22" s="1196">
        <f t="shared" si="6"/>
        <v>0</v>
      </c>
      <c r="D22" s="1196">
        <f t="shared" si="7"/>
        <v>0</v>
      </c>
      <c r="E22" s="1196">
        <f t="shared" si="8"/>
        <v>0</v>
      </c>
      <c r="F22" s="1196">
        <f t="shared" si="9"/>
        <v>0</v>
      </c>
      <c r="G22" s="1197">
        <f t="shared" si="10"/>
        <v>0</v>
      </c>
      <c r="H22" s="1195">
        <f>IF('Mkt Pen Veh-Mi'!H21=0,$H$5,($H$5-SUMPRODUCT(I22:M22,'Mkt Pen Veh-Mi'!I21:M21))/'Mkt Pen Veh-Mi'!H21)</f>
        <v>0.61452169476443286</v>
      </c>
      <c r="I22" s="1196">
        <f t="shared" si="11"/>
        <v>0</v>
      </c>
      <c r="J22" s="1196">
        <f t="shared" si="12"/>
        <v>0</v>
      </c>
      <c r="K22" s="1196">
        <f t="shared" si="13"/>
        <v>0</v>
      </c>
      <c r="L22" s="1196">
        <f t="shared" si="14"/>
        <v>0</v>
      </c>
      <c r="M22" s="1197">
        <f t="shared" si="15"/>
        <v>0</v>
      </c>
      <c r="N22" s="1195">
        <f>IF('Mkt Pen Veh-Mi'!N21=0,$N$5,($N$5-SUMPRODUCT(O22:S22,'Mkt Pen Veh-Mi'!O21:S21))/'Mkt Pen Veh-Mi'!N21)</f>
        <v>0.39932829612730575</v>
      </c>
      <c r="O22" s="1196">
        <f t="shared" si="16"/>
        <v>0</v>
      </c>
      <c r="P22" s="1196">
        <f t="shared" si="17"/>
        <v>0</v>
      </c>
      <c r="Q22" s="1196">
        <f t="shared" si="18"/>
        <v>0</v>
      </c>
      <c r="R22" s="1196">
        <f t="shared" si="19"/>
        <v>0</v>
      </c>
      <c r="S22" s="1197">
        <f t="shared" si="20"/>
        <v>0</v>
      </c>
    </row>
    <row r="23" spans="1:19" x14ac:dyDescent="0.2">
      <c r="A23" s="1198">
        <v>2020</v>
      </c>
      <c r="B23" s="1199">
        <f>IF('Mkt Pen Veh-Mi'!B22=0,$B$5,($B$5-SUMPRODUCT(C23:G23,'Mkt Pen Veh-Mi'!C22:G22))/'Mkt Pen Veh-Mi'!B22)</f>
        <v>0.23038147668861172</v>
      </c>
      <c r="C23" s="1200">
        <f t="shared" si="6"/>
        <v>0</v>
      </c>
      <c r="D23" s="1200">
        <f t="shared" si="7"/>
        <v>0</v>
      </c>
      <c r="E23" s="1200">
        <f t="shared" si="8"/>
        <v>0</v>
      </c>
      <c r="F23" s="1200">
        <f t="shared" si="9"/>
        <v>0</v>
      </c>
      <c r="G23" s="1201">
        <f t="shared" si="10"/>
        <v>0</v>
      </c>
      <c r="H23" s="1199">
        <f>IF('Mkt Pen Veh-Mi'!H22=0,$H$5,($H$5-SUMPRODUCT(I23:M23,'Mkt Pen Veh-Mi'!I22:M22))/'Mkt Pen Veh-Mi'!H22)</f>
        <v>0.61452169476443286</v>
      </c>
      <c r="I23" s="1200">
        <f t="shared" si="11"/>
        <v>0</v>
      </c>
      <c r="J23" s="1200">
        <f t="shared" si="12"/>
        <v>0</v>
      </c>
      <c r="K23" s="1200">
        <f t="shared" si="13"/>
        <v>0</v>
      </c>
      <c r="L23" s="1200">
        <f t="shared" si="14"/>
        <v>0</v>
      </c>
      <c r="M23" s="1201">
        <f t="shared" si="15"/>
        <v>0</v>
      </c>
      <c r="N23" s="1199">
        <f>IF('Mkt Pen Veh-Mi'!N22=0,$N$5,($N$5-SUMPRODUCT(O23:S23,'Mkt Pen Veh-Mi'!O22:S22))/'Mkt Pen Veh-Mi'!N22)</f>
        <v>0.39932829612730575</v>
      </c>
      <c r="O23" s="1200">
        <f t="shared" si="16"/>
        <v>0</v>
      </c>
      <c r="P23" s="1200">
        <f t="shared" si="17"/>
        <v>0</v>
      </c>
      <c r="Q23" s="1200">
        <f t="shared" si="18"/>
        <v>0</v>
      </c>
      <c r="R23" s="1200">
        <f t="shared" si="19"/>
        <v>0</v>
      </c>
      <c r="S23" s="1201">
        <f t="shared" si="20"/>
        <v>0</v>
      </c>
    </row>
    <row r="24" spans="1:19" x14ac:dyDescent="0.2">
      <c r="A24" s="1192">
        <v>2021</v>
      </c>
      <c r="B24" s="1202">
        <f>IF('Mkt Pen Veh-Mi'!B23=0,$B$5,($B$5-SUMPRODUCT(C24:G24,'Mkt Pen Veh-Mi'!C23:G23))/'Mkt Pen Veh-Mi'!B23)</f>
        <v>0.23038147668861172</v>
      </c>
      <c r="C24" s="1203">
        <f t="shared" si="6"/>
        <v>0</v>
      </c>
      <c r="D24" s="1203">
        <f t="shared" si="7"/>
        <v>0</v>
      </c>
      <c r="E24" s="1203">
        <f t="shared" si="8"/>
        <v>0</v>
      </c>
      <c r="F24" s="1203">
        <f t="shared" si="9"/>
        <v>0</v>
      </c>
      <c r="G24" s="1204">
        <f t="shared" si="10"/>
        <v>0</v>
      </c>
      <c r="H24" s="1202">
        <f>IF('Mkt Pen Veh-Mi'!H23=0,$H$5,($H$5-SUMPRODUCT(I24:M24,'Mkt Pen Veh-Mi'!I23:M23))/'Mkt Pen Veh-Mi'!H23)</f>
        <v>0.6143836986154696</v>
      </c>
      <c r="I24" s="1203">
        <f t="shared" si="11"/>
        <v>0.61879907379704091</v>
      </c>
      <c r="J24" s="1203">
        <f t="shared" si="12"/>
        <v>0.61753476043424149</v>
      </c>
      <c r="K24" s="1203">
        <f t="shared" si="13"/>
        <v>0</v>
      </c>
      <c r="L24" s="1203">
        <f t="shared" si="14"/>
        <v>0</v>
      </c>
      <c r="M24" s="1204">
        <f t="shared" si="15"/>
        <v>0</v>
      </c>
      <c r="N24" s="1202">
        <f>IF('Mkt Pen Veh-Mi'!N23=0,$N$5,($N$5-SUMPRODUCT(O24:S24,'Mkt Pen Veh-Mi'!O23:S23))/'Mkt Pen Veh-Mi'!N23)</f>
        <v>0.39932829612730575</v>
      </c>
      <c r="O24" s="1203">
        <f t="shared" si="16"/>
        <v>0</v>
      </c>
      <c r="P24" s="1203">
        <f t="shared" si="17"/>
        <v>0</v>
      </c>
      <c r="Q24" s="1203">
        <f t="shared" si="18"/>
        <v>0</v>
      </c>
      <c r="R24" s="1203">
        <f t="shared" si="19"/>
        <v>0</v>
      </c>
      <c r="S24" s="1204">
        <f t="shared" si="20"/>
        <v>0</v>
      </c>
    </row>
    <row r="25" spans="1:19" x14ac:dyDescent="0.2">
      <c r="A25" s="1192">
        <v>2022</v>
      </c>
      <c r="B25" s="1195">
        <f>IF('Mkt Pen Veh-Mi'!B24=0,$B$5,($B$5-SUMPRODUCT(C25:G25,'Mkt Pen Veh-Mi'!C24:G24))/'Mkt Pen Veh-Mi'!B24)</f>
        <v>0.23040353781707437</v>
      </c>
      <c r="C25" s="1196">
        <f t="shared" si="6"/>
        <v>0.2410617783326397</v>
      </c>
      <c r="D25" s="1196">
        <f t="shared" si="7"/>
        <v>0.20925253134886979</v>
      </c>
      <c r="E25" s="1196">
        <f t="shared" si="8"/>
        <v>0</v>
      </c>
      <c r="F25" s="1196">
        <f t="shared" si="9"/>
        <v>0</v>
      </c>
      <c r="G25" s="1197">
        <f t="shared" si="10"/>
        <v>0</v>
      </c>
      <c r="H25" s="1195">
        <f>IF('Mkt Pen Veh-Mi'!H24=0,$H$5,($H$5-SUMPRODUCT(I25:M25,'Mkt Pen Veh-Mi'!I24:M24))/'Mkt Pen Veh-Mi'!H24)</f>
        <v>0.61396683866068513</v>
      </c>
      <c r="I25" s="1196">
        <f t="shared" si="11"/>
        <v>0.61915646019356485</v>
      </c>
      <c r="J25" s="1196">
        <f t="shared" si="12"/>
        <v>0.6221300972292868</v>
      </c>
      <c r="K25" s="1196">
        <f t="shared" si="13"/>
        <v>0</v>
      </c>
      <c r="L25" s="1196">
        <f t="shared" si="14"/>
        <v>0</v>
      </c>
      <c r="M25" s="1197">
        <f t="shared" si="15"/>
        <v>0</v>
      </c>
      <c r="N25" s="1195">
        <f>IF('Mkt Pen Veh-Mi'!N24=0,$N$5,($N$5-SUMPRODUCT(O25:S25,'Mkt Pen Veh-Mi'!O24:S24))/'Mkt Pen Veh-Mi'!N24)</f>
        <v>0.39919947592731392</v>
      </c>
      <c r="O25" s="1196">
        <f t="shared" si="16"/>
        <v>0.40145168685048915</v>
      </c>
      <c r="P25" s="1196">
        <f t="shared" si="17"/>
        <v>0.41236717347260338</v>
      </c>
      <c r="Q25" s="1196">
        <f t="shared" si="18"/>
        <v>0.33943092740884828</v>
      </c>
      <c r="R25" s="1196">
        <f t="shared" si="19"/>
        <v>0</v>
      </c>
      <c r="S25" s="1197">
        <f t="shared" si="20"/>
        <v>0</v>
      </c>
    </row>
    <row r="26" spans="1:19" x14ac:dyDescent="0.2">
      <c r="A26" s="1192">
        <v>2023</v>
      </c>
      <c r="B26" s="1195">
        <f>IF('Mkt Pen Veh-Mi'!B25=0,$B$5,($B$5-SUMPRODUCT(C26:G26,'Mkt Pen Veh-Mi'!C25:G25))/'Mkt Pen Veh-Mi'!B25)</f>
        <v>0.23026379520905613</v>
      </c>
      <c r="C26" s="1196">
        <f t="shared" si="6"/>
        <v>0.24805824211269284</v>
      </c>
      <c r="D26" s="1196">
        <f t="shared" si="7"/>
        <v>0.20841684381298387</v>
      </c>
      <c r="E26" s="1196">
        <f t="shared" si="8"/>
        <v>0</v>
      </c>
      <c r="F26" s="1196">
        <f t="shared" si="9"/>
        <v>0</v>
      </c>
      <c r="G26" s="1197">
        <f t="shared" si="10"/>
        <v>0</v>
      </c>
      <c r="H26" s="1195">
        <f>IF('Mkt Pen Veh-Mi'!H25=0,$H$5,($H$5-SUMPRODUCT(I26:M26,'Mkt Pen Veh-Mi'!I25:M25))/'Mkt Pen Veh-Mi'!H25)</f>
        <v>0.61281619387145114</v>
      </c>
      <c r="I26" s="1196">
        <f t="shared" si="11"/>
        <v>0.61881402543199582</v>
      </c>
      <c r="J26" s="1196">
        <f t="shared" si="12"/>
        <v>0.62648734120836602</v>
      </c>
      <c r="K26" s="1196">
        <f t="shared" si="13"/>
        <v>0</v>
      </c>
      <c r="L26" s="1196">
        <f t="shared" si="14"/>
        <v>0</v>
      </c>
      <c r="M26" s="1197">
        <f t="shared" si="15"/>
        <v>0</v>
      </c>
      <c r="N26" s="1195">
        <f>IF('Mkt Pen Veh-Mi'!N25=0,$N$5,($N$5-SUMPRODUCT(O26:S26,'Mkt Pen Veh-Mi'!O25:S25))/'Mkt Pen Veh-Mi'!N25)</f>
        <v>0.39923566666700477</v>
      </c>
      <c r="O26" s="1196">
        <f t="shared" si="16"/>
        <v>0.39929533575735437</v>
      </c>
      <c r="P26" s="1196">
        <f t="shared" si="17"/>
        <v>0.40923019205165662</v>
      </c>
      <c r="Q26" s="1196">
        <f t="shared" si="18"/>
        <v>0.35307088918220891</v>
      </c>
      <c r="R26" s="1196">
        <f t="shared" si="19"/>
        <v>0</v>
      </c>
      <c r="S26" s="1197">
        <f t="shared" si="20"/>
        <v>0</v>
      </c>
    </row>
    <row r="27" spans="1:19" x14ac:dyDescent="0.2">
      <c r="A27" s="1192">
        <v>2024</v>
      </c>
      <c r="B27" s="1195">
        <f>IF('Mkt Pen Veh-Mi'!B26=0,$B$5,($B$5-SUMPRODUCT(C27:G27,'Mkt Pen Veh-Mi'!C26:G26))/'Mkt Pen Veh-Mi'!B26)</f>
        <v>0.23063051727875197</v>
      </c>
      <c r="C27" s="1196">
        <f t="shared" si="6"/>
        <v>0.2387181134209243</v>
      </c>
      <c r="D27" s="1196">
        <f t="shared" si="7"/>
        <v>0.21576938926781783</v>
      </c>
      <c r="E27" s="1196">
        <f t="shared" si="8"/>
        <v>0</v>
      </c>
      <c r="F27" s="1196">
        <f t="shared" si="9"/>
        <v>0</v>
      </c>
      <c r="G27" s="1197">
        <f t="shared" si="10"/>
        <v>0</v>
      </c>
      <c r="H27" s="1195">
        <f>IF('Mkt Pen Veh-Mi'!H26=0,$H$5,($H$5-SUMPRODUCT(I27:M27,'Mkt Pen Veh-Mi'!I26:M26))/'Mkt Pen Veh-Mi'!H26)</f>
        <v>0.61129930390216158</v>
      </c>
      <c r="I27" s="1196">
        <f t="shared" si="11"/>
        <v>0.61940995304833013</v>
      </c>
      <c r="J27" s="1196">
        <f t="shared" si="12"/>
        <v>0.62400144635182153</v>
      </c>
      <c r="K27" s="1196">
        <f t="shared" si="13"/>
        <v>0</v>
      </c>
      <c r="L27" s="1196">
        <f t="shared" si="14"/>
        <v>0</v>
      </c>
      <c r="M27" s="1197">
        <f t="shared" si="15"/>
        <v>0</v>
      </c>
      <c r="N27" s="1195">
        <f>IF('Mkt Pen Veh-Mi'!N26=0,$N$5,($N$5-SUMPRODUCT(O27:S27,'Mkt Pen Veh-Mi'!O26:S26))/'Mkt Pen Veh-Mi'!N26)</f>
        <v>0.39922236229771424</v>
      </c>
      <c r="O27" s="1196">
        <f t="shared" si="16"/>
        <v>0.39625178120614929</v>
      </c>
      <c r="P27" s="1196">
        <f t="shared" si="17"/>
        <v>0.40919376277790992</v>
      </c>
      <c r="Q27" s="1196">
        <f t="shared" si="18"/>
        <v>0.37669043859550827</v>
      </c>
      <c r="R27" s="1196">
        <f t="shared" si="19"/>
        <v>0</v>
      </c>
      <c r="S27" s="1197">
        <f t="shared" si="20"/>
        <v>0</v>
      </c>
    </row>
    <row r="28" spans="1:19" x14ac:dyDescent="0.2">
      <c r="A28" s="1198">
        <v>2025</v>
      </c>
      <c r="B28" s="1199">
        <f>IF('Mkt Pen Veh-Mi'!B27=0,$B$5,($B$5-SUMPRODUCT(C28:G28,'Mkt Pen Veh-Mi'!C27:G27))/'Mkt Pen Veh-Mi'!B27)</f>
        <v>0.23020863148363349</v>
      </c>
      <c r="C28" s="1200">
        <f t="shared" si="6"/>
        <v>0.23963340363545738</v>
      </c>
      <c r="D28" s="1200">
        <f t="shared" si="7"/>
        <v>0.21834594379859565</v>
      </c>
      <c r="E28" s="1200">
        <f t="shared" si="8"/>
        <v>0</v>
      </c>
      <c r="F28" s="1200">
        <f t="shared" si="9"/>
        <v>0</v>
      </c>
      <c r="G28" s="1201">
        <f t="shared" si="10"/>
        <v>0</v>
      </c>
      <c r="H28" s="1199">
        <f>IF('Mkt Pen Veh-Mi'!H27=0,$H$5,($H$5-SUMPRODUCT(I28:M28,'Mkt Pen Veh-Mi'!I27:M27))/'Mkt Pen Veh-Mi'!H27)</f>
        <v>0.60496046250110891</v>
      </c>
      <c r="I28" s="1200">
        <f t="shared" si="11"/>
        <v>0.62618895713836031</v>
      </c>
      <c r="J28" s="1200">
        <f t="shared" si="12"/>
        <v>0.62715604596539309</v>
      </c>
      <c r="K28" s="1200">
        <f t="shared" si="13"/>
        <v>0</v>
      </c>
      <c r="L28" s="1200">
        <f t="shared" si="14"/>
        <v>0</v>
      </c>
      <c r="M28" s="1201">
        <f t="shared" si="15"/>
        <v>0</v>
      </c>
      <c r="N28" s="1199">
        <f>IF('Mkt Pen Veh-Mi'!N27=0,$N$5,($N$5-SUMPRODUCT(O28:S28,'Mkt Pen Veh-Mi'!O27:S27))/'Mkt Pen Veh-Mi'!N27)</f>
        <v>0.39928999956144412</v>
      </c>
      <c r="O28" s="1200">
        <f t="shared" si="16"/>
        <v>0.39114973968588401</v>
      </c>
      <c r="P28" s="1200">
        <f t="shared" si="17"/>
        <v>0.41117750265704106</v>
      </c>
      <c r="Q28" s="1200">
        <f t="shared" si="18"/>
        <v>0.38568164242911052</v>
      </c>
      <c r="R28" s="1200">
        <f t="shared" si="19"/>
        <v>0</v>
      </c>
      <c r="S28" s="1201">
        <f t="shared" si="20"/>
        <v>0</v>
      </c>
    </row>
    <row r="29" spans="1:19" x14ac:dyDescent="0.2">
      <c r="A29" s="1192">
        <v>2026</v>
      </c>
      <c r="B29" s="1202">
        <f>IF('Mkt Pen Veh-Mi'!B28=0,$B$5,($B$5-SUMPRODUCT(C29:G29,'Mkt Pen Veh-Mi'!C28:G28))/'Mkt Pen Veh-Mi'!B28)</f>
        <v>0.23132588409183796</v>
      </c>
      <c r="C29" s="1203">
        <f t="shared" si="6"/>
        <v>0.23995640806586224</v>
      </c>
      <c r="D29" s="1203">
        <f t="shared" si="7"/>
        <v>0.21496192876793715</v>
      </c>
      <c r="E29" s="1203">
        <f t="shared" si="8"/>
        <v>0</v>
      </c>
      <c r="F29" s="1203">
        <f t="shared" si="9"/>
        <v>0</v>
      </c>
      <c r="G29" s="1204">
        <f t="shared" si="10"/>
        <v>0</v>
      </c>
      <c r="H29" s="1202">
        <f>IF('Mkt Pen Veh-Mi'!H28=0,$H$5,($H$5-SUMPRODUCT(I29:M29,'Mkt Pen Veh-Mi'!I28:M28))/'Mkt Pen Veh-Mi'!H28)</f>
        <v>0.60447880478251936</v>
      </c>
      <c r="I29" s="1203">
        <f t="shared" si="11"/>
        <v>0.62036118105328464</v>
      </c>
      <c r="J29" s="1203">
        <f t="shared" si="12"/>
        <v>0.62338945409342339</v>
      </c>
      <c r="K29" s="1203">
        <f t="shared" si="13"/>
        <v>0</v>
      </c>
      <c r="L29" s="1203">
        <f t="shared" si="14"/>
        <v>0</v>
      </c>
      <c r="M29" s="1204">
        <f t="shared" si="15"/>
        <v>0</v>
      </c>
      <c r="N29" s="1202">
        <f>IF('Mkt Pen Veh-Mi'!N28=0,$N$5,($N$5-SUMPRODUCT(O29:S29,'Mkt Pen Veh-Mi'!O28:S28))/'Mkt Pen Veh-Mi'!N28)</f>
        <v>0.39969985181908479</v>
      </c>
      <c r="O29" s="1203">
        <f t="shared" si="16"/>
        <v>0.40182574936577198</v>
      </c>
      <c r="P29" s="1203">
        <f t="shared" si="17"/>
        <v>0.39780983828984473</v>
      </c>
      <c r="Q29" s="1203">
        <f t="shared" si="18"/>
        <v>0.39439874250149515</v>
      </c>
      <c r="R29" s="1203">
        <f t="shared" si="19"/>
        <v>0</v>
      </c>
      <c r="S29" s="1204">
        <f t="shared" si="20"/>
        <v>0</v>
      </c>
    </row>
    <row r="30" spans="1:19" x14ac:dyDescent="0.2">
      <c r="A30" s="1192">
        <v>2027</v>
      </c>
      <c r="B30" s="1195">
        <f>IF('Mkt Pen Veh-Mi'!B29=0,$B$5,($B$5-SUMPRODUCT(C30:G30,'Mkt Pen Veh-Mi'!C29:G29))/'Mkt Pen Veh-Mi'!B29)</f>
        <v>0.23266381558921728</v>
      </c>
      <c r="C30" s="1196">
        <f t="shared" si="6"/>
        <v>0.23925095466069024</v>
      </c>
      <c r="D30" s="1196">
        <f t="shared" si="7"/>
        <v>0.21136390124728144</v>
      </c>
      <c r="E30" s="1196">
        <f t="shared" si="8"/>
        <v>0</v>
      </c>
      <c r="F30" s="1196">
        <f t="shared" si="9"/>
        <v>0</v>
      </c>
      <c r="G30" s="1197">
        <f t="shared" si="10"/>
        <v>0</v>
      </c>
      <c r="H30" s="1195">
        <f>IF('Mkt Pen Veh-Mi'!H29=0,$H$5,($H$5-SUMPRODUCT(I30:M30,'Mkt Pen Veh-Mi'!I29:M29))/'Mkt Pen Veh-Mi'!H29)</f>
        <v>0.60182648482328105</v>
      </c>
      <c r="I30" s="1196">
        <f t="shared" si="11"/>
        <v>0.62079191256689581</v>
      </c>
      <c r="J30" s="1196">
        <f t="shared" si="12"/>
        <v>0.62154477719450751</v>
      </c>
      <c r="K30" s="1196">
        <f t="shared" si="13"/>
        <v>0</v>
      </c>
      <c r="L30" s="1196">
        <f t="shared" si="14"/>
        <v>0</v>
      </c>
      <c r="M30" s="1197">
        <f t="shared" si="15"/>
        <v>0</v>
      </c>
      <c r="N30" s="1195">
        <f>IF('Mkt Pen Veh-Mi'!N29=0,$N$5,($N$5-SUMPRODUCT(O30:S30,'Mkt Pen Veh-Mi'!O29:S29))/'Mkt Pen Veh-Mi'!N29)</f>
        <v>0.3974987760889841</v>
      </c>
      <c r="O30" s="1196">
        <f t="shared" si="16"/>
        <v>0.40503947078112862</v>
      </c>
      <c r="P30" s="1196">
        <f t="shared" si="17"/>
        <v>0.40389811612654664</v>
      </c>
      <c r="Q30" s="1196">
        <f t="shared" si="18"/>
        <v>0.39392645417792743</v>
      </c>
      <c r="R30" s="1196">
        <f t="shared" si="19"/>
        <v>0.23048370281811492</v>
      </c>
      <c r="S30" s="1197">
        <f t="shared" si="20"/>
        <v>0</v>
      </c>
    </row>
    <row r="31" spans="1:19" x14ac:dyDescent="0.2">
      <c r="A31" s="1192">
        <v>2028</v>
      </c>
      <c r="B31" s="1195">
        <f>IF('Mkt Pen Veh-Mi'!B30=0,$B$5,($B$5-SUMPRODUCT(C31:G31,'Mkt Pen Veh-Mi'!C30:G30))/'Mkt Pen Veh-Mi'!B30)</f>
        <v>0.2328833653117349</v>
      </c>
      <c r="C31" s="1196">
        <f t="shared" si="6"/>
        <v>0.24100501154620177</v>
      </c>
      <c r="D31" s="1196">
        <f t="shared" si="7"/>
        <v>0.2114619081265145</v>
      </c>
      <c r="E31" s="1196">
        <f t="shared" si="8"/>
        <v>0</v>
      </c>
      <c r="F31" s="1196">
        <f t="shared" si="9"/>
        <v>0</v>
      </c>
      <c r="G31" s="1197">
        <f t="shared" si="10"/>
        <v>0</v>
      </c>
      <c r="H31" s="1195">
        <f>IF('Mkt Pen Veh-Mi'!H30=0,$H$5,($H$5-SUMPRODUCT(I31:M31,'Mkt Pen Veh-Mi'!I30:M30))/'Mkt Pen Veh-Mi'!H30)</f>
        <v>0.59648142693806583</v>
      </c>
      <c r="I31" s="1196">
        <f t="shared" si="11"/>
        <v>0.62311663809680207</v>
      </c>
      <c r="J31" s="1196">
        <f t="shared" si="12"/>
        <v>0.62046481270739584</v>
      </c>
      <c r="K31" s="1196">
        <f t="shared" si="13"/>
        <v>0</v>
      </c>
      <c r="L31" s="1196">
        <f t="shared" si="14"/>
        <v>0</v>
      </c>
      <c r="M31" s="1197">
        <f t="shared" si="15"/>
        <v>0</v>
      </c>
      <c r="N31" s="1195">
        <f>IF('Mkt Pen Veh-Mi'!N30=0,$N$5,($N$5-SUMPRODUCT(O31:S31,'Mkt Pen Veh-Mi'!O30:S30))/'Mkt Pen Veh-Mi'!N30)</f>
        <v>0.39777949117065226</v>
      </c>
      <c r="O31" s="1196">
        <f t="shared" si="16"/>
        <v>0.40076136925732203</v>
      </c>
      <c r="P31" s="1196">
        <f t="shared" si="17"/>
        <v>0.40139646017112618</v>
      </c>
      <c r="Q31" s="1196">
        <f t="shared" si="18"/>
        <v>0.40194286813491464</v>
      </c>
      <c r="R31" s="1196">
        <f t="shared" si="19"/>
        <v>0.34217762585843176</v>
      </c>
      <c r="S31" s="1197">
        <f t="shared" si="20"/>
        <v>0</v>
      </c>
    </row>
    <row r="32" spans="1:19" x14ac:dyDescent="0.2">
      <c r="A32" s="1192">
        <v>2029</v>
      </c>
      <c r="B32" s="1195">
        <f>IF('Mkt Pen Veh-Mi'!B31=0,$B$5,($B$5-SUMPRODUCT(C32:G32,'Mkt Pen Veh-Mi'!C31:G31))/'Mkt Pen Veh-Mi'!B31)</f>
        <v>0.23205610699924503</v>
      </c>
      <c r="C32" s="1196">
        <f t="shared" si="6"/>
        <v>0.24020491703244692</v>
      </c>
      <c r="D32" s="1196">
        <f t="shared" si="7"/>
        <v>0.21300331414343648</v>
      </c>
      <c r="E32" s="1196">
        <f t="shared" si="8"/>
        <v>0</v>
      </c>
      <c r="F32" s="1196">
        <f t="shared" si="9"/>
        <v>0</v>
      </c>
      <c r="G32" s="1197">
        <f t="shared" si="10"/>
        <v>0</v>
      </c>
      <c r="H32" s="1195">
        <f>IF('Mkt Pen Veh-Mi'!H31=0,$H$5,($H$5-SUMPRODUCT(I32:M32,'Mkt Pen Veh-Mi'!I31:M31))/'Mkt Pen Veh-Mi'!H31)</f>
        <v>0.59179834377647</v>
      </c>
      <c r="I32" s="1196">
        <f t="shared" si="11"/>
        <v>0.62381762876836122</v>
      </c>
      <c r="J32" s="1196">
        <f t="shared" si="12"/>
        <v>0.62128032076242701</v>
      </c>
      <c r="K32" s="1196">
        <f t="shared" si="13"/>
        <v>0</v>
      </c>
      <c r="L32" s="1196">
        <f t="shared" si="14"/>
        <v>0</v>
      </c>
      <c r="M32" s="1197">
        <f t="shared" si="15"/>
        <v>0</v>
      </c>
      <c r="N32" s="1195">
        <f>IF('Mkt Pen Veh-Mi'!N31=0,$N$5,($N$5-SUMPRODUCT(O32:S32,'Mkt Pen Veh-Mi'!O31:S31))/'Mkt Pen Veh-Mi'!N31)</f>
        <v>0.39498491223701887</v>
      </c>
      <c r="O32" s="1196">
        <f t="shared" si="16"/>
        <v>0.40311805493464237</v>
      </c>
      <c r="P32" s="1196">
        <f t="shared" si="17"/>
        <v>0.40528170754576481</v>
      </c>
      <c r="Q32" s="1196">
        <f t="shared" si="18"/>
        <v>0.40499080423532352</v>
      </c>
      <c r="R32" s="1196">
        <f t="shared" si="19"/>
        <v>0.26329812703815592</v>
      </c>
      <c r="S32" s="1197">
        <f t="shared" si="20"/>
        <v>0</v>
      </c>
    </row>
    <row r="33" spans="1:19" x14ac:dyDescent="0.2">
      <c r="A33" s="1198">
        <v>2030</v>
      </c>
      <c r="B33" s="1199">
        <f>IF('Mkt Pen Veh-Mi'!B32=0,$B$5,($B$5-SUMPRODUCT(C33:G33,'Mkt Pen Veh-Mi'!C32:G32))/'Mkt Pen Veh-Mi'!B32)</f>
        <v>0.2325368127144869</v>
      </c>
      <c r="C33" s="1200">
        <f t="shared" si="6"/>
        <v>0.24121183443558067</v>
      </c>
      <c r="D33" s="1200">
        <f t="shared" si="7"/>
        <v>0.21220285344796883</v>
      </c>
      <c r="E33" s="1200">
        <f t="shared" si="8"/>
        <v>0</v>
      </c>
      <c r="F33" s="1200">
        <f t="shared" si="9"/>
        <v>0</v>
      </c>
      <c r="G33" s="1201">
        <f t="shared" si="10"/>
        <v>0</v>
      </c>
      <c r="H33" s="1199">
        <f>IF('Mkt Pen Veh-Mi'!H32=0,$H$5,($H$5-SUMPRODUCT(I33:M33,'Mkt Pen Veh-Mi'!I32:M32))/'Mkt Pen Veh-Mi'!H32)</f>
        <v>0.5956133335417596</v>
      </c>
      <c r="I33" s="1200">
        <f t="shared" si="11"/>
        <v>0.61944004403813868</v>
      </c>
      <c r="J33" s="1200">
        <f t="shared" si="12"/>
        <v>0.62109772672887753</v>
      </c>
      <c r="K33" s="1200">
        <f t="shared" si="13"/>
        <v>0</v>
      </c>
      <c r="L33" s="1200">
        <f t="shared" si="14"/>
        <v>0</v>
      </c>
      <c r="M33" s="1201">
        <f t="shared" si="15"/>
        <v>0</v>
      </c>
      <c r="N33" s="1199">
        <f>IF('Mkt Pen Veh-Mi'!N32=0,$N$5,($N$5-SUMPRODUCT(O33:S33,'Mkt Pen Veh-Mi'!O32:S32))/'Mkt Pen Veh-Mi'!N32)</f>
        <v>0.39327984324354387</v>
      </c>
      <c r="O33" s="1200">
        <f t="shared" si="16"/>
        <v>0.40873893043027898</v>
      </c>
      <c r="P33" s="1200">
        <f t="shared" si="17"/>
        <v>0.40725960744785328</v>
      </c>
      <c r="Q33" s="1200">
        <f t="shared" si="18"/>
        <v>0.402597888716204</v>
      </c>
      <c r="R33" s="1200">
        <f t="shared" si="19"/>
        <v>0.22645555583681812</v>
      </c>
      <c r="S33" s="1201">
        <f t="shared" si="20"/>
        <v>0</v>
      </c>
    </row>
    <row r="34" spans="1:19" x14ac:dyDescent="0.2">
      <c r="A34" s="1192">
        <v>2031</v>
      </c>
      <c r="B34" s="1202">
        <f>IF('Mkt Pen Veh-Mi'!B33=0,$B$5,($B$5-SUMPRODUCT(C34:G34,'Mkt Pen Veh-Mi'!C33:G33))/'Mkt Pen Veh-Mi'!B33)</f>
        <v>0.23299118766940238</v>
      </c>
      <c r="C34" s="1203">
        <f t="shared" si="6"/>
        <v>0.24168804319039028</v>
      </c>
      <c r="D34" s="1203">
        <f t="shared" si="7"/>
        <v>0.2113430359573415</v>
      </c>
      <c r="E34" s="1203">
        <f t="shared" si="8"/>
        <v>0</v>
      </c>
      <c r="F34" s="1203">
        <f t="shared" si="9"/>
        <v>0</v>
      </c>
      <c r="G34" s="1204">
        <f t="shared" si="10"/>
        <v>0</v>
      </c>
      <c r="H34" s="1202">
        <f>IF('Mkt Pen Veh-Mi'!H33=0,$H$5,($H$5-SUMPRODUCT(I34:M34,'Mkt Pen Veh-Mi'!I33:M33))/'Mkt Pen Veh-Mi'!H33)</f>
        <v>0.59583106677124942</v>
      </c>
      <c r="I34" s="1203">
        <f t="shared" si="11"/>
        <v>0.62014916185628643</v>
      </c>
      <c r="J34" s="1203">
        <f t="shared" si="12"/>
        <v>0.62014916185628632</v>
      </c>
      <c r="K34" s="1203">
        <f t="shared" si="13"/>
        <v>0</v>
      </c>
      <c r="L34" s="1203">
        <f t="shared" si="14"/>
        <v>0</v>
      </c>
      <c r="M34" s="1204">
        <f t="shared" si="15"/>
        <v>0</v>
      </c>
      <c r="N34" s="1202">
        <f>IF('Mkt Pen Veh-Mi'!N33=0,$N$5,($N$5-SUMPRODUCT(O34:S34,'Mkt Pen Veh-Mi'!O33:S33))/'Mkt Pen Veh-Mi'!N33)</f>
        <v>0.39341978267649186</v>
      </c>
      <c r="O34" s="1203">
        <f t="shared" si="16"/>
        <v>0.40339680113595061</v>
      </c>
      <c r="P34" s="1203">
        <f t="shared" si="17"/>
        <v>0.40926110021545198</v>
      </c>
      <c r="Q34" s="1203">
        <f t="shared" si="18"/>
        <v>0.40718220990036436</v>
      </c>
      <c r="R34" s="1203">
        <f t="shared" si="19"/>
        <v>0.23544145609890263</v>
      </c>
      <c r="S34" s="1204">
        <f t="shared" si="20"/>
        <v>0</v>
      </c>
    </row>
    <row r="35" spans="1:19" x14ac:dyDescent="0.2">
      <c r="A35" s="1192">
        <v>2032</v>
      </c>
      <c r="B35" s="1195">
        <f>IF('Mkt Pen Veh-Mi'!B34=0,$B$5,($B$5-SUMPRODUCT(C35:G35,'Mkt Pen Veh-Mi'!C34:G34))/'Mkt Pen Veh-Mi'!B34)</f>
        <v>0.2318928847240504</v>
      </c>
      <c r="C35" s="1196">
        <f t="shared" si="6"/>
        <v>0.2397325513962528</v>
      </c>
      <c r="D35" s="1196">
        <f t="shared" si="7"/>
        <v>0.21620766320480281</v>
      </c>
      <c r="E35" s="1196">
        <f t="shared" si="8"/>
        <v>0</v>
      </c>
      <c r="F35" s="1196">
        <f t="shared" si="9"/>
        <v>0</v>
      </c>
      <c r="G35" s="1197">
        <f t="shared" si="10"/>
        <v>0</v>
      </c>
      <c r="H35" s="1195">
        <f>IF('Mkt Pen Veh-Mi'!H34=0,$H$5,($H$5-SUMPRODUCT(I35:M35,'Mkt Pen Veh-Mi'!I34:M34))/'Mkt Pen Veh-Mi'!H34)</f>
        <v>0.60102524775762556</v>
      </c>
      <c r="I35" s="1196">
        <f t="shared" si="11"/>
        <v>0.61801373155658201</v>
      </c>
      <c r="J35" s="1196">
        <f t="shared" si="12"/>
        <v>0.619106756571975</v>
      </c>
      <c r="K35" s="1196">
        <f t="shared" si="13"/>
        <v>0.37999299827820182</v>
      </c>
      <c r="L35" s="1196">
        <f t="shared" si="14"/>
        <v>0</v>
      </c>
      <c r="M35" s="1197">
        <f t="shared" si="15"/>
        <v>0</v>
      </c>
      <c r="N35" s="1195">
        <f>IF('Mkt Pen Veh-Mi'!N34=0,$N$5,($N$5-SUMPRODUCT(O35:S35,'Mkt Pen Veh-Mi'!O34:S34))/'Mkt Pen Veh-Mi'!N34)</f>
        <v>0.39931751410826127</v>
      </c>
      <c r="O35" s="1196">
        <f t="shared" si="16"/>
        <v>0.40260316430078852</v>
      </c>
      <c r="P35" s="1196">
        <f t="shared" si="17"/>
        <v>0.39856988142370831</v>
      </c>
      <c r="Q35" s="1196">
        <f t="shared" si="18"/>
        <v>0.40517836922188993</v>
      </c>
      <c r="R35" s="1196">
        <f t="shared" si="19"/>
        <v>0.22982209548185567</v>
      </c>
      <c r="S35" s="1197">
        <f t="shared" si="20"/>
        <v>0</v>
      </c>
    </row>
    <row r="36" spans="1:19" x14ac:dyDescent="0.2">
      <c r="A36" s="1192">
        <v>2033</v>
      </c>
      <c r="B36" s="1195">
        <f>IF('Mkt Pen Veh-Mi'!B35=0,$B$5,($B$5-SUMPRODUCT(C36:G36,'Mkt Pen Veh-Mi'!C35:G35))/'Mkt Pen Veh-Mi'!B35)</f>
        <v>0.23875154645474539</v>
      </c>
      <c r="C36" s="1196">
        <f t="shared" si="6"/>
        <v>0.23836102530975553</v>
      </c>
      <c r="D36" s="1196">
        <f t="shared" si="7"/>
        <v>0.20776550327572824</v>
      </c>
      <c r="E36" s="1196">
        <f t="shared" si="8"/>
        <v>0</v>
      </c>
      <c r="F36" s="1196">
        <f t="shared" si="9"/>
        <v>0</v>
      </c>
      <c r="G36" s="1197">
        <f t="shared" si="10"/>
        <v>0</v>
      </c>
      <c r="H36" s="1195">
        <f>IF('Mkt Pen Veh-Mi'!H35=0,$H$5,($H$5-SUMPRODUCT(I36:M36,'Mkt Pen Veh-Mi'!I35:M35))/'Mkt Pen Veh-Mi'!H35)</f>
        <v>0.59554112544141802</v>
      </c>
      <c r="I36" s="1196">
        <f t="shared" si="11"/>
        <v>0.62019254745390517</v>
      </c>
      <c r="J36" s="1196">
        <f t="shared" si="12"/>
        <v>0.62019254745390517</v>
      </c>
      <c r="K36" s="1196">
        <f t="shared" si="13"/>
        <v>0.54124280899733934</v>
      </c>
      <c r="L36" s="1196">
        <f t="shared" si="14"/>
        <v>0</v>
      </c>
      <c r="M36" s="1197">
        <f t="shared" si="15"/>
        <v>0</v>
      </c>
      <c r="N36" s="1195">
        <f>IF('Mkt Pen Veh-Mi'!N35=0,$N$5,($N$5-SUMPRODUCT(O36:S36,'Mkt Pen Veh-Mi'!O35:S35))/'Mkt Pen Veh-Mi'!N35)</f>
        <v>0.39543319323571191</v>
      </c>
      <c r="O36" s="1196">
        <f t="shared" si="16"/>
        <v>0.40574610123971921</v>
      </c>
      <c r="P36" s="1196">
        <f t="shared" si="17"/>
        <v>0.40609346901195059</v>
      </c>
      <c r="Q36" s="1196">
        <f t="shared" si="18"/>
        <v>0.40523491226334574</v>
      </c>
      <c r="R36" s="1196">
        <f t="shared" si="19"/>
        <v>0.24599703585391799</v>
      </c>
      <c r="S36" s="1197">
        <f t="shared" si="20"/>
        <v>0</v>
      </c>
    </row>
    <row r="37" spans="1:19" x14ac:dyDescent="0.2">
      <c r="A37" s="1192">
        <v>2034</v>
      </c>
      <c r="B37" s="1195">
        <f>IF('Mkt Pen Veh-Mi'!B36=0,$B$5,($B$5-SUMPRODUCT(C37:G37,'Mkt Pen Veh-Mi'!C36:G36))/'Mkt Pen Veh-Mi'!B36)</f>
        <v>0.23765872386667919</v>
      </c>
      <c r="C37" s="1196">
        <f t="shared" si="6"/>
        <v>0.237744975466397</v>
      </c>
      <c r="D37" s="1196">
        <f t="shared" si="7"/>
        <v>0.2108402299729224</v>
      </c>
      <c r="E37" s="1196">
        <f t="shared" si="8"/>
        <v>0</v>
      </c>
      <c r="F37" s="1196">
        <f t="shared" si="9"/>
        <v>0</v>
      </c>
      <c r="G37" s="1197">
        <f t="shared" si="10"/>
        <v>0</v>
      </c>
      <c r="H37" s="1195">
        <f>IF('Mkt Pen Veh-Mi'!H36=0,$H$5,($H$5-SUMPRODUCT(I37:M37,'Mkt Pen Veh-Mi'!I36:M36))/'Mkt Pen Veh-Mi'!H36)</f>
        <v>0.59553430792170359</v>
      </c>
      <c r="I37" s="1196">
        <f t="shared" si="11"/>
        <v>0.62006991434464676</v>
      </c>
      <c r="J37" s="1196">
        <f t="shared" si="12"/>
        <v>0.62006991434464676</v>
      </c>
      <c r="K37" s="1196">
        <f t="shared" si="13"/>
        <v>0.60184868378642453</v>
      </c>
      <c r="L37" s="1196">
        <f t="shared" si="14"/>
        <v>0</v>
      </c>
      <c r="M37" s="1197">
        <f t="shared" si="15"/>
        <v>0</v>
      </c>
      <c r="N37" s="1195">
        <f>IF('Mkt Pen Veh-Mi'!N36=0,$N$5,($N$5-SUMPRODUCT(O37:S37,'Mkt Pen Veh-Mi'!O36:S36))/'Mkt Pen Veh-Mi'!N36)</f>
        <v>0.39747205069174879</v>
      </c>
      <c r="O37" s="1196">
        <f t="shared" si="16"/>
        <v>0.40406549235252087</v>
      </c>
      <c r="P37" s="1196">
        <f t="shared" si="17"/>
        <v>0.4036047471044622</v>
      </c>
      <c r="Q37" s="1196">
        <f t="shared" si="18"/>
        <v>0.40658449712292488</v>
      </c>
      <c r="R37" s="1196">
        <f t="shared" si="19"/>
        <v>0.24910073338927397</v>
      </c>
      <c r="S37" s="1197">
        <f t="shared" si="20"/>
        <v>0</v>
      </c>
    </row>
    <row r="38" spans="1:19" x14ac:dyDescent="0.2">
      <c r="A38" s="1198">
        <v>2035</v>
      </c>
      <c r="B38" s="1199">
        <f>IF('Mkt Pen Veh-Mi'!B37=0,$B$5,($B$5-SUMPRODUCT(C38:G38,'Mkt Pen Veh-Mi'!C37:G37))/'Mkt Pen Veh-Mi'!B37)</f>
        <v>0.23567996874223934</v>
      </c>
      <c r="C38" s="1200">
        <f t="shared" si="6"/>
        <v>0.23820107378041525</v>
      </c>
      <c r="D38" s="1200">
        <f t="shared" si="7"/>
        <v>0.21413330679795953</v>
      </c>
      <c r="E38" s="1200">
        <f t="shared" si="8"/>
        <v>0</v>
      </c>
      <c r="F38" s="1200">
        <f t="shared" si="9"/>
        <v>0</v>
      </c>
      <c r="G38" s="1201">
        <f t="shared" si="10"/>
        <v>0</v>
      </c>
      <c r="H38" s="1199">
        <f>IF('Mkt Pen Veh-Mi'!H37=0,$H$5,($H$5-SUMPRODUCT(I38:M38,'Mkt Pen Veh-Mi'!I37:M37))/'Mkt Pen Veh-Mi'!H37)</f>
        <v>0.59595634728121261</v>
      </c>
      <c r="I38" s="1200">
        <f t="shared" si="11"/>
        <v>0.61937278519233363</v>
      </c>
      <c r="J38" s="1200">
        <f t="shared" si="12"/>
        <v>0.61937278519233363</v>
      </c>
      <c r="K38" s="1200">
        <f t="shared" si="13"/>
        <v>0.62656484773256949</v>
      </c>
      <c r="L38" s="1200">
        <f t="shared" si="14"/>
        <v>0</v>
      </c>
      <c r="M38" s="1201">
        <f t="shared" si="15"/>
        <v>0</v>
      </c>
      <c r="N38" s="1199">
        <f>IF('Mkt Pen Veh-Mi'!N37=0,$N$5,($N$5-SUMPRODUCT(O38:S38,'Mkt Pen Veh-Mi'!O37:S37))/'Mkt Pen Veh-Mi'!N37)</f>
        <v>0.3974763333470952</v>
      </c>
      <c r="O38" s="1200">
        <f t="shared" si="16"/>
        <v>0.40877439333430521</v>
      </c>
      <c r="P38" s="1200">
        <f t="shared" si="17"/>
        <v>0.40246361712386269</v>
      </c>
      <c r="Q38" s="1200">
        <f t="shared" si="18"/>
        <v>0.40627543506594133</v>
      </c>
      <c r="R38" s="1200">
        <f t="shared" si="19"/>
        <v>0.25877310155535488</v>
      </c>
      <c r="S38" s="1201">
        <f t="shared" si="20"/>
        <v>0</v>
      </c>
    </row>
    <row r="39" spans="1:19" x14ac:dyDescent="0.2">
      <c r="A39" s="1192">
        <v>2036</v>
      </c>
      <c r="B39" s="1202">
        <f>IF('Mkt Pen Veh-Mi'!B38=0,$B$5,($B$5-SUMPRODUCT(C39:G39,'Mkt Pen Veh-Mi'!C38:G38))/'Mkt Pen Veh-Mi'!B38)</f>
        <v>0.24028745677616672</v>
      </c>
      <c r="C39" s="1203">
        <f t="shared" si="6"/>
        <v>0.25140561629812891</v>
      </c>
      <c r="D39" s="1203">
        <f t="shared" si="7"/>
        <v>0.20614224403563147</v>
      </c>
      <c r="E39" s="1203">
        <f t="shared" si="8"/>
        <v>0</v>
      </c>
      <c r="F39" s="1203">
        <f t="shared" si="9"/>
        <v>0</v>
      </c>
      <c r="G39" s="1204">
        <f t="shared" si="10"/>
        <v>0</v>
      </c>
      <c r="H39" s="1202">
        <f>IF('Mkt Pen Veh-Mi'!H38=0,$H$5,($H$5-SUMPRODUCT(I39:M39,'Mkt Pen Veh-Mi'!I38:M38))/'Mkt Pen Veh-Mi'!H38)</f>
        <v>0.60197942856930176</v>
      </c>
      <c r="I39" s="1203">
        <f t="shared" si="11"/>
        <v>0.61694261746944545</v>
      </c>
      <c r="J39" s="1203">
        <f t="shared" si="12"/>
        <v>0.61711318954716166</v>
      </c>
      <c r="K39" s="1203">
        <f t="shared" si="13"/>
        <v>0.63417380373910082</v>
      </c>
      <c r="L39" s="1203">
        <f t="shared" si="14"/>
        <v>0</v>
      </c>
      <c r="M39" s="1204">
        <f t="shared" si="15"/>
        <v>0</v>
      </c>
      <c r="N39" s="1202">
        <f>IF('Mkt Pen Veh-Mi'!N38=0,$N$5,($N$5-SUMPRODUCT(O39:S39,'Mkt Pen Veh-Mi'!O38:S38))/'Mkt Pen Veh-Mi'!N38)</f>
        <v>0.39515137072445128</v>
      </c>
      <c r="O39" s="1203">
        <f t="shared" si="16"/>
        <v>0.40489062209215704</v>
      </c>
      <c r="P39" s="1203">
        <f t="shared" si="17"/>
        <v>0.40836704749206365</v>
      </c>
      <c r="Q39" s="1203">
        <f t="shared" si="18"/>
        <v>0.4092712472810911</v>
      </c>
      <c r="R39" s="1203">
        <f t="shared" si="19"/>
        <v>0.26742412777015301</v>
      </c>
      <c r="S39" s="1204">
        <f t="shared" si="20"/>
        <v>0</v>
      </c>
    </row>
    <row r="40" spans="1:19" x14ac:dyDescent="0.2">
      <c r="A40" s="1192">
        <v>2037</v>
      </c>
      <c r="B40" s="1195">
        <f>IF('Mkt Pen Veh-Mi'!B39=0,$B$5,($B$5-SUMPRODUCT(C40:G40,'Mkt Pen Veh-Mi'!C39:G39))/'Mkt Pen Veh-Mi'!B39)</f>
        <v>0.24864519028071697</v>
      </c>
      <c r="C40" s="1196">
        <f t="shared" si="6"/>
        <v>0.22282523024833775</v>
      </c>
      <c r="D40" s="1196">
        <f t="shared" si="7"/>
        <v>0.21583311592028021</v>
      </c>
      <c r="E40" s="1196">
        <f t="shared" si="8"/>
        <v>0</v>
      </c>
      <c r="F40" s="1196">
        <f t="shared" si="9"/>
        <v>0</v>
      </c>
      <c r="G40" s="1197">
        <f t="shared" si="10"/>
        <v>0</v>
      </c>
      <c r="H40" s="1195">
        <f>IF('Mkt Pen Veh-Mi'!H39=0,$H$5,($H$5-SUMPRODUCT(I40:M40,'Mkt Pen Veh-Mi'!I39:M39))/'Mkt Pen Veh-Mi'!H39)</f>
        <v>0.59024495549530254</v>
      </c>
      <c r="I40" s="1196">
        <f t="shared" si="11"/>
        <v>0.62085922038629648</v>
      </c>
      <c r="J40" s="1196">
        <f t="shared" si="12"/>
        <v>0.61975784263161549</v>
      </c>
      <c r="K40" s="1196">
        <f t="shared" si="13"/>
        <v>0.6276992282216417</v>
      </c>
      <c r="L40" s="1196">
        <f t="shared" si="14"/>
        <v>0</v>
      </c>
      <c r="M40" s="1197">
        <f t="shared" si="15"/>
        <v>0</v>
      </c>
      <c r="N40" s="1195">
        <f>IF('Mkt Pen Veh-Mi'!N39=0,$N$5,($N$5-SUMPRODUCT(O40:S40,'Mkt Pen Veh-Mi'!O39:S39))/'Mkt Pen Veh-Mi'!N39)</f>
        <v>0.39480109856562079</v>
      </c>
      <c r="O40" s="1196">
        <f t="shared" si="16"/>
        <v>0.40641078456935742</v>
      </c>
      <c r="P40" s="1196">
        <f t="shared" si="17"/>
        <v>0.4098408385438882</v>
      </c>
      <c r="Q40" s="1196">
        <f t="shared" si="18"/>
        <v>0.40650814032694776</v>
      </c>
      <c r="R40" s="1196">
        <f t="shared" si="19"/>
        <v>0.26940598966730411</v>
      </c>
      <c r="S40" s="1197">
        <f t="shared" si="20"/>
        <v>0</v>
      </c>
    </row>
    <row r="41" spans="1:19" x14ac:dyDescent="0.2">
      <c r="A41" s="1192">
        <v>2038</v>
      </c>
      <c r="B41" s="1195">
        <f>IF('Mkt Pen Veh-Mi'!B40=0,$B$5,($B$5-SUMPRODUCT(C41:G41,'Mkt Pen Veh-Mi'!C40:G40))/'Mkt Pen Veh-Mi'!B40)</f>
        <v>0.25433556979125205</v>
      </c>
      <c r="C41" s="1196">
        <f t="shared" si="6"/>
        <v>0.21309855929968299</v>
      </c>
      <c r="D41" s="1196">
        <f t="shared" si="7"/>
        <v>0.21967093086358827</v>
      </c>
      <c r="E41" s="1196">
        <f t="shared" si="8"/>
        <v>0</v>
      </c>
      <c r="F41" s="1196">
        <f t="shared" si="9"/>
        <v>0</v>
      </c>
      <c r="G41" s="1197">
        <f t="shared" si="10"/>
        <v>0</v>
      </c>
      <c r="H41" s="1195">
        <f>IF('Mkt Pen Veh-Mi'!H40=0,$H$5,($H$5-SUMPRODUCT(I41:M41,'Mkt Pen Veh-Mi'!I40:M40))/'Mkt Pen Veh-Mi'!H40)</f>
        <v>0.59024478572642725</v>
      </c>
      <c r="I41" s="1196">
        <f t="shared" si="11"/>
        <v>0.62006709675846439</v>
      </c>
      <c r="J41" s="1196">
        <f t="shared" si="12"/>
        <v>0.62006709675846439</v>
      </c>
      <c r="K41" s="1196">
        <f t="shared" si="13"/>
        <v>0.62950565589764085</v>
      </c>
      <c r="L41" s="1196">
        <f t="shared" si="14"/>
        <v>0</v>
      </c>
      <c r="M41" s="1197">
        <f t="shared" si="15"/>
        <v>0</v>
      </c>
      <c r="N41" s="1195">
        <f>IF('Mkt Pen Veh-Mi'!N40=0,$N$5,($N$5-SUMPRODUCT(O41:S41,'Mkt Pen Veh-Mi'!O40:S40))/'Mkt Pen Veh-Mi'!N40)</f>
        <v>0.39479654702484818</v>
      </c>
      <c r="O41" s="1196">
        <f t="shared" si="16"/>
        <v>0.41241328420859158</v>
      </c>
      <c r="P41" s="1196">
        <f t="shared" si="17"/>
        <v>0.40515546764203614</v>
      </c>
      <c r="Q41" s="1196">
        <f t="shared" si="18"/>
        <v>0.40761471519495152</v>
      </c>
      <c r="R41" s="1196">
        <f t="shared" si="19"/>
        <v>0.2802717116879046</v>
      </c>
      <c r="S41" s="1197">
        <f t="shared" si="20"/>
        <v>0</v>
      </c>
    </row>
    <row r="42" spans="1:19" x14ac:dyDescent="0.2">
      <c r="A42" s="1192">
        <v>2039</v>
      </c>
      <c r="B42" s="1195">
        <f>IF('Mkt Pen Veh-Mi'!B41=0,$B$5,($B$5-SUMPRODUCT(C42:G42,'Mkt Pen Veh-Mi'!C41:G41))/'Mkt Pen Veh-Mi'!B41)</f>
        <v>0.26017310827920725</v>
      </c>
      <c r="C42" s="1196">
        <f t="shared" si="6"/>
        <v>0.21399143473708643</v>
      </c>
      <c r="D42" s="1196">
        <f t="shared" si="7"/>
        <v>0.21922393379449903</v>
      </c>
      <c r="E42" s="1196">
        <f t="shared" si="8"/>
        <v>0</v>
      </c>
      <c r="F42" s="1196">
        <f t="shared" si="9"/>
        <v>0</v>
      </c>
      <c r="G42" s="1197">
        <f t="shared" si="10"/>
        <v>0</v>
      </c>
      <c r="H42" s="1195">
        <f>IF('Mkt Pen Veh-Mi'!H41=0,$H$5,($H$5-SUMPRODUCT(I42:M42,'Mkt Pen Veh-Mi'!I41:M41))/'Mkt Pen Veh-Mi'!H41)</f>
        <v>0.59011140417559982</v>
      </c>
      <c r="I42" s="1196">
        <f t="shared" si="11"/>
        <v>0.62045842502552084</v>
      </c>
      <c r="J42" s="1196">
        <f t="shared" si="12"/>
        <v>0.62027307317753</v>
      </c>
      <c r="K42" s="1196">
        <f t="shared" si="13"/>
        <v>0.62485904309680718</v>
      </c>
      <c r="L42" s="1196">
        <f t="shared" si="14"/>
        <v>0</v>
      </c>
      <c r="M42" s="1197">
        <f t="shared" si="15"/>
        <v>0</v>
      </c>
      <c r="N42" s="1195">
        <f>IF('Mkt Pen Veh-Mi'!N41=0,$N$5,($N$5-SUMPRODUCT(O42:S42,'Mkt Pen Veh-Mi'!O41:S41))/'Mkt Pen Veh-Mi'!N41)</f>
        <v>0.39357336120732639</v>
      </c>
      <c r="O42" s="1196">
        <f t="shared" si="16"/>
        <v>0.40771189554795495</v>
      </c>
      <c r="P42" s="1196">
        <f t="shared" si="17"/>
        <v>0.40988954556805063</v>
      </c>
      <c r="Q42" s="1196">
        <f t="shared" si="18"/>
        <v>0.41098427843900465</v>
      </c>
      <c r="R42" s="1196">
        <f t="shared" si="19"/>
        <v>0.28756600270873484</v>
      </c>
      <c r="S42" s="1197">
        <f t="shared" si="20"/>
        <v>0</v>
      </c>
    </row>
    <row r="43" spans="1:19" x14ac:dyDescent="0.2">
      <c r="A43" s="1198">
        <v>2040</v>
      </c>
      <c r="B43" s="1199">
        <f>IF('Mkt Pen Veh-Mi'!B42=0,$B$5,($B$5-SUMPRODUCT(C43:G43,'Mkt Pen Veh-Mi'!C42:G42))/'Mkt Pen Veh-Mi'!B42)</f>
        <v>0.25911316630997649</v>
      </c>
      <c r="C43" s="1200">
        <f t="shared" si="6"/>
        <v>0.21776997783168928</v>
      </c>
      <c r="D43" s="1200">
        <f t="shared" si="7"/>
        <v>0.22177010904134967</v>
      </c>
      <c r="E43" s="1200">
        <f t="shared" si="8"/>
        <v>0</v>
      </c>
      <c r="F43" s="1200">
        <f t="shared" si="9"/>
        <v>0</v>
      </c>
      <c r="G43" s="1201">
        <f t="shared" si="10"/>
        <v>0</v>
      </c>
      <c r="H43" s="1221">
        <f>IF('Mkt Pen Veh-Mi'!H42=0,$H$5,($H$5-SUMPRODUCT(I43:M43,'Mkt Pen Veh-Mi'!I42:M42))/'Mkt Pen Veh-Mi'!H42)</f>
        <v>0.59011138101437965</v>
      </c>
      <c r="I43" s="1222">
        <f t="shared" si="11"/>
        <v>0.61888302202756607</v>
      </c>
      <c r="J43" s="1222">
        <f t="shared" si="12"/>
        <v>0.61869170331316248</v>
      </c>
      <c r="K43" s="1222">
        <f t="shared" si="13"/>
        <v>0.60815712561340007</v>
      </c>
      <c r="L43" s="1222">
        <f t="shared" si="14"/>
        <v>0</v>
      </c>
      <c r="M43" s="1223">
        <f t="shared" si="15"/>
        <v>0.98815537356569838</v>
      </c>
      <c r="N43" s="1195">
        <f>IF('Mkt Pen Veh-Mi'!N42=0,$N$5,($N$5-SUMPRODUCT(O43:S43,'Mkt Pen Veh-Mi'!O42:S42))/'Mkt Pen Veh-Mi'!N42)</f>
        <v>0.39357335491746653</v>
      </c>
      <c r="O43" s="1196">
        <f t="shared" si="16"/>
        <v>0.40788248435207242</v>
      </c>
      <c r="P43" s="1196">
        <f t="shared" si="17"/>
        <v>0.41002797958554543</v>
      </c>
      <c r="Q43" s="1196">
        <f t="shared" si="18"/>
        <v>0.4111994113436237</v>
      </c>
      <c r="R43" s="1196">
        <f t="shared" si="19"/>
        <v>0.3020796207985631</v>
      </c>
      <c r="S43" s="1197">
        <f t="shared" si="20"/>
        <v>2.7379363152781735E-2</v>
      </c>
    </row>
    <row r="44" spans="1:19" x14ac:dyDescent="0.2">
      <c r="A44" s="1192">
        <v>2041</v>
      </c>
      <c r="B44" s="1202">
        <f>IF('Mkt Pen Veh-Mi'!B43=0,$B$5,($B$5-SUMPRODUCT(C44:G44,'Mkt Pen Veh-Mi'!C43:G43))/'Mkt Pen Veh-Mi'!B43)</f>
        <v>0.26691439429992297</v>
      </c>
      <c r="C44" s="1203">
        <f t="shared" si="6"/>
        <v>0.21888069861757917</v>
      </c>
      <c r="D44" s="1203">
        <f t="shared" si="7"/>
        <v>0.2198812726690417</v>
      </c>
      <c r="E44" s="1203">
        <f t="shared" si="8"/>
        <v>0</v>
      </c>
      <c r="F44" s="1203">
        <f t="shared" si="9"/>
        <v>0.84659449537066278</v>
      </c>
      <c r="G44" s="1204">
        <f t="shared" si="10"/>
        <v>0</v>
      </c>
      <c r="H44" s="1202">
        <f>IF('Mkt Pen Veh-Mi'!H43=0,$H$5,($H$5-SUMPRODUCT(I44:M44,'Mkt Pen Veh-Mi'!I43:M43))/'Mkt Pen Veh-Mi'!H43)</f>
        <v>0.6006148636923222</v>
      </c>
      <c r="I44" s="1203">
        <f t="shared" si="11"/>
        <v>0.59141987481603464</v>
      </c>
      <c r="J44" s="1203">
        <f t="shared" si="12"/>
        <v>0.59143045321410714</v>
      </c>
      <c r="K44" s="1203">
        <f t="shared" si="13"/>
        <v>0.56737741213826032</v>
      </c>
      <c r="L44" s="1203">
        <f t="shared" si="14"/>
        <v>0</v>
      </c>
      <c r="M44" s="1204">
        <f t="shared" si="15"/>
        <v>0.99491287624028191</v>
      </c>
      <c r="N44" s="1202">
        <f>IF('Mkt Pen Veh-Mi'!N43=0,$N$5,($N$5-SUMPRODUCT(O44:S44,'Mkt Pen Veh-Mi'!O43:S43))/'Mkt Pen Veh-Mi'!N43)</f>
        <v>0.4003258767522298</v>
      </c>
      <c r="O44" s="1203">
        <f t="shared" si="16"/>
        <v>0.40429554157965264</v>
      </c>
      <c r="P44" s="1203">
        <f t="shared" si="17"/>
        <v>0.39954085787453042</v>
      </c>
      <c r="Q44" s="1203">
        <f t="shared" si="18"/>
        <v>0.41191693434000781</v>
      </c>
      <c r="R44" s="1203">
        <f t="shared" si="19"/>
        <v>0.31638497923214498</v>
      </c>
      <c r="S44" s="1204">
        <f t="shared" si="20"/>
        <v>0.15152833148407116</v>
      </c>
    </row>
    <row r="45" spans="1:19" x14ac:dyDescent="0.2">
      <c r="A45" s="1192">
        <v>2042</v>
      </c>
      <c r="B45" s="1195">
        <f>IF('Mkt Pen Veh-Mi'!B44=0,$B$5,($B$5-SUMPRODUCT(C45:G45,'Mkt Pen Veh-Mi'!C44:G44))/'Mkt Pen Veh-Mi'!B44)</f>
        <v>0.2585540042277088</v>
      </c>
      <c r="C45" s="1196">
        <f t="shared" si="6"/>
        <v>0.21835193933806682</v>
      </c>
      <c r="D45" s="1196">
        <f t="shared" si="7"/>
        <v>0.22575898240646028</v>
      </c>
      <c r="E45" s="1196">
        <f t="shared" si="8"/>
        <v>0</v>
      </c>
      <c r="F45" s="1196">
        <f t="shared" si="9"/>
        <v>0.94762009000357794</v>
      </c>
      <c r="G45" s="1197">
        <f t="shared" si="10"/>
        <v>0</v>
      </c>
      <c r="H45" s="1195">
        <f>IF('Mkt Pen Veh-Mi'!H44=0,$H$5,($H$5-SUMPRODUCT(I45:M45,'Mkt Pen Veh-Mi'!I44:M44))/'Mkt Pen Veh-Mi'!H44)</f>
        <v>0.59809367101139221</v>
      </c>
      <c r="I45" s="1196">
        <f t="shared" si="11"/>
        <v>0.56394813895329521</v>
      </c>
      <c r="J45" s="1196">
        <f t="shared" si="12"/>
        <v>0.56394813895329521</v>
      </c>
      <c r="K45" s="1196">
        <f t="shared" si="13"/>
        <v>0.54371616616944629</v>
      </c>
      <c r="L45" s="1196">
        <f t="shared" si="14"/>
        <v>0</v>
      </c>
      <c r="M45" s="1197">
        <f t="shared" si="15"/>
        <v>0.99339190547020739</v>
      </c>
      <c r="N45" s="1195">
        <f>IF('Mkt Pen Veh-Mi'!N44=0,$N$5,($N$5-SUMPRODUCT(O45:S45,'Mkt Pen Veh-Mi'!O44:S44))/'Mkt Pen Veh-Mi'!N44)</f>
        <v>0.39679500164478232</v>
      </c>
      <c r="O45" s="1196">
        <f t="shared" si="16"/>
        <v>0.40986512324813518</v>
      </c>
      <c r="P45" s="1196">
        <f t="shared" si="17"/>
        <v>0.40421049672682668</v>
      </c>
      <c r="Q45" s="1196">
        <f t="shared" si="18"/>
        <v>0.41095124420121071</v>
      </c>
      <c r="R45" s="1196">
        <f t="shared" si="19"/>
        <v>0.33753529483043077</v>
      </c>
      <c r="S45" s="1197">
        <f t="shared" si="20"/>
        <v>0.29689141680541387</v>
      </c>
    </row>
    <row r="46" spans="1:19" x14ac:dyDescent="0.2">
      <c r="A46" s="1192">
        <v>2043</v>
      </c>
      <c r="B46" s="1195">
        <f>IF('Mkt Pen Veh-Mi'!B45=0,$B$5,($B$5-SUMPRODUCT(C46:G46,'Mkt Pen Veh-Mi'!C45:G45))/'Mkt Pen Veh-Mi'!B45)</f>
        <v>0.26397895164744128</v>
      </c>
      <c r="C46" s="1196">
        <f t="shared" si="6"/>
        <v>0.21789680565004393</v>
      </c>
      <c r="D46" s="1196">
        <f t="shared" si="7"/>
        <v>0.22096047112760292</v>
      </c>
      <c r="E46" s="1196">
        <f t="shared" si="8"/>
        <v>0</v>
      </c>
      <c r="F46" s="1196">
        <f t="shared" si="9"/>
        <v>0.92661530462652597</v>
      </c>
      <c r="G46" s="1197">
        <f t="shared" si="10"/>
        <v>0</v>
      </c>
      <c r="H46" s="1195">
        <f>IF('Mkt Pen Veh-Mi'!H45=0,$H$5,($H$5-SUMPRODUCT(I46:M46,'Mkt Pen Veh-Mi'!I45:M45))/'Mkt Pen Veh-Mi'!H45)</f>
        <v>0.59645392341613679</v>
      </c>
      <c r="I46" s="1196">
        <f t="shared" si="11"/>
        <v>0.55278498752509508</v>
      </c>
      <c r="J46" s="1196">
        <f t="shared" si="12"/>
        <v>0.55324369108630267</v>
      </c>
      <c r="K46" s="1196">
        <f t="shared" si="13"/>
        <v>0.54012992150667782</v>
      </c>
      <c r="L46" s="1196">
        <f t="shared" si="14"/>
        <v>6.914942397931699E-2</v>
      </c>
      <c r="M46" s="1197">
        <f t="shared" si="15"/>
        <v>0.98949752675516689</v>
      </c>
      <c r="N46" s="1195">
        <f>IF('Mkt Pen Veh-Mi'!N45=0,$N$5,($N$5-SUMPRODUCT(O46:S46,'Mkt Pen Veh-Mi'!O45:S45))/'Mkt Pen Veh-Mi'!N45)</f>
        <v>0.39680891341904478</v>
      </c>
      <c r="O46" s="1196">
        <f t="shared" si="16"/>
        <v>0.4032736090386615</v>
      </c>
      <c r="P46" s="1196">
        <f t="shared" si="17"/>
        <v>0.40594840258880072</v>
      </c>
      <c r="Q46" s="1196">
        <f t="shared" si="18"/>
        <v>0.41027482660907072</v>
      </c>
      <c r="R46" s="1196">
        <f t="shared" si="19"/>
        <v>0.36918161310581205</v>
      </c>
      <c r="S46" s="1197">
        <f t="shared" si="20"/>
        <v>0.35515700726810501</v>
      </c>
    </row>
    <row r="47" spans="1:19" x14ac:dyDescent="0.2">
      <c r="A47" s="1192">
        <v>2044</v>
      </c>
      <c r="B47" s="1195">
        <f>IF('Mkt Pen Veh-Mi'!B46=0,$B$5,($B$5-SUMPRODUCT(C47:G47,'Mkt Pen Veh-Mi'!C46:G46))/'Mkt Pen Veh-Mi'!B46)</f>
        <v>0.2604252503092444</v>
      </c>
      <c r="C47" s="1196">
        <f t="shared" si="6"/>
        <v>0.21591913857432576</v>
      </c>
      <c r="D47" s="1196">
        <f t="shared" si="7"/>
        <v>0.21818980426313805</v>
      </c>
      <c r="E47" s="1196">
        <f t="shared" si="8"/>
        <v>0</v>
      </c>
      <c r="F47" s="1196">
        <f t="shared" si="9"/>
        <v>0.91860617471736228</v>
      </c>
      <c r="G47" s="1197">
        <f t="shared" si="10"/>
        <v>0</v>
      </c>
      <c r="H47" s="1195">
        <f>IF('Mkt Pen Veh-Mi'!H46=0,$H$5,($H$5-SUMPRODUCT(I47:M47,'Mkt Pen Veh-Mi'!I46:M46))/'Mkt Pen Veh-Mi'!H46)</f>
        <v>0.5995124368183915</v>
      </c>
      <c r="I47" s="1196">
        <f t="shared" si="11"/>
        <v>0.5462240327637814</v>
      </c>
      <c r="J47" s="1196">
        <f t="shared" si="12"/>
        <v>0.5462240327637814</v>
      </c>
      <c r="K47" s="1196">
        <f t="shared" si="13"/>
        <v>0.53786403052677179</v>
      </c>
      <c r="L47" s="1196">
        <f t="shared" si="14"/>
        <v>0.3248272133309596</v>
      </c>
      <c r="M47" s="1197">
        <f t="shared" si="15"/>
        <v>0.987116332758881</v>
      </c>
      <c r="N47" s="1195">
        <f>IF('Mkt Pen Veh-Mi'!N46=0,$N$5,($N$5-SUMPRODUCT(O47:S47,'Mkt Pen Veh-Mi'!O46:S46))/'Mkt Pen Veh-Mi'!N46)</f>
        <v>0.3941975314351433</v>
      </c>
      <c r="O47" s="1196">
        <f t="shared" si="16"/>
        <v>0.4070097481280977</v>
      </c>
      <c r="P47" s="1196">
        <f t="shared" si="17"/>
        <v>0.40860404187107657</v>
      </c>
      <c r="Q47" s="1196">
        <f t="shared" si="18"/>
        <v>0.40700340739839008</v>
      </c>
      <c r="R47" s="1196">
        <f t="shared" si="19"/>
        <v>0.37586517103284772</v>
      </c>
      <c r="S47" s="1197">
        <f t="shared" si="20"/>
        <v>0.39370342058177937</v>
      </c>
    </row>
    <row r="48" spans="1:19" x14ac:dyDescent="0.2">
      <c r="A48" s="1198">
        <v>2045</v>
      </c>
      <c r="B48" s="1199">
        <f>IF('Mkt Pen Veh-Mi'!B47=0,$B$5,($B$5-SUMPRODUCT(C48:G48,'Mkt Pen Veh-Mi'!C47:G47))/'Mkt Pen Veh-Mi'!B47)</f>
        <v>0.24979558310783509</v>
      </c>
      <c r="C48" s="1200">
        <f t="shared" si="6"/>
        <v>0.2110936615034027</v>
      </c>
      <c r="D48" s="1200">
        <f t="shared" si="7"/>
        <v>0.21788614915431515</v>
      </c>
      <c r="E48" s="1200">
        <f t="shared" si="8"/>
        <v>3.3772089165973608E-2</v>
      </c>
      <c r="F48" s="1200">
        <f t="shared" si="9"/>
        <v>0.88171447153182869</v>
      </c>
      <c r="G48" s="1201">
        <f t="shared" si="10"/>
        <v>0</v>
      </c>
      <c r="H48" s="1199">
        <f>IF('Mkt Pen Veh-Mi'!H47=0,$H$5,($H$5-SUMPRODUCT(I48:M48,'Mkt Pen Veh-Mi'!I47:M47))/'Mkt Pen Veh-Mi'!H47)</f>
        <v>0.48619873773972139</v>
      </c>
      <c r="I48" s="1200">
        <f t="shared" si="11"/>
        <v>0.56276372659659113</v>
      </c>
      <c r="J48" s="1200">
        <f t="shared" si="12"/>
        <v>0.56312936504767908</v>
      </c>
      <c r="K48" s="1200">
        <f t="shared" si="13"/>
        <v>0.55708020232248978</v>
      </c>
      <c r="L48" s="1200">
        <f t="shared" si="14"/>
        <v>0.48971661969639174</v>
      </c>
      <c r="M48" s="1201">
        <f t="shared" si="15"/>
        <v>0.98132806703888198</v>
      </c>
      <c r="N48" s="1199">
        <f>IF('Mkt Pen Veh-Mi'!N47=0,$N$5,($N$5-SUMPRODUCT(O48:S48,'Mkt Pen Veh-Mi'!O47:S47))/'Mkt Pen Veh-Mi'!N47)</f>
        <v>0.39558980724123466</v>
      </c>
      <c r="O48" s="1200">
        <f t="shared" si="16"/>
        <v>0.40848224481396012</v>
      </c>
      <c r="P48" s="1200">
        <f t="shared" si="17"/>
        <v>0.40248208595134327</v>
      </c>
      <c r="Q48" s="1200">
        <f t="shared" si="18"/>
        <v>0.40755243899534832</v>
      </c>
      <c r="R48" s="1200">
        <f t="shared" si="19"/>
        <v>0.38089290711584195</v>
      </c>
      <c r="S48" s="1201">
        <f t="shared" si="20"/>
        <v>0.40564806643538986</v>
      </c>
    </row>
    <row r="49" spans="1:19" x14ac:dyDescent="0.2">
      <c r="A49" s="1192">
        <v>2046</v>
      </c>
      <c r="B49" s="1202">
        <f>IF('Mkt Pen Veh-Mi'!B48=0,$B$5,($B$5-SUMPRODUCT(C49:G49,'Mkt Pen Veh-Mi'!C48:G48))/'Mkt Pen Veh-Mi'!B48)</f>
        <v>0.25076780622533784</v>
      </c>
      <c r="C49" s="1203">
        <f t="shared" si="6"/>
        <v>0.20619950624039071</v>
      </c>
      <c r="D49" s="1203">
        <f t="shared" si="7"/>
        <v>0.21375894891417027</v>
      </c>
      <c r="E49" s="1203">
        <f t="shared" si="8"/>
        <v>9.161015505885356E-2</v>
      </c>
      <c r="F49" s="1203">
        <f t="shared" si="9"/>
        <v>0.83636551519337521</v>
      </c>
      <c r="G49" s="1204">
        <f t="shared" si="10"/>
        <v>0</v>
      </c>
      <c r="H49" s="1202">
        <f>IF('Mkt Pen Veh-Mi'!H48=0,$H$5,($H$5-SUMPRODUCT(I49:M49,'Mkt Pen Veh-Mi'!I48:M48))/'Mkt Pen Veh-Mi'!H48)</f>
        <v>0.43600456493157891</v>
      </c>
      <c r="I49" s="1203">
        <f t="shared" si="11"/>
        <v>0.56869038621424228</v>
      </c>
      <c r="J49" s="1203">
        <f t="shared" si="12"/>
        <v>0.56812599611608727</v>
      </c>
      <c r="K49" s="1203">
        <f t="shared" si="13"/>
        <v>0.56120410451532132</v>
      </c>
      <c r="L49" s="1203">
        <f t="shared" si="14"/>
        <v>0.52515977895252286</v>
      </c>
      <c r="M49" s="1204">
        <f t="shared" si="15"/>
        <v>0.97195917685799793</v>
      </c>
      <c r="N49" s="1202">
        <f>IF('Mkt Pen Veh-Mi'!N48=0,$N$5,($N$5-SUMPRODUCT(O49:S49,'Mkt Pen Veh-Mi'!O48:S48))/'Mkt Pen Veh-Mi'!N48)</f>
        <v>0.395589807230385</v>
      </c>
      <c r="O49" s="1203">
        <f t="shared" si="16"/>
        <v>0.40884582475518311</v>
      </c>
      <c r="P49" s="1203">
        <f t="shared" si="17"/>
        <v>0.40354895373496119</v>
      </c>
      <c r="Q49" s="1203">
        <f t="shared" si="18"/>
        <v>0.40714969165161696</v>
      </c>
      <c r="R49" s="1203">
        <f t="shared" si="19"/>
        <v>0.3760033341384087</v>
      </c>
      <c r="S49" s="1204">
        <f t="shared" si="20"/>
        <v>0.41342089594183035</v>
      </c>
    </row>
    <row r="50" spans="1:19" x14ac:dyDescent="0.2">
      <c r="A50" s="1192">
        <v>2047</v>
      </c>
      <c r="B50" s="1195">
        <f>IF('Mkt Pen Veh-Mi'!B49=0,$B$5,($B$5-SUMPRODUCT(C50:G50,'Mkt Pen Veh-Mi'!C49:G49))/'Mkt Pen Veh-Mi'!B49)</f>
        <v>0.26219441307862434</v>
      </c>
      <c r="C50" s="1196">
        <f t="shared" si="6"/>
        <v>0.2009530838564669</v>
      </c>
      <c r="D50" s="1196">
        <f t="shared" si="7"/>
        <v>0.20529092591940723</v>
      </c>
      <c r="E50" s="1196">
        <f t="shared" si="8"/>
        <v>0.12303291520909325</v>
      </c>
      <c r="F50" s="1196">
        <f t="shared" si="9"/>
        <v>0.77948723463953218</v>
      </c>
      <c r="G50" s="1197">
        <f t="shared" si="10"/>
        <v>0</v>
      </c>
      <c r="H50" s="1195">
        <f>IF('Mkt Pen Veh-Mi'!H49=0,$H$5,($H$5-SUMPRODUCT(I50:M50,'Mkt Pen Veh-Mi'!I49:M49))/'Mkt Pen Veh-Mi'!H49)</f>
        <v>0.3649923404710852</v>
      </c>
      <c r="I50" s="1196">
        <f t="shared" si="11"/>
        <v>0.57437456372318629</v>
      </c>
      <c r="J50" s="1196">
        <f t="shared" si="12"/>
        <v>0.57402487694811855</v>
      </c>
      <c r="K50" s="1196">
        <f t="shared" si="13"/>
        <v>0.56610390605478933</v>
      </c>
      <c r="L50" s="1196">
        <f t="shared" si="14"/>
        <v>0.55809366659668036</v>
      </c>
      <c r="M50" s="1197">
        <f t="shared" si="15"/>
        <v>0.95959474233580233</v>
      </c>
      <c r="N50" s="1195">
        <f>IF('Mkt Pen Veh-Mi'!N49=0,$N$5,($N$5-SUMPRODUCT(O50:S50,'Mkt Pen Veh-Mi'!O49:S49))/'Mkt Pen Veh-Mi'!N49)</f>
        <v>0.39558124076290108</v>
      </c>
      <c r="O50" s="1196">
        <f t="shared" si="16"/>
        <v>0.40002964634308658</v>
      </c>
      <c r="P50" s="1196">
        <f t="shared" si="17"/>
        <v>0.40640248023139391</v>
      </c>
      <c r="Q50" s="1196">
        <f t="shared" si="18"/>
        <v>0.40611098768845111</v>
      </c>
      <c r="R50" s="1196">
        <f t="shared" si="19"/>
        <v>0.38928214399954114</v>
      </c>
      <c r="S50" s="1197">
        <f t="shared" si="20"/>
        <v>0.40810013838536213</v>
      </c>
    </row>
    <row r="51" spans="1:19" x14ac:dyDescent="0.2">
      <c r="A51" s="1192">
        <v>2048</v>
      </c>
      <c r="B51" s="1195">
        <f>IF('Mkt Pen Veh-Mi'!B50=0,$B$5,($B$5-SUMPRODUCT(C51:G51,'Mkt Pen Veh-Mi'!C50:G50))/'Mkt Pen Veh-Mi'!B50)</f>
        <v>0.26322958132501956</v>
      </c>
      <c r="C51" s="1196">
        <f t="shared" si="6"/>
        <v>0.1956314920229639</v>
      </c>
      <c r="D51" s="1196">
        <f t="shared" si="7"/>
        <v>0.20116322594336408</v>
      </c>
      <c r="E51" s="1196">
        <f t="shared" si="8"/>
        <v>0.14126028785751946</v>
      </c>
      <c r="F51" s="1196">
        <f t="shared" si="9"/>
        <v>0.75037398917425235</v>
      </c>
      <c r="G51" s="1197">
        <f t="shared" si="10"/>
        <v>0</v>
      </c>
      <c r="H51" s="1195">
        <f>IF('Mkt Pen Veh-Mi'!H50=0,$H$5,($H$5-SUMPRODUCT(I51:M51,'Mkt Pen Veh-Mi'!I50:M50))/'Mkt Pen Veh-Mi'!H50)</f>
        <v>0.3034514324563663</v>
      </c>
      <c r="I51" s="1196">
        <f t="shared" si="11"/>
        <v>0.57513246648320016</v>
      </c>
      <c r="J51" s="1196">
        <f t="shared" si="12"/>
        <v>0.57513246648320004</v>
      </c>
      <c r="K51" s="1196">
        <f t="shared" si="13"/>
        <v>0.57275047658548417</v>
      </c>
      <c r="L51" s="1196">
        <f t="shared" si="14"/>
        <v>0.56552719959887998</v>
      </c>
      <c r="M51" s="1197">
        <f t="shared" si="15"/>
        <v>0.95151563442730924</v>
      </c>
      <c r="N51" s="1195">
        <f>IF('Mkt Pen Veh-Mi'!N50=0,$N$5,($N$5-SUMPRODUCT(O51:S51,'Mkt Pen Veh-Mi'!O50:S50))/'Mkt Pen Veh-Mi'!N50)</f>
        <v>0.39554359902907882</v>
      </c>
      <c r="O51" s="1196">
        <f t="shared" si="16"/>
        <v>0.4041466804250689</v>
      </c>
      <c r="P51" s="1196">
        <f t="shared" si="17"/>
        <v>0.40336197144976049</v>
      </c>
      <c r="Q51" s="1196">
        <f t="shared" si="18"/>
        <v>0.40138809028208883</v>
      </c>
      <c r="R51" s="1196">
        <f t="shared" si="19"/>
        <v>0.39364643976978347</v>
      </c>
      <c r="S51" s="1197">
        <f t="shared" si="20"/>
        <v>0.40973079464224393</v>
      </c>
    </row>
    <row r="52" spans="1:19" x14ac:dyDescent="0.2">
      <c r="A52" s="1192">
        <v>2049</v>
      </c>
      <c r="B52" s="1195">
        <f>IF('Mkt Pen Veh-Mi'!B51=0,$B$5,($B$5-SUMPRODUCT(C52:G52,'Mkt Pen Veh-Mi'!C51:G51))/'Mkt Pen Veh-Mi'!B51)</f>
        <v>0.26284240740374293</v>
      </c>
      <c r="C52" s="1196">
        <f t="shared" si="6"/>
        <v>0.19256596868906295</v>
      </c>
      <c r="D52" s="1196">
        <f t="shared" si="7"/>
        <v>0.19842570231756804</v>
      </c>
      <c r="E52" s="1196">
        <f t="shared" si="8"/>
        <v>0.156365577600168</v>
      </c>
      <c r="F52" s="1196">
        <f t="shared" si="9"/>
        <v>0.68205306102761631</v>
      </c>
      <c r="G52" s="1197">
        <f t="shared" si="10"/>
        <v>0</v>
      </c>
      <c r="H52" s="1195">
        <f>IF('Mkt Pen Veh-Mi'!H51=0,$H$5,($H$5-SUMPRODUCT(I52:M52,'Mkt Pen Veh-Mi'!I51:M51))/'Mkt Pen Veh-Mi'!H51)</f>
        <v>0.25052627094383312</v>
      </c>
      <c r="I52" s="1196">
        <f t="shared" si="11"/>
        <v>0.57949964225022077</v>
      </c>
      <c r="J52" s="1196">
        <f t="shared" si="12"/>
        <v>0.57996119191914675</v>
      </c>
      <c r="K52" s="1196">
        <f t="shared" si="13"/>
        <v>0.57484657579262444</v>
      </c>
      <c r="L52" s="1196">
        <f t="shared" si="14"/>
        <v>0.5796339170406456</v>
      </c>
      <c r="M52" s="1197">
        <f t="shared" si="15"/>
        <v>0.93325080683437056</v>
      </c>
      <c r="N52" s="1195">
        <f>IF('Mkt Pen Veh-Mi'!N51=0,$N$5,($N$5-SUMPRODUCT(O52:S52,'Mkt Pen Veh-Mi'!O51:S51))/'Mkt Pen Veh-Mi'!N51)</f>
        <v>0.39556605278964957</v>
      </c>
      <c r="O52" s="1196">
        <f t="shared" si="16"/>
        <v>0.40500122731969718</v>
      </c>
      <c r="P52" s="1196">
        <f t="shared" si="17"/>
        <v>0.4043935881995579</v>
      </c>
      <c r="Q52" s="1196">
        <f t="shared" si="18"/>
        <v>0.40134532185727806</v>
      </c>
      <c r="R52" s="1196">
        <f t="shared" si="19"/>
        <v>0.39318541775308519</v>
      </c>
      <c r="S52" s="1197">
        <f t="shared" si="20"/>
        <v>0.40590775193464929</v>
      </c>
    </row>
    <row r="53" spans="1:19" ht="16" thickBot="1" x14ac:dyDescent="0.25">
      <c r="A53" s="1205">
        <v>2050</v>
      </c>
      <c r="B53" s="1206">
        <f>IF('Mkt Pen Veh-Mi'!B52=0,$B$5,($B$5-SUMPRODUCT(C53:G53,'Mkt Pen Veh-Mi'!C52:G52))/'Mkt Pen Veh-Mi'!B52)</f>
        <v>0.26275055789079438</v>
      </c>
      <c r="C53" s="1207">
        <f t="shared" si="6"/>
        <v>0.18881979314526995</v>
      </c>
      <c r="D53" s="1207">
        <f t="shared" si="7"/>
        <v>0.19467672950044457</v>
      </c>
      <c r="E53" s="1207">
        <f t="shared" si="8"/>
        <v>0.16962358702620725</v>
      </c>
      <c r="F53" s="1207">
        <f t="shared" si="9"/>
        <v>0.64757155947652489</v>
      </c>
      <c r="G53" s="1208">
        <f t="shared" si="10"/>
        <v>0</v>
      </c>
      <c r="H53" s="1206">
        <f>IF('Mkt Pen Veh-Mi'!H52=0,$H$5,($H$5-SUMPRODUCT(I53:M53,'Mkt Pen Veh-Mi'!I52:M52))/'Mkt Pen Veh-Mi'!H52)</f>
        <v>0.18757982011335786</v>
      </c>
      <c r="I53" s="1207">
        <f t="shared" si="11"/>
        <v>0.58098755196048346</v>
      </c>
      <c r="J53" s="1207">
        <f t="shared" si="12"/>
        <v>0.58098755196048357</v>
      </c>
      <c r="K53" s="1207">
        <f t="shared" si="13"/>
        <v>0.57996073813255777</v>
      </c>
      <c r="L53" s="1207">
        <f t="shared" si="14"/>
        <v>0.58468049540166078</v>
      </c>
      <c r="M53" s="1208">
        <f t="shared" si="15"/>
        <v>0.92210624854988144</v>
      </c>
      <c r="N53" s="1206">
        <f>IF('Mkt Pen Veh-Mi'!N52=0,$N$5,($N$5-SUMPRODUCT(O53:S53,'Mkt Pen Veh-Mi'!O52:S52))/'Mkt Pen Veh-Mi'!N52)</f>
        <v>0.39686362990324553</v>
      </c>
      <c r="O53" s="1207">
        <f t="shared" si="16"/>
        <v>0.4059026811119868</v>
      </c>
      <c r="P53" s="1207">
        <f t="shared" si="17"/>
        <v>0.40454230688398807</v>
      </c>
      <c r="Q53" s="1207">
        <f t="shared" si="18"/>
        <v>0.40164846647165153</v>
      </c>
      <c r="R53" s="1207">
        <f t="shared" si="19"/>
        <v>0.38697214464748103</v>
      </c>
      <c r="S53" s="1208">
        <f t="shared" si="20"/>
        <v>0.40267245993039208</v>
      </c>
    </row>
    <row r="55" spans="1:19" x14ac:dyDescent="0.2">
      <c r="K55" s="1177">
        <f>MATCH($A53,$A$10:$A$53,0)</f>
        <v>44</v>
      </c>
    </row>
    <row r="56" spans="1:19" x14ac:dyDescent="0.2">
      <c r="K56" s="1177">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7"/>
    <col min="2" max="19" width="13.5" style="1177" customWidth="1"/>
    <col min="20" max="16384" width="9.1640625" style="1177"/>
  </cols>
  <sheetData>
    <row r="1" spans="1:19" ht="16" x14ac:dyDescent="0.2">
      <c r="A1" s="1209" t="s">
        <v>315</v>
      </c>
    </row>
    <row r="3" spans="1:19" ht="16" thickBot="1" x14ac:dyDescent="0.25"/>
    <row r="4" spans="1:19" x14ac:dyDescent="0.2">
      <c r="A4" s="1178"/>
      <c r="B4" s="1613" t="s">
        <v>249</v>
      </c>
      <c r="C4" s="1614"/>
      <c r="D4" s="1614"/>
      <c r="E4" s="1614"/>
      <c r="F4" s="1614"/>
      <c r="G4" s="1615"/>
      <c r="H4" s="1613" t="s">
        <v>250</v>
      </c>
      <c r="I4" s="1614"/>
      <c r="J4" s="1614"/>
      <c r="K4" s="1614"/>
      <c r="L4" s="1614"/>
      <c r="M4" s="1615"/>
      <c r="N4" s="1613" t="s">
        <v>154</v>
      </c>
      <c r="O4" s="1614"/>
      <c r="P4" s="1614"/>
      <c r="Q4" s="1614"/>
      <c r="R4" s="1614"/>
      <c r="S4" s="1615"/>
    </row>
    <row r="5" spans="1:19" x14ac:dyDescent="0.2">
      <c r="A5" s="1179"/>
      <c r="B5" s="1616" t="s">
        <v>129</v>
      </c>
      <c r="C5" s="1617"/>
      <c r="D5" s="1617"/>
      <c r="E5" s="1617"/>
      <c r="F5" s="1617"/>
      <c r="G5" s="1618"/>
      <c r="H5" s="1616" t="s">
        <v>129</v>
      </c>
      <c r="I5" s="1617"/>
      <c r="J5" s="1617"/>
      <c r="K5" s="1617"/>
      <c r="L5" s="1617"/>
      <c r="M5" s="1618"/>
      <c r="N5" s="1616" t="s">
        <v>129</v>
      </c>
      <c r="O5" s="1617"/>
      <c r="P5" s="1617"/>
      <c r="Q5" s="1617"/>
      <c r="R5" s="1617"/>
      <c r="S5" s="1618"/>
    </row>
    <row r="6" spans="1:19" x14ac:dyDescent="0.2">
      <c r="A6" s="1179"/>
      <c r="B6" s="1180" t="s">
        <v>69</v>
      </c>
      <c r="C6" s="1181" t="s">
        <v>65</v>
      </c>
      <c r="D6" s="1181" t="s">
        <v>66</v>
      </c>
      <c r="E6" s="1181" t="s">
        <v>67</v>
      </c>
      <c r="F6" s="1181" t="s">
        <v>205</v>
      </c>
      <c r="G6" s="1182" t="s">
        <v>206</v>
      </c>
      <c r="H6" s="1180" t="s">
        <v>69</v>
      </c>
      <c r="I6" s="1181" t="s">
        <v>65</v>
      </c>
      <c r="J6" s="1181" t="s">
        <v>66</v>
      </c>
      <c r="K6" s="1181" t="s">
        <v>67</v>
      </c>
      <c r="L6" s="1181" t="s">
        <v>205</v>
      </c>
      <c r="M6" s="1182" t="s">
        <v>206</v>
      </c>
      <c r="N6" s="1180" t="s">
        <v>69</v>
      </c>
      <c r="O6" s="1181" t="s">
        <v>65</v>
      </c>
      <c r="P6" s="1181" t="s">
        <v>66</v>
      </c>
      <c r="Q6" s="1181" t="s">
        <v>67</v>
      </c>
      <c r="R6" s="1181" t="s">
        <v>205</v>
      </c>
      <c r="S6" s="1182" t="s">
        <v>206</v>
      </c>
    </row>
    <row r="7" spans="1:19" ht="32" x14ac:dyDescent="0.2">
      <c r="A7" s="1183"/>
      <c r="B7" s="1184" t="str">
        <f t="shared" ref="B7:G7" si="0">INDEX(TECH_OPT_DESC_Cls1,MATCH(B6,TECH_OPT_ROWS_Cls1,0))</f>
        <v>Conventional Diesel ICE</v>
      </c>
      <c r="C7" s="1185" t="str">
        <f t="shared" si="0"/>
        <v>Adv Conv</v>
      </c>
      <c r="D7" s="1185" t="str">
        <f t="shared" si="0"/>
        <v>HEV</v>
      </c>
      <c r="E7" s="1185" t="str">
        <f t="shared" si="0"/>
        <v>BEV</v>
      </c>
      <c r="F7" s="1185" t="str">
        <f t="shared" si="0"/>
        <v>FCEV</v>
      </c>
      <c r="G7" s="1186">
        <f t="shared" si="0"/>
        <v>0</v>
      </c>
      <c r="H7" s="1184" t="str">
        <f t="shared" ref="H7:M7" si="1">INDEX(TECH_OPT_DESC_Cls2,MATCH(H6,TECH_OPT_ROWS_Cls2,0))</f>
        <v>Conventional Diesel ICE</v>
      </c>
      <c r="I7" s="1185" t="str">
        <f t="shared" si="1"/>
        <v>Adv Conv</v>
      </c>
      <c r="J7" s="1185" t="str">
        <f t="shared" si="1"/>
        <v>ISG</v>
      </c>
      <c r="K7" s="1185" t="str">
        <f t="shared" si="1"/>
        <v>PHEV</v>
      </c>
      <c r="L7" s="1185" t="str">
        <f t="shared" si="1"/>
        <v>BEV</v>
      </c>
      <c r="M7" s="1186" t="str">
        <f t="shared" si="1"/>
        <v>FCHEV</v>
      </c>
      <c r="N7" s="1184" t="str">
        <f t="shared" ref="N7:S7" si="2">INDEX(TECH_OPT_DESC_Cls3,MATCH(N6,TECH_OPT_ROWS_Cls3,0))</f>
        <v>Conventional Diesel ICE</v>
      </c>
      <c r="O7" s="1185" t="str">
        <f t="shared" si="2"/>
        <v>Adv Conv</v>
      </c>
      <c r="P7" s="1185" t="str">
        <f t="shared" si="2"/>
        <v>ISG</v>
      </c>
      <c r="Q7" s="1185" t="str">
        <f t="shared" si="2"/>
        <v>HEV</v>
      </c>
      <c r="R7" s="1185" t="str">
        <f t="shared" si="2"/>
        <v>PHEV</v>
      </c>
      <c r="S7" s="1186" t="str">
        <f t="shared" si="2"/>
        <v>BEV</v>
      </c>
    </row>
    <row r="8" spans="1:19" ht="16" x14ac:dyDescent="0.2">
      <c r="A8" s="1183" t="s">
        <v>314</v>
      </c>
      <c r="B8" s="1224" t="str">
        <f t="shared" ref="B8:G8" si="3">INDEX(TECH_OPT_FUEL2_Cls1,MATCH(B6,TECH_OPT_ROWS_Cls1,0))</f>
        <v>N/A</v>
      </c>
      <c r="C8" s="1225" t="str">
        <f t="shared" si="3"/>
        <v>N/A</v>
      </c>
      <c r="D8" s="1225" t="str">
        <f t="shared" si="3"/>
        <v>N/A</v>
      </c>
      <c r="E8" s="1225" t="str">
        <f t="shared" si="3"/>
        <v>N/A</v>
      </c>
      <c r="F8" s="1225" t="str">
        <f t="shared" si="3"/>
        <v>N/A</v>
      </c>
      <c r="G8" s="1226" t="str">
        <f t="shared" si="3"/>
        <v>N/A</v>
      </c>
      <c r="H8" s="1224" t="str">
        <f t="shared" ref="H8:M8" si="4">INDEX(TECH_OPT_FUEL2_Cls2,MATCH(H6,TECH_OPT_ROWS_Cls2,0))</f>
        <v>N/A</v>
      </c>
      <c r="I8" s="1225" t="str">
        <f t="shared" si="4"/>
        <v>N/A</v>
      </c>
      <c r="J8" s="1225" t="str">
        <f t="shared" si="4"/>
        <v>N/A</v>
      </c>
      <c r="K8" s="1225" t="str">
        <f t="shared" si="4"/>
        <v>Electricity</v>
      </c>
      <c r="L8" s="1225" t="str">
        <f t="shared" si="4"/>
        <v>N/A</v>
      </c>
      <c r="M8" s="1226" t="str">
        <f t="shared" si="4"/>
        <v>N/A</v>
      </c>
      <c r="N8" s="1224" t="str">
        <f t="shared" ref="N8:S8" si="5">INDEX(TECH_OPT_FUEL2_Cls3,MATCH(N6,TECH_OPT_ROWS_Cls3,0))</f>
        <v>N/A</v>
      </c>
      <c r="O8" s="1225" t="str">
        <f t="shared" si="5"/>
        <v>N/A</v>
      </c>
      <c r="P8" s="1225" t="str">
        <f t="shared" si="5"/>
        <v>N/A</v>
      </c>
      <c r="Q8" s="1225" t="str">
        <f t="shared" si="5"/>
        <v>N/A</v>
      </c>
      <c r="R8" s="1225" t="str">
        <f t="shared" si="5"/>
        <v>Electricity</v>
      </c>
      <c r="S8" s="1226" t="str">
        <f t="shared" si="5"/>
        <v>N/A</v>
      </c>
    </row>
    <row r="9" spans="1:19" ht="17" thickBot="1" x14ac:dyDescent="0.25">
      <c r="A9" s="1187" t="s">
        <v>3</v>
      </c>
      <c r="B9" s="1188" t="str">
        <f t="shared" ref="B9:G9" si="6">INDEX(TECH_OPT_FUEL1_Cls1,MATCH(B6,TECH_OPT_ROWS_Cls1,0))</f>
        <v>Diesel</v>
      </c>
      <c r="C9" s="1189" t="str">
        <f t="shared" si="6"/>
        <v>Diesel</v>
      </c>
      <c r="D9" s="1189" t="str">
        <f t="shared" si="6"/>
        <v>Diesel</v>
      </c>
      <c r="E9" s="1189" t="str">
        <f t="shared" si="6"/>
        <v>Electricity</v>
      </c>
      <c r="F9" s="1189" t="str">
        <f t="shared" si="6"/>
        <v>Hydrogen</v>
      </c>
      <c r="G9" s="1190" t="str">
        <f t="shared" si="6"/>
        <v>Diesel</v>
      </c>
      <c r="H9" s="1191" t="str">
        <f t="shared" ref="H9:M9" si="7">INDEX(TECH_OPT_FUEL1_Cls2,MATCH(H6,TECH_OPT_ROWS_Cls2,0))</f>
        <v>Diesel</v>
      </c>
      <c r="I9" s="1189" t="str">
        <f t="shared" si="7"/>
        <v>Diesel</v>
      </c>
      <c r="J9" s="1189" t="str">
        <f t="shared" si="7"/>
        <v>Diesel</v>
      </c>
      <c r="K9" s="1189" t="str">
        <f t="shared" si="7"/>
        <v>Diesel</v>
      </c>
      <c r="L9" s="1189" t="str">
        <f t="shared" si="7"/>
        <v>Electricity</v>
      </c>
      <c r="M9" s="1190" t="str">
        <f t="shared" si="7"/>
        <v>Hydrogen</v>
      </c>
      <c r="N9" s="1188" t="str">
        <f t="shared" ref="N9:S9" si="8">INDEX(TECH_OPT_FUEL1_Cls3,MATCH(N6,TECH_OPT_ROWS_Cls3,0))</f>
        <v>Diesel</v>
      </c>
      <c r="O9" s="1189" t="str">
        <f t="shared" si="8"/>
        <v>Diesel</v>
      </c>
      <c r="P9" s="1189" t="str">
        <f t="shared" si="8"/>
        <v>Diesel</v>
      </c>
      <c r="Q9" s="1189" t="str">
        <f t="shared" si="8"/>
        <v>Diesel</v>
      </c>
      <c r="R9" s="1189" t="str">
        <f t="shared" si="8"/>
        <v>Diesel</v>
      </c>
      <c r="S9" s="1190" t="str">
        <f t="shared" si="8"/>
        <v>Electricity</v>
      </c>
    </row>
    <row r="10" spans="1:19" ht="16" thickTop="1" x14ac:dyDescent="0.2">
      <c r="A10" s="1192">
        <v>2007</v>
      </c>
      <c r="B10" s="1193">
        <v>0</v>
      </c>
      <c r="C10" s="1194">
        <f>'7&amp;8 Sleep'!AD76</f>
        <v>0</v>
      </c>
      <c r="D10" s="1194">
        <f>'7&amp;8 Sleep'!AD128</f>
        <v>0</v>
      </c>
      <c r="E10" s="1194">
        <f>'7&amp;8 Sleep'!AD180</f>
        <v>0</v>
      </c>
      <c r="F10" s="1194">
        <f>'7&amp;8 Sleep'!AD233</f>
        <v>0</v>
      </c>
      <c r="G10" s="1219">
        <f>'7&amp;8 Sleep'!AD286</f>
        <v>0</v>
      </c>
      <c r="H10" s="1193">
        <v>0</v>
      </c>
      <c r="I10" s="1194">
        <f>'7&amp;8 Day'!AD76</f>
        <v>0</v>
      </c>
      <c r="J10" s="1194">
        <f>'7&amp;8 Day'!AD128</f>
        <v>0</v>
      </c>
      <c r="K10" s="1194">
        <f>'7&amp;8 Day'!AD180</f>
        <v>0</v>
      </c>
      <c r="L10" s="1194">
        <f>'7&amp;8 Day'!AD233</f>
        <v>0</v>
      </c>
      <c r="M10" s="1220">
        <f>'7&amp;8 Day'!AD286</f>
        <v>0</v>
      </c>
      <c r="N10" s="1193">
        <v>0</v>
      </c>
      <c r="O10" s="1194">
        <f>'7&amp;8 SU'!AD76</f>
        <v>0</v>
      </c>
      <c r="P10" s="1194">
        <f>'7&amp;8 SU'!AD128</f>
        <v>0</v>
      </c>
      <c r="Q10" s="1194">
        <f>'7&amp;8 SU'!AD180</f>
        <v>0</v>
      </c>
      <c r="R10" s="1194">
        <f>'7&amp;8 SU'!AD233</f>
        <v>0</v>
      </c>
      <c r="S10" s="1220">
        <f>'7&amp;8 SU'!AD286</f>
        <v>0</v>
      </c>
    </row>
    <row r="11" spans="1:19" x14ac:dyDescent="0.2">
      <c r="A11" s="1192">
        <v>2008</v>
      </c>
      <c r="B11" s="1195">
        <v>0</v>
      </c>
      <c r="C11" s="1196">
        <f>'7&amp;8 Sleep'!AD77</f>
        <v>0</v>
      </c>
      <c r="D11" s="1196">
        <f>'7&amp;8 Sleep'!AD129</f>
        <v>0</v>
      </c>
      <c r="E11" s="1196">
        <f>'7&amp;8 Sleep'!AD181</f>
        <v>0</v>
      </c>
      <c r="F11" s="1196">
        <f>'7&amp;8 Sleep'!AD234</f>
        <v>0</v>
      </c>
      <c r="G11" s="1197">
        <f>'7&amp;8 Sleep'!AD287</f>
        <v>0</v>
      </c>
      <c r="H11" s="1195">
        <v>0</v>
      </c>
      <c r="I11" s="1196">
        <f>'7&amp;8 Day'!AD77</f>
        <v>0</v>
      </c>
      <c r="J11" s="1196">
        <f>'7&amp;8 Day'!AD129</f>
        <v>0</v>
      </c>
      <c r="K11" s="1196">
        <f>'7&amp;8 Day'!AD181</f>
        <v>0</v>
      </c>
      <c r="L11" s="1196">
        <f>'7&amp;8 Day'!AD234</f>
        <v>0</v>
      </c>
      <c r="M11" s="1197">
        <f>'7&amp;8 Day'!AD287</f>
        <v>0</v>
      </c>
      <c r="N11" s="1195">
        <v>0</v>
      </c>
      <c r="O11" s="1196">
        <f>'7&amp;8 SU'!AD77</f>
        <v>0</v>
      </c>
      <c r="P11" s="1196">
        <f>'7&amp;8 SU'!AD129</f>
        <v>0</v>
      </c>
      <c r="Q11" s="1196">
        <f>'7&amp;8 SU'!AD181</f>
        <v>0</v>
      </c>
      <c r="R11" s="1196">
        <f>'7&amp;8 SU'!AD234</f>
        <v>0</v>
      </c>
      <c r="S11" s="1197">
        <f>'7&amp;8 SU'!AD287</f>
        <v>0</v>
      </c>
    </row>
    <row r="12" spans="1:19" x14ac:dyDescent="0.2">
      <c r="A12" s="1192">
        <v>2009</v>
      </c>
      <c r="B12" s="1195">
        <v>0</v>
      </c>
      <c r="C12" s="1196">
        <f>'7&amp;8 Sleep'!AD78</f>
        <v>0</v>
      </c>
      <c r="D12" s="1196">
        <f>'7&amp;8 Sleep'!AD130</f>
        <v>0</v>
      </c>
      <c r="E12" s="1196">
        <f>'7&amp;8 Sleep'!AD182</f>
        <v>0</v>
      </c>
      <c r="F12" s="1196">
        <f>'7&amp;8 Sleep'!AD235</f>
        <v>0</v>
      </c>
      <c r="G12" s="1197">
        <f>'7&amp;8 Sleep'!AD288</f>
        <v>0</v>
      </c>
      <c r="H12" s="1195">
        <v>0</v>
      </c>
      <c r="I12" s="1196">
        <f>'7&amp;8 Day'!AD78</f>
        <v>0</v>
      </c>
      <c r="J12" s="1196">
        <f>'7&amp;8 Day'!AD130</f>
        <v>0</v>
      </c>
      <c r="K12" s="1196">
        <f>'7&amp;8 Day'!AD182</f>
        <v>0</v>
      </c>
      <c r="L12" s="1196">
        <f>'7&amp;8 Day'!AD235</f>
        <v>0</v>
      </c>
      <c r="M12" s="1197">
        <f>'7&amp;8 Day'!AD288</f>
        <v>0</v>
      </c>
      <c r="N12" s="1195">
        <v>0</v>
      </c>
      <c r="O12" s="1196">
        <f>'7&amp;8 SU'!AD78</f>
        <v>0</v>
      </c>
      <c r="P12" s="1196">
        <f>'7&amp;8 SU'!AD130</f>
        <v>0</v>
      </c>
      <c r="Q12" s="1196">
        <f>'7&amp;8 SU'!AD182</f>
        <v>0</v>
      </c>
      <c r="R12" s="1196">
        <f>'7&amp;8 SU'!AD235</f>
        <v>0</v>
      </c>
      <c r="S12" s="1197">
        <f>'7&amp;8 SU'!AD288</f>
        <v>0</v>
      </c>
    </row>
    <row r="13" spans="1:19" x14ac:dyDescent="0.2">
      <c r="A13" s="1198">
        <v>2010</v>
      </c>
      <c r="B13" s="1199">
        <v>0</v>
      </c>
      <c r="C13" s="1200">
        <f>'7&amp;8 Sleep'!AD79</f>
        <v>0</v>
      </c>
      <c r="D13" s="1200">
        <f>'7&amp;8 Sleep'!AD131</f>
        <v>0</v>
      </c>
      <c r="E13" s="1200">
        <f>'7&amp;8 Sleep'!AD183</f>
        <v>0</v>
      </c>
      <c r="F13" s="1200">
        <f>'7&amp;8 Sleep'!AD236</f>
        <v>0</v>
      </c>
      <c r="G13" s="1201">
        <f>'7&amp;8 Sleep'!AD289</f>
        <v>0</v>
      </c>
      <c r="H13" s="1199">
        <v>0</v>
      </c>
      <c r="I13" s="1200">
        <f>'7&amp;8 Day'!AD79</f>
        <v>0</v>
      </c>
      <c r="J13" s="1200">
        <f>'7&amp;8 Day'!AD131</f>
        <v>0</v>
      </c>
      <c r="K13" s="1200">
        <f>'7&amp;8 Day'!AD183</f>
        <v>0</v>
      </c>
      <c r="L13" s="1200">
        <f>'7&amp;8 Day'!AD236</f>
        <v>0</v>
      </c>
      <c r="M13" s="1201">
        <f>'7&amp;8 Day'!AD289</f>
        <v>0</v>
      </c>
      <c r="N13" s="1199">
        <v>0</v>
      </c>
      <c r="O13" s="1200">
        <f>'7&amp;8 SU'!AD79</f>
        <v>0</v>
      </c>
      <c r="P13" s="1200">
        <f>'7&amp;8 SU'!AD131</f>
        <v>0</v>
      </c>
      <c r="Q13" s="1200">
        <f>'7&amp;8 SU'!AD183</f>
        <v>0</v>
      </c>
      <c r="R13" s="1200">
        <f>'7&amp;8 SU'!AD236</f>
        <v>0</v>
      </c>
      <c r="S13" s="1201">
        <f>'7&amp;8 SU'!AD289</f>
        <v>0</v>
      </c>
    </row>
    <row r="14" spans="1:19" x14ac:dyDescent="0.2">
      <c r="A14" s="1192">
        <v>2011</v>
      </c>
      <c r="B14" s="1202">
        <v>0</v>
      </c>
      <c r="C14" s="1203">
        <f>'7&amp;8 Sleep'!AD80</f>
        <v>0</v>
      </c>
      <c r="D14" s="1203">
        <f>'7&amp;8 Sleep'!AD132</f>
        <v>0</v>
      </c>
      <c r="E14" s="1203">
        <f>'7&amp;8 Sleep'!AD184</f>
        <v>0</v>
      </c>
      <c r="F14" s="1203">
        <f>'7&amp;8 Sleep'!AD237</f>
        <v>0</v>
      </c>
      <c r="G14" s="1204">
        <f>'7&amp;8 Sleep'!AD290</f>
        <v>0</v>
      </c>
      <c r="H14" s="1202">
        <v>0</v>
      </c>
      <c r="I14" s="1203">
        <f>'7&amp;8 Day'!AD80</f>
        <v>0</v>
      </c>
      <c r="J14" s="1203">
        <f>'7&amp;8 Day'!AD132</f>
        <v>0</v>
      </c>
      <c r="K14" s="1203">
        <f>'7&amp;8 Day'!AD184</f>
        <v>0</v>
      </c>
      <c r="L14" s="1203">
        <f>'7&amp;8 Day'!AD237</f>
        <v>0</v>
      </c>
      <c r="M14" s="1204">
        <f>'7&amp;8 Day'!AD290</f>
        <v>0</v>
      </c>
      <c r="N14" s="1202">
        <v>0</v>
      </c>
      <c r="O14" s="1203">
        <f>'7&amp;8 SU'!AD80</f>
        <v>0</v>
      </c>
      <c r="P14" s="1203">
        <f>'7&amp;8 SU'!AD132</f>
        <v>0</v>
      </c>
      <c r="Q14" s="1203">
        <f>'7&amp;8 SU'!AD184</f>
        <v>0</v>
      </c>
      <c r="R14" s="1203">
        <f>'7&amp;8 SU'!AD237</f>
        <v>0</v>
      </c>
      <c r="S14" s="1204">
        <f>'7&amp;8 SU'!AD290</f>
        <v>0</v>
      </c>
    </row>
    <row r="15" spans="1:19" x14ac:dyDescent="0.2">
      <c r="A15" s="1192">
        <v>2012</v>
      </c>
      <c r="B15" s="1195">
        <v>0</v>
      </c>
      <c r="C15" s="1196">
        <f>'7&amp;8 Sleep'!AD81</f>
        <v>0</v>
      </c>
      <c r="D15" s="1196">
        <f>'7&amp;8 Sleep'!AD133</f>
        <v>0</v>
      </c>
      <c r="E15" s="1196">
        <f>'7&amp;8 Sleep'!AD185</f>
        <v>0</v>
      </c>
      <c r="F15" s="1196">
        <f>'7&amp;8 Sleep'!AD238</f>
        <v>0</v>
      </c>
      <c r="G15" s="1197">
        <f>'7&amp;8 Sleep'!AD291</f>
        <v>0</v>
      </c>
      <c r="H15" s="1195">
        <v>0</v>
      </c>
      <c r="I15" s="1196">
        <f>'7&amp;8 Day'!AD81</f>
        <v>0</v>
      </c>
      <c r="J15" s="1196">
        <f>'7&amp;8 Day'!AD133</f>
        <v>0</v>
      </c>
      <c r="K15" s="1196">
        <f>'7&amp;8 Day'!AD185</f>
        <v>0</v>
      </c>
      <c r="L15" s="1196">
        <f>'7&amp;8 Day'!AD238</f>
        <v>0</v>
      </c>
      <c r="M15" s="1197">
        <f>'7&amp;8 Day'!AD291</f>
        <v>0</v>
      </c>
      <c r="N15" s="1195">
        <v>0</v>
      </c>
      <c r="O15" s="1196">
        <f>'7&amp;8 SU'!AD81</f>
        <v>0</v>
      </c>
      <c r="P15" s="1196">
        <f>'7&amp;8 SU'!AD133</f>
        <v>0</v>
      </c>
      <c r="Q15" s="1196">
        <f>'7&amp;8 SU'!AD185</f>
        <v>0</v>
      </c>
      <c r="R15" s="1196">
        <f>'7&amp;8 SU'!AD238</f>
        <v>0</v>
      </c>
      <c r="S15" s="1197">
        <f>'7&amp;8 SU'!AD291</f>
        <v>0</v>
      </c>
    </row>
    <row r="16" spans="1:19" x14ac:dyDescent="0.2">
      <c r="A16" s="1192">
        <v>2013</v>
      </c>
      <c r="B16" s="1195">
        <v>0</v>
      </c>
      <c r="C16" s="1196">
        <f>'7&amp;8 Sleep'!AD82</f>
        <v>0</v>
      </c>
      <c r="D16" s="1196">
        <f>'7&amp;8 Sleep'!AD134</f>
        <v>0</v>
      </c>
      <c r="E16" s="1196">
        <f>'7&amp;8 Sleep'!AD186</f>
        <v>0</v>
      </c>
      <c r="F16" s="1196">
        <f>'7&amp;8 Sleep'!AD239</f>
        <v>0</v>
      </c>
      <c r="G16" s="1197">
        <f>'7&amp;8 Sleep'!AD292</f>
        <v>0</v>
      </c>
      <c r="H16" s="1195">
        <v>0</v>
      </c>
      <c r="I16" s="1196">
        <f>'7&amp;8 Day'!AD82</f>
        <v>0</v>
      </c>
      <c r="J16" s="1196">
        <f>'7&amp;8 Day'!AD134</f>
        <v>0</v>
      </c>
      <c r="K16" s="1196">
        <f>'7&amp;8 Day'!AD186</f>
        <v>0</v>
      </c>
      <c r="L16" s="1196">
        <f>'7&amp;8 Day'!AD239</f>
        <v>0</v>
      </c>
      <c r="M16" s="1197">
        <f>'7&amp;8 Day'!AD292</f>
        <v>0</v>
      </c>
      <c r="N16" s="1195">
        <v>0</v>
      </c>
      <c r="O16" s="1196">
        <f>'7&amp;8 SU'!AD82</f>
        <v>0</v>
      </c>
      <c r="P16" s="1196">
        <f>'7&amp;8 SU'!AD134</f>
        <v>0</v>
      </c>
      <c r="Q16" s="1196">
        <f>'7&amp;8 SU'!AD186</f>
        <v>0</v>
      </c>
      <c r="R16" s="1196">
        <f>'7&amp;8 SU'!AD239</f>
        <v>0</v>
      </c>
      <c r="S16" s="1197">
        <f>'7&amp;8 SU'!AD292</f>
        <v>0</v>
      </c>
    </row>
    <row r="17" spans="1:19" x14ac:dyDescent="0.2">
      <c r="A17" s="1192">
        <v>2014</v>
      </c>
      <c r="B17" s="1195">
        <v>0</v>
      </c>
      <c r="C17" s="1196">
        <f>'7&amp;8 Sleep'!AD83</f>
        <v>0</v>
      </c>
      <c r="D17" s="1196">
        <f>'7&amp;8 Sleep'!AD135</f>
        <v>0</v>
      </c>
      <c r="E17" s="1196">
        <f>'7&amp;8 Sleep'!AD187</f>
        <v>0</v>
      </c>
      <c r="F17" s="1196">
        <f>'7&amp;8 Sleep'!AD240</f>
        <v>0</v>
      </c>
      <c r="G17" s="1197">
        <f>'7&amp;8 Sleep'!AD293</f>
        <v>0</v>
      </c>
      <c r="H17" s="1195">
        <v>0</v>
      </c>
      <c r="I17" s="1196">
        <f>'7&amp;8 Day'!AD83</f>
        <v>0</v>
      </c>
      <c r="J17" s="1196">
        <f>'7&amp;8 Day'!AD135</f>
        <v>0</v>
      </c>
      <c r="K17" s="1196">
        <f>'7&amp;8 Day'!AD187</f>
        <v>0</v>
      </c>
      <c r="L17" s="1196">
        <f>'7&amp;8 Day'!AD240</f>
        <v>0</v>
      </c>
      <c r="M17" s="1197">
        <f>'7&amp;8 Day'!AD293</f>
        <v>0</v>
      </c>
      <c r="N17" s="1195">
        <v>0</v>
      </c>
      <c r="O17" s="1196">
        <f>'7&amp;8 SU'!AD83</f>
        <v>0</v>
      </c>
      <c r="P17" s="1196">
        <f>'7&amp;8 SU'!AD135</f>
        <v>0</v>
      </c>
      <c r="Q17" s="1196">
        <f>'7&amp;8 SU'!AD187</f>
        <v>0</v>
      </c>
      <c r="R17" s="1196">
        <f>'7&amp;8 SU'!AD240</f>
        <v>0</v>
      </c>
      <c r="S17" s="1197">
        <f>'7&amp;8 SU'!AD293</f>
        <v>0</v>
      </c>
    </row>
    <row r="18" spans="1:19" x14ac:dyDescent="0.2">
      <c r="A18" s="1198">
        <v>2015</v>
      </c>
      <c r="B18" s="1199">
        <v>0</v>
      </c>
      <c r="C18" s="1200">
        <f>'7&amp;8 Sleep'!AD84</f>
        <v>0</v>
      </c>
      <c r="D18" s="1200">
        <f>'7&amp;8 Sleep'!AD136</f>
        <v>0</v>
      </c>
      <c r="E18" s="1200">
        <f>'7&amp;8 Sleep'!AD188</f>
        <v>0</v>
      </c>
      <c r="F18" s="1200">
        <f>'7&amp;8 Sleep'!AD241</f>
        <v>0</v>
      </c>
      <c r="G18" s="1201">
        <f>'7&amp;8 Sleep'!AD294</f>
        <v>0</v>
      </c>
      <c r="H18" s="1199">
        <v>0</v>
      </c>
      <c r="I18" s="1200">
        <f>'7&amp;8 Day'!AD84</f>
        <v>0</v>
      </c>
      <c r="J18" s="1200">
        <f>'7&amp;8 Day'!AD136</f>
        <v>0</v>
      </c>
      <c r="K18" s="1200">
        <f>'7&amp;8 Day'!AD188</f>
        <v>0</v>
      </c>
      <c r="L18" s="1200">
        <f>'7&amp;8 Day'!AD241</f>
        <v>0</v>
      </c>
      <c r="M18" s="1201">
        <f>'7&amp;8 Day'!AD294</f>
        <v>0</v>
      </c>
      <c r="N18" s="1199">
        <v>0</v>
      </c>
      <c r="O18" s="1200">
        <f>'7&amp;8 SU'!AD84</f>
        <v>0</v>
      </c>
      <c r="P18" s="1200">
        <f>'7&amp;8 SU'!AD136</f>
        <v>0</v>
      </c>
      <c r="Q18" s="1200">
        <f>'7&amp;8 SU'!AD188</f>
        <v>0</v>
      </c>
      <c r="R18" s="1200">
        <f>'7&amp;8 SU'!AD241</f>
        <v>0</v>
      </c>
      <c r="S18" s="1201">
        <f>'7&amp;8 SU'!AD294</f>
        <v>0</v>
      </c>
    </row>
    <row r="19" spans="1:19" x14ac:dyDescent="0.2">
      <c r="A19" s="1192">
        <v>2016</v>
      </c>
      <c r="B19" s="1202">
        <v>0</v>
      </c>
      <c r="C19" s="1203">
        <f>'7&amp;8 Sleep'!AD85</f>
        <v>0</v>
      </c>
      <c r="D19" s="1203">
        <f>'7&amp;8 Sleep'!AD137</f>
        <v>0</v>
      </c>
      <c r="E19" s="1203">
        <f>'7&amp;8 Sleep'!AD189</f>
        <v>0</v>
      </c>
      <c r="F19" s="1203">
        <f>'7&amp;8 Sleep'!AD242</f>
        <v>0</v>
      </c>
      <c r="G19" s="1204">
        <f>'7&amp;8 Sleep'!AD295</f>
        <v>0</v>
      </c>
      <c r="H19" s="1202">
        <v>0</v>
      </c>
      <c r="I19" s="1203">
        <f>'7&amp;8 Day'!AD85</f>
        <v>0</v>
      </c>
      <c r="J19" s="1203">
        <f>'7&amp;8 Day'!AD137</f>
        <v>0</v>
      </c>
      <c r="K19" s="1203">
        <f>'7&amp;8 Day'!AD189</f>
        <v>0</v>
      </c>
      <c r="L19" s="1203">
        <f>'7&amp;8 Day'!AD242</f>
        <v>0</v>
      </c>
      <c r="M19" s="1204">
        <f>'7&amp;8 Day'!AD295</f>
        <v>0</v>
      </c>
      <c r="N19" s="1202">
        <v>0</v>
      </c>
      <c r="O19" s="1203">
        <f>'7&amp;8 SU'!AD85</f>
        <v>0</v>
      </c>
      <c r="P19" s="1203">
        <f>'7&amp;8 SU'!AD137</f>
        <v>0</v>
      </c>
      <c r="Q19" s="1203">
        <f>'7&amp;8 SU'!AD189</f>
        <v>0</v>
      </c>
      <c r="R19" s="1203">
        <f>'7&amp;8 SU'!AD242</f>
        <v>0</v>
      </c>
      <c r="S19" s="1204">
        <f>'7&amp;8 SU'!AD295</f>
        <v>0</v>
      </c>
    </row>
    <row r="20" spans="1:19" x14ac:dyDescent="0.2">
      <c r="A20" s="1192">
        <v>2017</v>
      </c>
      <c r="B20" s="1195">
        <v>0</v>
      </c>
      <c r="C20" s="1196">
        <f>'7&amp;8 Sleep'!AD86</f>
        <v>0</v>
      </c>
      <c r="D20" s="1196">
        <f>'7&amp;8 Sleep'!AD138</f>
        <v>0</v>
      </c>
      <c r="E20" s="1196">
        <f>'7&amp;8 Sleep'!AD190</f>
        <v>0</v>
      </c>
      <c r="F20" s="1196">
        <f>'7&amp;8 Sleep'!AD243</f>
        <v>0</v>
      </c>
      <c r="G20" s="1197">
        <f>'7&amp;8 Sleep'!AD296</f>
        <v>0</v>
      </c>
      <c r="H20" s="1195">
        <v>0</v>
      </c>
      <c r="I20" s="1196">
        <f>'7&amp;8 Day'!AD86</f>
        <v>0</v>
      </c>
      <c r="J20" s="1196">
        <f>'7&amp;8 Day'!AD138</f>
        <v>0</v>
      </c>
      <c r="K20" s="1196">
        <f>'7&amp;8 Day'!AD190</f>
        <v>0</v>
      </c>
      <c r="L20" s="1196">
        <f>'7&amp;8 Day'!AD243</f>
        <v>0</v>
      </c>
      <c r="M20" s="1197">
        <f>'7&amp;8 Day'!AD296</f>
        <v>0</v>
      </c>
      <c r="N20" s="1195">
        <v>0</v>
      </c>
      <c r="O20" s="1196">
        <f>'7&amp;8 SU'!AD86</f>
        <v>0</v>
      </c>
      <c r="P20" s="1196">
        <f>'7&amp;8 SU'!AD138</f>
        <v>0</v>
      </c>
      <c r="Q20" s="1196">
        <f>'7&amp;8 SU'!AD190</f>
        <v>0</v>
      </c>
      <c r="R20" s="1196">
        <f>'7&amp;8 SU'!AD243</f>
        <v>0</v>
      </c>
      <c r="S20" s="1197">
        <f>'7&amp;8 SU'!AD296</f>
        <v>0</v>
      </c>
    </row>
    <row r="21" spans="1:19" x14ac:dyDescent="0.2">
      <c r="A21" s="1192">
        <v>2018</v>
      </c>
      <c r="B21" s="1195">
        <v>0</v>
      </c>
      <c r="C21" s="1196">
        <f>'7&amp;8 Sleep'!AD87</f>
        <v>0</v>
      </c>
      <c r="D21" s="1196">
        <f>'7&amp;8 Sleep'!AD139</f>
        <v>0</v>
      </c>
      <c r="E21" s="1196">
        <f>'7&amp;8 Sleep'!AD191</f>
        <v>0</v>
      </c>
      <c r="F21" s="1196">
        <f>'7&amp;8 Sleep'!AD244</f>
        <v>0</v>
      </c>
      <c r="G21" s="1197">
        <f>'7&amp;8 Sleep'!AD297</f>
        <v>0</v>
      </c>
      <c r="H21" s="1195">
        <v>0</v>
      </c>
      <c r="I21" s="1196">
        <f>'7&amp;8 Day'!AD87</f>
        <v>0</v>
      </c>
      <c r="J21" s="1196">
        <f>'7&amp;8 Day'!AD139</f>
        <v>0</v>
      </c>
      <c r="K21" s="1196">
        <f>'7&amp;8 Day'!AD191</f>
        <v>0</v>
      </c>
      <c r="L21" s="1196">
        <f>'7&amp;8 Day'!AD244</f>
        <v>0</v>
      </c>
      <c r="M21" s="1197">
        <f>'7&amp;8 Day'!AD297</f>
        <v>0</v>
      </c>
      <c r="N21" s="1195">
        <v>0</v>
      </c>
      <c r="O21" s="1196">
        <f>'7&amp;8 SU'!AD87</f>
        <v>0</v>
      </c>
      <c r="P21" s="1196">
        <f>'7&amp;8 SU'!AD139</f>
        <v>0</v>
      </c>
      <c r="Q21" s="1196">
        <f>'7&amp;8 SU'!AD191</f>
        <v>0</v>
      </c>
      <c r="R21" s="1196">
        <f>'7&amp;8 SU'!AD244</f>
        <v>0</v>
      </c>
      <c r="S21" s="1197">
        <f>'7&amp;8 SU'!AD297</f>
        <v>0</v>
      </c>
    </row>
    <row r="22" spans="1:19" x14ac:dyDescent="0.2">
      <c r="A22" s="1192">
        <v>2019</v>
      </c>
      <c r="B22" s="1195">
        <v>0</v>
      </c>
      <c r="C22" s="1196">
        <f>'7&amp;8 Sleep'!AD88</f>
        <v>0</v>
      </c>
      <c r="D22" s="1196">
        <f>'7&amp;8 Sleep'!AD140</f>
        <v>0</v>
      </c>
      <c r="E22" s="1196">
        <f>'7&amp;8 Sleep'!AD192</f>
        <v>0</v>
      </c>
      <c r="F22" s="1196">
        <f>'7&amp;8 Sleep'!AD245</f>
        <v>0</v>
      </c>
      <c r="G22" s="1197">
        <f>'7&amp;8 Sleep'!AD298</f>
        <v>0</v>
      </c>
      <c r="H22" s="1195">
        <v>0</v>
      </c>
      <c r="I22" s="1196">
        <f>'7&amp;8 Day'!AD88</f>
        <v>0</v>
      </c>
      <c r="J22" s="1196">
        <f>'7&amp;8 Day'!AD140</f>
        <v>0</v>
      </c>
      <c r="K22" s="1196">
        <f>'7&amp;8 Day'!AD192</f>
        <v>0</v>
      </c>
      <c r="L22" s="1196">
        <f>'7&amp;8 Day'!AD245</f>
        <v>0</v>
      </c>
      <c r="M22" s="1197">
        <f>'7&amp;8 Day'!AD298</f>
        <v>0</v>
      </c>
      <c r="N22" s="1195">
        <v>0</v>
      </c>
      <c r="O22" s="1196">
        <f>'7&amp;8 SU'!AD88</f>
        <v>0</v>
      </c>
      <c r="P22" s="1196">
        <f>'7&amp;8 SU'!AD140</f>
        <v>0</v>
      </c>
      <c r="Q22" s="1196">
        <f>'7&amp;8 SU'!AD192</f>
        <v>0</v>
      </c>
      <c r="R22" s="1196">
        <f>'7&amp;8 SU'!AD245</f>
        <v>0</v>
      </c>
      <c r="S22" s="1197">
        <f>'7&amp;8 SU'!AD298</f>
        <v>0</v>
      </c>
    </row>
    <row r="23" spans="1:19" x14ac:dyDescent="0.2">
      <c r="A23" s="1198">
        <v>2020</v>
      </c>
      <c r="B23" s="1199">
        <v>0</v>
      </c>
      <c r="C23" s="1200">
        <f>'7&amp;8 Sleep'!AD89</f>
        <v>0</v>
      </c>
      <c r="D23" s="1200">
        <f>'7&amp;8 Sleep'!AD141</f>
        <v>0</v>
      </c>
      <c r="E23" s="1200">
        <f>'7&amp;8 Sleep'!AD193</f>
        <v>0</v>
      </c>
      <c r="F23" s="1200">
        <f>'7&amp;8 Sleep'!AD246</f>
        <v>0</v>
      </c>
      <c r="G23" s="1201">
        <f>'7&amp;8 Sleep'!AD299</f>
        <v>0</v>
      </c>
      <c r="H23" s="1199">
        <v>0</v>
      </c>
      <c r="I23" s="1200">
        <f>'7&amp;8 Day'!AD89</f>
        <v>0</v>
      </c>
      <c r="J23" s="1200">
        <f>'7&amp;8 Day'!AD141</f>
        <v>0</v>
      </c>
      <c r="K23" s="1200">
        <f>'7&amp;8 Day'!AD193</f>
        <v>0</v>
      </c>
      <c r="L23" s="1200">
        <f>'7&amp;8 Day'!AD246</f>
        <v>0</v>
      </c>
      <c r="M23" s="1201">
        <f>'7&amp;8 Day'!AD299</f>
        <v>0</v>
      </c>
      <c r="N23" s="1199">
        <v>0</v>
      </c>
      <c r="O23" s="1200">
        <f>'7&amp;8 SU'!AD89</f>
        <v>0</v>
      </c>
      <c r="P23" s="1200">
        <f>'7&amp;8 SU'!AD141</f>
        <v>0</v>
      </c>
      <c r="Q23" s="1200">
        <f>'7&amp;8 SU'!AD193</f>
        <v>0</v>
      </c>
      <c r="R23" s="1200">
        <f>'7&amp;8 SU'!AD246</f>
        <v>0</v>
      </c>
      <c r="S23" s="1201">
        <f>'7&amp;8 SU'!AD299</f>
        <v>0</v>
      </c>
    </row>
    <row r="24" spans="1:19" x14ac:dyDescent="0.2">
      <c r="A24" s="1192">
        <v>2021</v>
      </c>
      <c r="B24" s="1202">
        <v>0</v>
      </c>
      <c r="C24" s="1203">
        <f>'7&amp;8 Sleep'!AD90</f>
        <v>0</v>
      </c>
      <c r="D24" s="1203">
        <f>'7&amp;8 Sleep'!AD142</f>
        <v>0</v>
      </c>
      <c r="E24" s="1203">
        <f>'7&amp;8 Sleep'!AD194</f>
        <v>0</v>
      </c>
      <c r="F24" s="1203">
        <f>'7&amp;8 Sleep'!AD247</f>
        <v>0</v>
      </c>
      <c r="G24" s="1204">
        <f>'7&amp;8 Sleep'!AD300</f>
        <v>0</v>
      </c>
      <c r="H24" s="1202">
        <v>0</v>
      </c>
      <c r="I24" s="1203">
        <f>'7&amp;8 Day'!AD90</f>
        <v>0</v>
      </c>
      <c r="J24" s="1203">
        <f>'7&amp;8 Day'!AD142</f>
        <v>0</v>
      </c>
      <c r="K24" s="1203">
        <f>'7&amp;8 Day'!AD194</f>
        <v>0</v>
      </c>
      <c r="L24" s="1203">
        <f>'7&amp;8 Day'!AD247</f>
        <v>0</v>
      </c>
      <c r="M24" s="1204">
        <f>'7&amp;8 Day'!AD300</f>
        <v>0</v>
      </c>
      <c r="N24" s="1202">
        <v>0</v>
      </c>
      <c r="O24" s="1203">
        <f>'7&amp;8 SU'!AD90</f>
        <v>0</v>
      </c>
      <c r="P24" s="1203">
        <f>'7&amp;8 SU'!AD142</f>
        <v>0</v>
      </c>
      <c r="Q24" s="1203">
        <f>'7&amp;8 SU'!AD194</f>
        <v>0</v>
      </c>
      <c r="R24" s="1203">
        <f>'7&amp;8 SU'!AD247</f>
        <v>0</v>
      </c>
      <c r="S24" s="1204">
        <f>'7&amp;8 SU'!AD300</f>
        <v>0</v>
      </c>
    </row>
    <row r="25" spans="1:19" x14ac:dyDescent="0.2">
      <c r="A25" s="1192">
        <v>2022</v>
      </c>
      <c r="B25" s="1195">
        <v>0</v>
      </c>
      <c r="C25" s="1196">
        <f>'7&amp;8 Sleep'!AD91</f>
        <v>0</v>
      </c>
      <c r="D25" s="1196">
        <f>'7&amp;8 Sleep'!AD143</f>
        <v>0</v>
      </c>
      <c r="E25" s="1196">
        <f>'7&amp;8 Sleep'!AD195</f>
        <v>0</v>
      </c>
      <c r="F25" s="1196">
        <f>'7&amp;8 Sleep'!AD248</f>
        <v>0</v>
      </c>
      <c r="G25" s="1197">
        <f>'7&amp;8 Sleep'!AD301</f>
        <v>0</v>
      </c>
      <c r="H25" s="1195">
        <v>0</v>
      </c>
      <c r="I25" s="1196">
        <f>'7&amp;8 Day'!AD91</f>
        <v>0</v>
      </c>
      <c r="J25" s="1196">
        <f>'7&amp;8 Day'!AD143</f>
        <v>0</v>
      </c>
      <c r="K25" s="1196">
        <f>'7&amp;8 Day'!AD195</f>
        <v>0</v>
      </c>
      <c r="L25" s="1196">
        <f>'7&amp;8 Day'!AD248</f>
        <v>0</v>
      </c>
      <c r="M25" s="1197">
        <f>'7&amp;8 Day'!AD301</f>
        <v>0</v>
      </c>
      <c r="N25" s="1195">
        <v>0</v>
      </c>
      <c r="O25" s="1196">
        <f>'7&amp;8 SU'!AD91</f>
        <v>0</v>
      </c>
      <c r="P25" s="1196">
        <f>'7&amp;8 SU'!AD143</f>
        <v>0</v>
      </c>
      <c r="Q25" s="1196">
        <f>'7&amp;8 SU'!AD195</f>
        <v>0</v>
      </c>
      <c r="R25" s="1196">
        <f>'7&amp;8 SU'!AD248</f>
        <v>0</v>
      </c>
      <c r="S25" s="1197">
        <f>'7&amp;8 SU'!AD301</f>
        <v>0</v>
      </c>
    </row>
    <row r="26" spans="1:19" x14ac:dyDescent="0.2">
      <c r="A26" s="1192">
        <v>2023</v>
      </c>
      <c r="B26" s="1195">
        <v>0</v>
      </c>
      <c r="C26" s="1196">
        <f>'7&amp;8 Sleep'!AD92</f>
        <v>0</v>
      </c>
      <c r="D26" s="1196">
        <f>'7&amp;8 Sleep'!AD144</f>
        <v>0</v>
      </c>
      <c r="E26" s="1196">
        <f>'7&amp;8 Sleep'!AD196</f>
        <v>0</v>
      </c>
      <c r="F26" s="1196">
        <f>'7&amp;8 Sleep'!AD249</f>
        <v>0</v>
      </c>
      <c r="G26" s="1197">
        <f>'7&amp;8 Sleep'!AD302</f>
        <v>0</v>
      </c>
      <c r="H26" s="1195">
        <v>0</v>
      </c>
      <c r="I26" s="1196">
        <f>'7&amp;8 Day'!AD92</f>
        <v>0</v>
      </c>
      <c r="J26" s="1196">
        <f>'7&amp;8 Day'!AD144</f>
        <v>0</v>
      </c>
      <c r="K26" s="1196">
        <f>'7&amp;8 Day'!AD196</f>
        <v>0</v>
      </c>
      <c r="L26" s="1196">
        <f>'7&amp;8 Day'!AD249</f>
        <v>0</v>
      </c>
      <c r="M26" s="1197">
        <f>'7&amp;8 Day'!AD302</f>
        <v>0</v>
      </c>
      <c r="N26" s="1195">
        <v>0</v>
      </c>
      <c r="O26" s="1196">
        <f>'7&amp;8 SU'!AD92</f>
        <v>0</v>
      </c>
      <c r="P26" s="1196">
        <f>'7&amp;8 SU'!AD144</f>
        <v>0</v>
      </c>
      <c r="Q26" s="1196">
        <f>'7&amp;8 SU'!AD196</f>
        <v>0</v>
      </c>
      <c r="R26" s="1196">
        <f>'7&amp;8 SU'!AD249</f>
        <v>0</v>
      </c>
      <c r="S26" s="1197">
        <f>'7&amp;8 SU'!AD302</f>
        <v>0</v>
      </c>
    </row>
    <row r="27" spans="1:19" x14ac:dyDescent="0.2">
      <c r="A27" s="1192">
        <v>2024</v>
      </c>
      <c r="B27" s="1195">
        <v>0</v>
      </c>
      <c r="C27" s="1196">
        <f>'7&amp;8 Sleep'!AD93</f>
        <v>0</v>
      </c>
      <c r="D27" s="1196">
        <f>'7&amp;8 Sleep'!AD145</f>
        <v>0</v>
      </c>
      <c r="E27" s="1196">
        <f>'7&amp;8 Sleep'!AD197</f>
        <v>0</v>
      </c>
      <c r="F27" s="1196">
        <f>'7&amp;8 Sleep'!AD250</f>
        <v>0</v>
      </c>
      <c r="G27" s="1197">
        <f>'7&amp;8 Sleep'!AD303</f>
        <v>0</v>
      </c>
      <c r="H27" s="1195">
        <v>0</v>
      </c>
      <c r="I27" s="1196">
        <f>'7&amp;8 Day'!AD93</f>
        <v>0</v>
      </c>
      <c r="J27" s="1196">
        <f>'7&amp;8 Day'!AD145</f>
        <v>0</v>
      </c>
      <c r="K27" s="1196">
        <f>'7&amp;8 Day'!AD197</f>
        <v>0</v>
      </c>
      <c r="L27" s="1196">
        <f>'7&amp;8 Day'!AD250</f>
        <v>0</v>
      </c>
      <c r="M27" s="1197">
        <f>'7&amp;8 Day'!AD303</f>
        <v>0</v>
      </c>
      <c r="N27" s="1195">
        <v>0</v>
      </c>
      <c r="O27" s="1196">
        <f>'7&amp;8 SU'!AD93</f>
        <v>0</v>
      </c>
      <c r="P27" s="1196">
        <f>'7&amp;8 SU'!AD145</f>
        <v>0</v>
      </c>
      <c r="Q27" s="1196">
        <f>'7&amp;8 SU'!AD197</f>
        <v>0</v>
      </c>
      <c r="R27" s="1196">
        <f>'7&amp;8 SU'!AD250</f>
        <v>0</v>
      </c>
      <c r="S27" s="1197">
        <f>'7&amp;8 SU'!AD303</f>
        <v>0</v>
      </c>
    </row>
    <row r="28" spans="1:19" x14ac:dyDescent="0.2">
      <c r="A28" s="1198">
        <v>2025</v>
      </c>
      <c r="B28" s="1199">
        <v>0</v>
      </c>
      <c r="C28" s="1200">
        <f>'7&amp;8 Sleep'!AD94</f>
        <v>0</v>
      </c>
      <c r="D28" s="1200">
        <f>'7&amp;8 Sleep'!AD146</f>
        <v>0</v>
      </c>
      <c r="E28" s="1200">
        <f>'7&amp;8 Sleep'!AD198</f>
        <v>0</v>
      </c>
      <c r="F28" s="1200">
        <f>'7&amp;8 Sleep'!AD251</f>
        <v>0</v>
      </c>
      <c r="G28" s="1201">
        <f>'7&amp;8 Sleep'!AD304</f>
        <v>0</v>
      </c>
      <c r="H28" s="1199">
        <v>0</v>
      </c>
      <c r="I28" s="1200">
        <f>'7&amp;8 Day'!AD94</f>
        <v>0</v>
      </c>
      <c r="J28" s="1200">
        <f>'7&amp;8 Day'!AD146</f>
        <v>0</v>
      </c>
      <c r="K28" s="1200">
        <f>'7&amp;8 Day'!AD198</f>
        <v>0</v>
      </c>
      <c r="L28" s="1200">
        <f>'7&amp;8 Day'!AD251</f>
        <v>0</v>
      </c>
      <c r="M28" s="1201">
        <f>'7&amp;8 Day'!AD304</f>
        <v>0</v>
      </c>
      <c r="N28" s="1199">
        <v>0</v>
      </c>
      <c r="O28" s="1200">
        <f>'7&amp;8 SU'!AD94</f>
        <v>0</v>
      </c>
      <c r="P28" s="1200">
        <f>'7&amp;8 SU'!AD146</f>
        <v>0</v>
      </c>
      <c r="Q28" s="1200">
        <f>'7&amp;8 SU'!AD198</f>
        <v>0</v>
      </c>
      <c r="R28" s="1200">
        <f>'7&amp;8 SU'!AD251</f>
        <v>0</v>
      </c>
      <c r="S28" s="1201">
        <f>'7&amp;8 SU'!AD304</f>
        <v>0</v>
      </c>
    </row>
    <row r="29" spans="1:19" x14ac:dyDescent="0.2">
      <c r="A29" s="1192">
        <v>2026</v>
      </c>
      <c r="B29" s="1202">
        <v>0</v>
      </c>
      <c r="C29" s="1203">
        <f>'7&amp;8 Sleep'!AD95</f>
        <v>0</v>
      </c>
      <c r="D29" s="1203">
        <f>'7&amp;8 Sleep'!AD147</f>
        <v>0</v>
      </c>
      <c r="E29" s="1203">
        <f>'7&amp;8 Sleep'!AD199</f>
        <v>0</v>
      </c>
      <c r="F29" s="1203">
        <f>'7&amp;8 Sleep'!AD252</f>
        <v>0</v>
      </c>
      <c r="G29" s="1204">
        <f>'7&amp;8 Sleep'!AD305</f>
        <v>0</v>
      </c>
      <c r="H29" s="1202">
        <v>0</v>
      </c>
      <c r="I29" s="1203">
        <f>'7&amp;8 Day'!AD95</f>
        <v>0</v>
      </c>
      <c r="J29" s="1203">
        <f>'7&amp;8 Day'!AD147</f>
        <v>0</v>
      </c>
      <c r="K29" s="1203">
        <f>'7&amp;8 Day'!AD199</f>
        <v>0</v>
      </c>
      <c r="L29" s="1203">
        <f>'7&amp;8 Day'!AD252</f>
        <v>0</v>
      </c>
      <c r="M29" s="1204">
        <f>'7&amp;8 Day'!AD305</f>
        <v>0</v>
      </c>
      <c r="N29" s="1202">
        <v>0</v>
      </c>
      <c r="O29" s="1203">
        <f>'7&amp;8 SU'!AD95</f>
        <v>0</v>
      </c>
      <c r="P29" s="1203">
        <f>'7&amp;8 SU'!AD147</f>
        <v>0</v>
      </c>
      <c r="Q29" s="1203">
        <f>'7&amp;8 SU'!AD199</f>
        <v>0</v>
      </c>
      <c r="R29" s="1203">
        <f>'7&amp;8 SU'!AD252</f>
        <v>0.16889843268474264</v>
      </c>
      <c r="S29" s="1204">
        <f>'7&amp;8 SU'!AD305</f>
        <v>0</v>
      </c>
    </row>
    <row r="30" spans="1:19" x14ac:dyDescent="0.2">
      <c r="A30" s="1192">
        <v>2027</v>
      </c>
      <c r="B30" s="1195">
        <v>0</v>
      </c>
      <c r="C30" s="1196">
        <f>'7&amp;8 Sleep'!AD96</f>
        <v>0</v>
      </c>
      <c r="D30" s="1196">
        <f>'7&amp;8 Sleep'!AD148</f>
        <v>0</v>
      </c>
      <c r="E30" s="1196">
        <f>'7&amp;8 Sleep'!AD200</f>
        <v>0</v>
      </c>
      <c r="F30" s="1196">
        <f>'7&amp;8 Sleep'!AD253</f>
        <v>0</v>
      </c>
      <c r="G30" s="1197">
        <f>'7&amp;8 Sleep'!AD306</f>
        <v>0</v>
      </c>
      <c r="H30" s="1195">
        <v>0</v>
      </c>
      <c r="I30" s="1196">
        <f>'7&amp;8 Day'!AD96</f>
        <v>0</v>
      </c>
      <c r="J30" s="1196">
        <f>'7&amp;8 Day'!AD148</f>
        <v>0</v>
      </c>
      <c r="K30" s="1196">
        <f>'7&amp;8 Day'!AD200</f>
        <v>0</v>
      </c>
      <c r="L30" s="1196">
        <f>'7&amp;8 Day'!AD253</f>
        <v>0</v>
      </c>
      <c r="M30" s="1197">
        <f>'7&amp;8 Day'!AD306</f>
        <v>0</v>
      </c>
      <c r="N30" s="1195">
        <v>0</v>
      </c>
      <c r="O30" s="1196">
        <f>'7&amp;8 SU'!AD96</f>
        <v>0</v>
      </c>
      <c r="P30" s="1196">
        <f>'7&amp;8 SU'!AD148</f>
        <v>0</v>
      </c>
      <c r="Q30" s="1196">
        <f>'7&amp;8 SU'!AD200</f>
        <v>0</v>
      </c>
      <c r="R30" s="1196">
        <f>'7&amp;8 SU'!AD253</f>
        <v>0.17864599634862016</v>
      </c>
      <c r="S30" s="1197">
        <f>'7&amp;8 SU'!AD306</f>
        <v>0</v>
      </c>
    </row>
    <row r="31" spans="1:19" x14ac:dyDescent="0.2">
      <c r="A31" s="1192">
        <v>2028</v>
      </c>
      <c r="B31" s="1195">
        <v>0</v>
      </c>
      <c r="C31" s="1196">
        <f>'7&amp;8 Sleep'!AD97</f>
        <v>0</v>
      </c>
      <c r="D31" s="1196">
        <f>'7&amp;8 Sleep'!AD149</f>
        <v>0</v>
      </c>
      <c r="E31" s="1196">
        <f>'7&amp;8 Sleep'!AD201</f>
        <v>0</v>
      </c>
      <c r="F31" s="1196">
        <f>'7&amp;8 Sleep'!AD254</f>
        <v>0</v>
      </c>
      <c r="G31" s="1197">
        <f>'7&amp;8 Sleep'!AD307</f>
        <v>0</v>
      </c>
      <c r="H31" s="1195">
        <v>0</v>
      </c>
      <c r="I31" s="1196">
        <f>'7&amp;8 Day'!AD97</f>
        <v>0</v>
      </c>
      <c r="J31" s="1196">
        <f>'7&amp;8 Day'!AD149</f>
        <v>0</v>
      </c>
      <c r="K31" s="1196">
        <f>'7&amp;8 Day'!AD201</f>
        <v>0</v>
      </c>
      <c r="L31" s="1196">
        <f>'7&amp;8 Day'!AD254</f>
        <v>0</v>
      </c>
      <c r="M31" s="1197">
        <f>'7&amp;8 Day'!AD307</f>
        <v>0</v>
      </c>
      <c r="N31" s="1195">
        <v>0</v>
      </c>
      <c r="O31" s="1196">
        <f>'7&amp;8 SU'!AD97</f>
        <v>0</v>
      </c>
      <c r="P31" s="1196">
        <f>'7&amp;8 SU'!AD149</f>
        <v>0</v>
      </c>
      <c r="Q31" s="1196">
        <f>'7&amp;8 SU'!AD201</f>
        <v>0</v>
      </c>
      <c r="R31" s="1196">
        <f>'7&amp;8 SU'!AD254</f>
        <v>0.20157277963620687</v>
      </c>
      <c r="S31" s="1197">
        <f>'7&amp;8 SU'!AD307</f>
        <v>0</v>
      </c>
    </row>
    <row r="32" spans="1:19" x14ac:dyDescent="0.2">
      <c r="A32" s="1192">
        <v>2029</v>
      </c>
      <c r="B32" s="1195">
        <v>0</v>
      </c>
      <c r="C32" s="1196">
        <f>'7&amp;8 Sleep'!AD98</f>
        <v>0</v>
      </c>
      <c r="D32" s="1196">
        <f>'7&amp;8 Sleep'!AD150</f>
        <v>0</v>
      </c>
      <c r="E32" s="1196">
        <f>'7&amp;8 Sleep'!AD202</f>
        <v>0</v>
      </c>
      <c r="F32" s="1196">
        <f>'7&amp;8 Sleep'!AD255</f>
        <v>0</v>
      </c>
      <c r="G32" s="1197">
        <f>'7&amp;8 Sleep'!AD308</f>
        <v>0</v>
      </c>
      <c r="H32" s="1195">
        <v>0</v>
      </c>
      <c r="I32" s="1196">
        <f>'7&amp;8 Day'!AD98</f>
        <v>0</v>
      </c>
      <c r="J32" s="1196">
        <f>'7&amp;8 Day'!AD150</f>
        <v>0</v>
      </c>
      <c r="K32" s="1196">
        <f>'7&amp;8 Day'!AD202</f>
        <v>0</v>
      </c>
      <c r="L32" s="1196">
        <f>'7&amp;8 Day'!AD255</f>
        <v>0</v>
      </c>
      <c r="M32" s="1197">
        <f>'7&amp;8 Day'!AD308</f>
        <v>0</v>
      </c>
      <c r="N32" s="1195">
        <v>0</v>
      </c>
      <c r="O32" s="1196">
        <f>'7&amp;8 SU'!AD98</f>
        <v>0</v>
      </c>
      <c r="P32" s="1196">
        <f>'7&amp;8 SU'!AD150</f>
        <v>0</v>
      </c>
      <c r="Q32" s="1196">
        <f>'7&amp;8 SU'!AD202</f>
        <v>0</v>
      </c>
      <c r="R32" s="1196">
        <f>'7&amp;8 SU'!AD255</f>
        <v>0.22565022139993335</v>
      </c>
      <c r="S32" s="1197">
        <f>'7&amp;8 SU'!AD308</f>
        <v>0</v>
      </c>
    </row>
    <row r="33" spans="1:19" x14ac:dyDescent="0.2">
      <c r="A33" s="1198">
        <v>2030</v>
      </c>
      <c r="B33" s="1199">
        <v>0</v>
      </c>
      <c r="C33" s="1200">
        <f>'7&amp;8 Sleep'!AD99</f>
        <v>0</v>
      </c>
      <c r="D33" s="1200">
        <f>'7&amp;8 Sleep'!AD151</f>
        <v>0</v>
      </c>
      <c r="E33" s="1200">
        <f>'7&amp;8 Sleep'!AD203</f>
        <v>0</v>
      </c>
      <c r="F33" s="1200">
        <f>'7&amp;8 Sleep'!AD256</f>
        <v>0</v>
      </c>
      <c r="G33" s="1201">
        <f>'7&amp;8 Sleep'!AD309</f>
        <v>0</v>
      </c>
      <c r="H33" s="1199">
        <v>0</v>
      </c>
      <c r="I33" s="1200">
        <f>'7&amp;8 Day'!AD99</f>
        <v>0</v>
      </c>
      <c r="J33" s="1200">
        <f>'7&amp;8 Day'!AD151</f>
        <v>0</v>
      </c>
      <c r="K33" s="1200">
        <f>'7&amp;8 Day'!AD203</f>
        <v>0</v>
      </c>
      <c r="L33" s="1200">
        <f>'7&amp;8 Day'!AD256</f>
        <v>0</v>
      </c>
      <c r="M33" s="1201">
        <f>'7&amp;8 Day'!AD309</f>
        <v>0</v>
      </c>
      <c r="N33" s="1199">
        <v>0</v>
      </c>
      <c r="O33" s="1200">
        <f>'7&amp;8 SU'!AD99</f>
        <v>0</v>
      </c>
      <c r="P33" s="1200">
        <f>'7&amp;8 SU'!AD151</f>
        <v>0</v>
      </c>
      <c r="Q33" s="1200">
        <f>'7&amp;8 SU'!AD203</f>
        <v>0</v>
      </c>
      <c r="R33" s="1200">
        <f>'7&amp;8 SU'!AD256</f>
        <v>0.24825031514657239</v>
      </c>
      <c r="S33" s="1201">
        <f>'7&amp;8 SU'!AD309</f>
        <v>0</v>
      </c>
    </row>
    <row r="34" spans="1:19" x14ac:dyDescent="0.2">
      <c r="A34" s="1192">
        <v>2031</v>
      </c>
      <c r="B34" s="1202">
        <v>0</v>
      </c>
      <c r="C34" s="1203">
        <f>'7&amp;8 Sleep'!AD100</f>
        <v>0</v>
      </c>
      <c r="D34" s="1203">
        <f>'7&amp;8 Sleep'!AD152</f>
        <v>0</v>
      </c>
      <c r="E34" s="1203">
        <f>'7&amp;8 Sleep'!AD204</f>
        <v>0</v>
      </c>
      <c r="F34" s="1203">
        <f>'7&amp;8 Sleep'!AD257</f>
        <v>0</v>
      </c>
      <c r="G34" s="1204">
        <f>'7&amp;8 Sleep'!AD310</f>
        <v>0</v>
      </c>
      <c r="H34" s="1202">
        <v>0</v>
      </c>
      <c r="I34" s="1203">
        <f>'7&amp;8 Day'!AD100</f>
        <v>0</v>
      </c>
      <c r="J34" s="1203">
        <f>'7&amp;8 Day'!AD152</f>
        <v>0</v>
      </c>
      <c r="K34" s="1203">
        <f>'7&amp;8 Day'!AD204</f>
        <v>0.15603295236606704</v>
      </c>
      <c r="L34" s="1203">
        <f>'7&amp;8 Day'!AD257</f>
        <v>0</v>
      </c>
      <c r="M34" s="1204">
        <f>'7&amp;8 Day'!AD310</f>
        <v>0</v>
      </c>
      <c r="N34" s="1202">
        <v>0</v>
      </c>
      <c r="O34" s="1203">
        <f>'7&amp;8 SU'!AD100</f>
        <v>0</v>
      </c>
      <c r="P34" s="1203">
        <f>'7&amp;8 SU'!AD152</f>
        <v>0</v>
      </c>
      <c r="Q34" s="1203">
        <f>'7&amp;8 SU'!AD204</f>
        <v>0</v>
      </c>
      <c r="R34" s="1203">
        <f>'7&amp;8 SU'!AD257</f>
        <v>0.25839466414568374</v>
      </c>
      <c r="S34" s="1204">
        <f>'7&amp;8 SU'!AD310</f>
        <v>0</v>
      </c>
    </row>
    <row r="35" spans="1:19" x14ac:dyDescent="0.2">
      <c r="A35" s="1192">
        <v>2032</v>
      </c>
      <c r="B35" s="1195">
        <v>0</v>
      </c>
      <c r="C35" s="1196">
        <f>'7&amp;8 Sleep'!AD101</f>
        <v>0</v>
      </c>
      <c r="D35" s="1196">
        <f>'7&amp;8 Sleep'!AD153</f>
        <v>0</v>
      </c>
      <c r="E35" s="1196">
        <f>'7&amp;8 Sleep'!AD205</f>
        <v>0</v>
      </c>
      <c r="F35" s="1196">
        <f>'7&amp;8 Sleep'!AD258</f>
        <v>0</v>
      </c>
      <c r="G35" s="1197">
        <f>'7&amp;8 Sleep'!AD311</f>
        <v>0</v>
      </c>
      <c r="H35" s="1195">
        <v>0</v>
      </c>
      <c r="I35" s="1196">
        <f>'7&amp;8 Day'!AD101</f>
        <v>0</v>
      </c>
      <c r="J35" s="1196">
        <f>'7&amp;8 Day'!AD153</f>
        <v>0</v>
      </c>
      <c r="K35" s="1196">
        <f>'7&amp;8 Day'!AD205</f>
        <v>0.15617650810866854</v>
      </c>
      <c r="L35" s="1196">
        <f>'7&amp;8 Day'!AD258</f>
        <v>0</v>
      </c>
      <c r="M35" s="1197">
        <f>'7&amp;8 Day'!AD311</f>
        <v>0</v>
      </c>
      <c r="N35" s="1195">
        <v>0</v>
      </c>
      <c r="O35" s="1196">
        <f>'7&amp;8 SU'!AD101</f>
        <v>0</v>
      </c>
      <c r="P35" s="1196">
        <f>'7&amp;8 SU'!AD153</f>
        <v>0</v>
      </c>
      <c r="Q35" s="1196">
        <f>'7&amp;8 SU'!AD205</f>
        <v>0</v>
      </c>
      <c r="R35" s="1196">
        <f>'7&amp;8 SU'!AD258</f>
        <v>0.26693478657857134</v>
      </c>
      <c r="S35" s="1197">
        <f>'7&amp;8 SU'!AD311</f>
        <v>0</v>
      </c>
    </row>
    <row r="36" spans="1:19" x14ac:dyDescent="0.2">
      <c r="A36" s="1192">
        <v>2033</v>
      </c>
      <c r="B36" s="1195">
        <v>0</v>
      </c>
      <c r="C36" s="1196">
        <f>'7&amp;8 Sleep'!AD102</f>
        <v>0</v>
      </c>
      <c r="D36" s="1196">
        <f>'7&amp;8 Sleep'!AD154</f>
        <v>0</v>
      </c>
      <c r="E36" s="1196">
        <f>'7&amp;8 Sleep'!AD206</f>
        <v>0</v>
      </c>
      <c r="F36" s="1196">
        <f>'7&amp;8 Sleep'!AD259</f>
        <v>0</v>
      </c>
      <c r="G36" s="1197">
        <f>'7&amp;8 Sleep'!AD312</f>
        <v>0</v>
      </c>
      <c r="H36" s="1195">
        <v>0</v>
      </c>
      <c r="I36" s="1196">
        <f>'7&amp;8 Day'!AD102</f>
        <v>0</v>
      </c>
      <c r="J36" s="1196">
        <f>'7&amp;8 Day'!AD154</f>
        <v>0</v>
      </c>
      <c r="K36" s="1196">
        <f>'7&amp;8 Day'!AD206</f>
        <v>0.16115164577810429</v>
      </c>
      <c r="L36" s="1196">
        <f>'7&amp;8 Day'!AD259</f>
        <v>0</v>
      </c>
      <c r="M36" s="1197">
        <f>'7&amp;8 Day'!AD312</f>
        <v>0</v>
      </c>
      <c r="N36" s="1195">
        <v>0</v>
      </c>
      <c r="O36" s="1196">
        <f>'7&amp;8 SU'!AD102</f>
        <v>0</v>
      </c>
      <c r="P36" s="1196">
        <f>'7&amp;8 SU'!AD154</f>
        <v>0</v>
      </c>
      <c r="Q36" s="1196">
        <f>'7&amp;8 SU'!AD206</f>
        <v>0</v>
      </c>
      <c r="R36" s="1196">
        <f>'7&amp;8 SU'!AD259</f>
        <v>0.27777689399041144</v>
      </c>
      <c r="S36" s="1197">
        <f>'7&amp;8 SU'!AD312</f>
        <v>0</v>
      </c>
    </row>
    <row r="37" spans="1:19" x14ac:dyDescent="0.2">
      <c r="A37" s="1192">
        <v>2034</v>
      </c>
      <c r="B37" s="1195">
        <v>0</v>
      </c>
      <c r="C37" s="1196">
        <f>'7&amp;8 Sleep'!AD103</f>
        <v>0</v>
      </c>
      <c r="D37" s="1196">
        <f>'7&amp;8 Sleep'!AD155</f>
        <v>0</v>
      </c>
      <c r="E37" s="1196">
        <f>'7&amp;8 Sleep'!AD207</f>
        <v>0</v>
      </c>
      <c r="F37" s="1196">
        <f>'7&amp;8 Sleep'!AD260</f>
        <v>0</v>
      </c>
      <c r="G37" s="1197">
        <f>'7&amp;8 Sleep'!AD313</f>
        <v>0</v>
      </c>
      <c r="H37" s="1195">
        <v>0</v>
      </c>
      <c r="I37" s="1196">
        <f>'7&amp;8 Day'!AD103</f>
        <v>0</v>
      </c>
      <c r="J37" s="1196">
        <f>'7&amp;8 Day'!AD155</f>
        <v>0</v>
      </c>
      <c r="K37" s="1196">
        <f>'7&amp;8 Day'!AD207</f>
        <v>0.17374296711375925</v>
      </c>
      <c r="L37" s="1196">
        <f>'7&amp;8 Day'!AD260</f>
        <v>0</v>
      </c>
      <c r="M37" s="1197">
        <f>'7&amp;8 Day'!AD313</f>
        <v>0</v>
      </c>
      <c r="N37" s="1195">
        <v>0</v>
      </c>
      <c r="O37" s="1196">
        <f>'7&amp;8 SU'!AD103</f>
        <v>0</v>
      </c>
      <c r="P37" s="1196">
        <f>'7&amp;8 SU'!AD155</f>
        <v>0</v>
      </c>
      <c r="Q37" s="1196">
        <f>'7&amp;8 SU'!AD207</f>
        <v>0</v>
      </c>
      <c r="R37" s="1196">
        <f>'7&amp;8 SU'!AD260</f>
        <v>0.29279817045207257</v>
      </c>
      <c r="S37" s="1197">
        <f>'7&amp;8 SU'!AD313</f>
        <v>0</v>
      </c>
    </row>
    <row r="38" spans="1:19" x14ac:dyDescent="0.2">
      <c r="A38" s="1198">
        <v>2035</v>
      </c>
      <c r="B38" s="1199">
        <v>0</v>
      </c>
      <c r="C38" s="1200">
        <f>'7&amp;8 Sleep'!AD104</f>
        <v>0</v>
      </c>
      <c r="D38" s="1200">
        <f>'7&amp;8 Sleep'!AD156</f>
        <v>0</v>
      </c>
      <c r="E38" s="1200">
        <f>'7&amp;8 Sleep'!AD208</f>
        <v>0</v>
      </c>
      <c r="F38" s="1200">
        <f>'7&amp;8 Sleep'!AD261</f>
        <v>0</v>
      </c>
      <c r="G38" s="1201">
        <f>'7&amp;8 Sleep'!AD314</f>
        <v>0</v>
      </c>
      <c r="H38" s="1199">
        <v>0</v>
      </c>
      <c r="I38" s="1200">
        <f>'7&amp;8 Day'!AD104</f>
        <v>0</v>
      </c>
      <c r="J38" s="1200">
        <f>'7&amp;8 Day'!AD156</f>
        <v>0</v>
      </c>
      <c r="K38" s="1200">
        <f>'7&amp;8 Day'!AD208</f>
        <v>0.19943834809524263</v>
      </c>
      <c r="L38" s="1200">
        <f>'7&amp;8 Day'!AD261</f>
        <v>0</v>
      </c>
      <c r="M38" s="1201">
        <f>'7&amp;8 Day'!AD314</f>
        <v>0</v>
      </c>
      <c r="N38" s="1199">
        <v>0</v>
      </c>
      <c r="O38" s="1200">
        <f>'7&amp;8 SU'!AD104</f>
        <v>0</v>
      </c>
      <c r="P38" s="1200">
        <f>'7&amp;8 SU'!AD156</f>
        <v>0</v>
      </c>
      <c r="Q38" s="1200">
        <f>'7&amp;8 SU'!AD208</f>
        <v>0</v>
      </c>
      <c r="R38" s="1200">
        <f>'7&amp;8 SU'!AD261</f>
        <v>0.31784118596227184</v>
      </c>
      <c r="S38" s="1201">
        <f>'7&amp;8 SU'!AD314</f>
        <v>0</v>
      </c>
    </row>
    <row r="39" spans="1:19" x14ac:dyDescent="0.2">
      <c r="A39" s="1192">
        <v>2036</v>
      </c>
      <c r="B39" s="1202">
        <v>0</v>
      </c>
      <c r="C39" s="1203">
        <f>'7&amp;8 Sleep'!AD105</f>
        <v>0</v>
      </c>
      <c r="D39" s="1203">
        <f>'7&amp;8 Sleep'!AD157</f>
        <v>0</v>
      </c>
      <c r="E39" s="1203">
        <f>'7&amp;8 Sleep'!AD209</f>
        <v>0</v>
      </c>
      <c r="F39" s="1203">
        <f>'7&amp;8 Sleep'!AD262</f>
        <v>0</v>
      </c>
      <c r="G39" s="1204">
        <f>'7&amp;8 Sleep'!AD315</f>
        <v>0</v>
      </c>
      <c r="H39" s="1202">
        <v>0</v>
      </c>
      <c r="I39" s="1203">
        <f>'7&amp;8 Day'!AD105</f>
        <v>0</v>
      </c>
      <c r="J39" s="1203">
        <f>'7&amp;8 Day'!AD157</f>
        <v>0</v>
      </c>
      <c r="K39" s="1203">
        <f>'7&amp;8 Day'!AD209</f>
        <v>0.20833778080543369</v>
      </c>
      <c r="L39" s="1203">
        <f>'7&amp;8 Day'!AD262</f>
        <v>0</v>
      </c>
      <c r="M39" s="1204">
        <f>'7&amp;8 Day'!AD315</f>
        <v>0</v>
      </c>
      <c r="N39" s="1202">
        <v>0</v>
      </c>
      <c r="O39" s="1203">
        <f>'7&amp;8 SU'!AD105</f>
        <v>0</v>
      </c>
      <c r="P39" s="1203">
        <f>'7&amp;8 SU'!AD157</f>
        <v>0</v>
      </c>
      <c r="Q39" s="1203">
        <f>'7&amp;8 SU'!AD209</f>
        <v>0</v>
      </c>
      <c r="R39" s="1203">
        <f>'7&amp;8 SU'!AD262</f>
        <v>0.32937027215683201</v>
      </c>
      <c r="S39" s="1204">
        <f>'7&amp;8 SU'!AD315</f>
        <v>0</v>
      </c>
    </row>
    <row r="40" spans="1:19" x14ac:dyDescent="0.2">
      <c r="A40" s="1192">
        <v>2037</v>
      </c>
      <c r="B40" s="1195">
        <v>0</v>
      </c>
      <c r="C40" s="1196">
        <f>'7&amp;8 Sleep'!AD106</f>
        <v>0</v>
      </c>
      <c r="D40" s="1196">
        <f>'7&amp;8 Sleep'!AD158</f>
        <v>0</v>
      </c>
      <c r="E40" s="1196">
        <f>'7&amp;8 Sleep'!AD210</f>
        <v>0</v>
      </c>
      <c r="F40" s="1196">
        <f>'7&amp;8 Sleep'!AD263</f>
        <v>0</v>
      </c>
      <c r="G40" s="1197">
        <f>'7&amp;8 Sleep'!AD316</f>
        <v>0</v>
      </c>
      <c r="H40" s="1195">
        <v>0</v>
      </c>
      <c r="I40" s="1196">
        <f>'7&amp;8 Day'!AD106</f>
        <v>0</v>
      </c>
      <c r="J40" s="1196">
        <f>'7&amp;8 Day'!AD158</f>
        <v>0</v>
      </c>
      <c r="K40" s="1196">
        <f>'7&amp;8 Day'!AD210</f>
        <v>0.21670515338402874</v>
      </c>
      <c r="L40" s="1196">
        <f>'7&amp;8 Day'!AD263</f>
        <v>0</v>
      </c>
      <c r="M40" s="1197">
        <f>'7&amp;8 Day'!AD316</f>
        <v>0</v>
      </c>
      <c r="N40" s="1195">
        <v>0</v>
      </c>
      <c r="O40" s="1196">
        <f>'7&amp;8 SU'!AD106</f>
        <v>0</v>
      </c>
      <c r="P40" s="1196">
        <f>'7&amp;8 SU'!AD158</f>
        <v>0</v>
      </c>
      <c r="Q40" s="1196">
        <f>'7&amp;8 SU'!AD210</f>
        <v>0</v>
      </c>
      <c r="R40" s="1196">
        <f>'7&amp;8 SU'!AD263</f>
        <v>0.33981745421415727</v>
      </c>
      <c r="S40" s="1197">
        <f>'7&amp;8 SU'!AD316</f>
        <v>0</v>
      </c>
    </row>
    <row r="41" spans="1:19" x14ac:dyDescent="0.2">
      <c r="A41" s="1192">
        <v>2038</v>
      </c>
      <c r="B41" s="1195">
        <v>0</v>
      </c>
      <c r="C41" s="1196">
        <f>'7&amp;8 Sleep'!AD107</f>
        <v>0</v>
      </c>
      <c r="D41" s="1196">
        <f>'7&amp;8 Sleep'!AD159</f>
        <v>0</v>
      </c>
      <c r="E41" s="1196">
        <f>'7&amp;8 Sleep'!AD211</f>
        <v>0</v>
      </c>
      <c r="F41" s="1196">
        <f>'7&amp;8 Sleep'!AD264</f>
        <v>0</v>
      </c>
      <c r="G41" s="1197">
        <f>'7&amp;8 Sleep'!AD317</f>
        <v>0</v>
      </c>
      <c r="H41" s="1195">
        <v>0</v>
      </c>
      <c r="I41" s="1196">
        <f>'7&amp;8 Day'!AD107</f>
        <v>0</v>
      </c>
      <c r="J41" s="1196">
        <f>'7&amp;8 Day'!AD159</f>
        <v>0</v>
      </c>
      <c r="K41" s="1196">
        <f>'7&amp;8 Day'!AD211</f>
        <v>0.22471408048898545</v>
      </c>
      <c r="L41" s="1196">
        <f>'7&amp;8 Day'!AD264</f>
        <v>0</v>
      </c>
      <c r="M41" s="1197">
        <f>'7&amp;8 Day'!AD317</f>
        <v>0</v>
      </c>
      <c r="N41" s="1195">
        <v>0</v>
      </c>
      <c r="O41" s="1196">
        <f>'7&amp;8 SU'!AD107</f>
        <v>0</v>
      </c>
      <c r="P41" s="1196">
        <f>'7&amp;8 SU'!AD159</f>
        <v>0</v>
      </c>
      <c r="Q41" s="1196">
        <f>'7&amp;8 SU'!AD211</f>
        <v>0</v>
      </c>
      <c r="R41" s="1196">
        <f>'7&amp;8 SU'!AD264</f>
        <v>0.35043595105181041</v>
      </c>
      <c r="S41" s="1197">
        <f>'7&amp;8 SU'!AD317</f>
        <v>0</v>
      </c>
    </row>
    <row r="42" spans="1:19" x14ac:dyDescent="0.2">
      <c r="A42" s="1192">
        <v>2039</v>
      </c>
      <c r="B42" s="1195">
        <v>0</v>
      </c>
      <c r="C42" s="1196">
        <f>'7&amp;8 Sleep'!AD108</f>
        <v>0</v>
      </c>
      <c r="D42" s="1196">
        <f>'7&amp;8 Sleep'!AD160</f>
        <v>0</v>
      </c>
      <c r="E42" s="1196">
        <f>'7&amp;8 Sleep'!AD212</f>
        <v>0</v>
      </c>
      <c r="F42" s="1196">
        <f>'7&amp;8 Sleep'!AD265</f>
        <v>0</v>
      </c>
      <c r="G42" s="1197">
        <f>'7&amp;8 Sleep'!AD318</f>
        <v>0</v>
      </c>
      <c r="H42" s="1195">
        <v>0</v>
      </c>
      <c r="I42" s="1196">
        <f>'7&amp;8 Day'!AD108</f>
        <v>0</v>
      </c>
      <c r="J42" s="1196">
        <f>'7&amp;8 Day'!AD160</f>
        <v>0</v>
      </c>
      <c r="K42" s="1196">
        <f>'7&amp;8 Day'!AD212</f>
        <v>0.23639181658814812</v>
      </c>
      <c r="L42" s="1196">
        <f>'7&amp;8 Day'!AD265</f>
        <v>0</v>
      </c>
      <c r="M42" s="1197">
        <f>'7&amp;8 Day'!AD318</f>
        <v>0</v>
      </c>
      <c r="N42" s="1195">
        <v>0</v>
      </c>
      <c r="O42" s="1196">
        <f>'7&amp;8 SU'!AD108</f>
        <v>0</v>
      </c>
      <c r="P42" s="1196">
        <f>'7&amp;8 SU'!AD160</f>
        <v>0</v>
      </c>
      <c r="Q42" s="1196">
        <f>'7&amp;8 SU'!AD212</f>
        <v>0</v>
      </c>
      <c r="R42" s="1196">
        <f>'7&amp;8 SU'!AD265</f>
        <v>0.36503833076944925</v>
      </c>
      <c r="S42" s="1197">
        <f>'7&amp;8 SU'!AD318</f>
        <v>0</v>
      </c>
    </row>
    <row r="43" spans="1:19" x14ac:dyDescent="0.2">
      <c r="A43" s="1198">
        <v>2040</v>
      </c>
      <c r="B43" s="1199">
        <v>0</v>
      </c>
      <c r="C43" s="1200">
        <f>'7&amp;8 Sleep'!AD109</f>
        <v>0</v>
      </c>
      <c r="D43" s="1200">
        <f>'7&amp;8 Sleep'!AD161</f>
        <v>0</v>
      </c>
      <c r="E43" s="1200">
        <f>'7&amp;8 Sleep'!AD213</f>
        <v>0</v>
      </c>
      <c r="F43" s="1200">
        <f>'7&amp;8 Sleep'!AD266</f>
        <v>0</v>
      </c>
      <c r="G43" s="1201">
        <f>'7&amp;8 Sleep'!AD319</f>
        <v>0</v>
      </c>
      <c r="H43" s="1221">
        <v>0</v>
      </c>
      <c r="I43" s="1222">
        <f>'7&amp;8 Day'!AD109</f>
        <v>0</v>
      </c>
      <c r="J43" s="1222">
        <f>'7&amp;8 Day'!AD161</f>
        <v>0</v>
      </c>
      <c r="K43" s="1222">
        <f>'7&amp;8 Day'!AD213</f>
        <v>0.24951817728847736</v>
      </c>
      <c r="L43" s="1222">
        <f>'7&amp;8 Day'!AD266</f>
        <v>0</v>
      </c>
      <c r="M43" s="1223">
        <f>'7&amp;8 Day'!AD319</f>
        <v>0</v>
      </c>
      <c r="N43" s="1195">
        <v>0</v>
      </c>
      <c r="O43" s="1222">
        <f>'7&amp;8 SU'!AD109</f>
        <v>0</v>
      </c>
      <c r="P43" s="1222">
        <f>'7&amp;8 SU'!AD161</f>
        <v>0</v>
      </c>
      <c r="Q43" s="1222">
        <f>'7&amp;8 SU'!AD213</f>
        <v>0</v>
      </c>
      <c r="R43" s="1222">
        <f>'7&amp;8 SU'!AD266</f>
        <v>0.3826984484994207</v>
      </c>
      <c r="S43" s="1223">
        <f>'7&amp;8 SU'!AD319</f>
        <v>0</v>
      </c>
    </row>
    <row r="44" spans="1:19" x14ac:dyDescent="0.2">
      <c r="A44" s="1192">
        <v>2041</v>
      </c>
      <c r="B44" s="1202">
        <v>0</v>
      </c>
      <c r="C44" s="1203">
        <f>'7&amp;8 Sleep'!AD110</f>
        <v>0</v>
      </c>
      <c r="D44" s="1203">
        <f>'7&amp;8 Sleep'!AD162</f>
        <v>0</v>
      </c>
      <c r="E44" s="1203">
        <f>'7&amp;8 Sleep'!AD214</f>
        <v>0</v>
      </c>
      <c r="F44" s="1203">
        <f>'7&amp;8 Sleep'!AD267</f>
        <v>0</v>
      </c>
      <c r="G44" s="1204">
        <f>'7&amp;8 Sleep'!AD320</f>
        <v>0</v>
      </c>
      <c r="H44" s="1202">
        <v>0</v>
      </c>
      <c r="I44" s="1203">
        <f>'7&amp;8 Day'!AD110</f>
        <v>0</v>
      </c>
      <c r="J44" s="1203">
        <f>'7&amp;8 Day'!AD162</f>
        <v>0</v>
      </c>
      <c r="K44" s="1203">
        <f>'7&amp;8 Day'!AD214</f>
        <v>0.27056153764547264</v>
      </c>
      <c r="L44" s="1203">
        <f>'7&amp;8 Day'!AD267</f>
        <v>0</v>
      </c>
      <c r="M44" s="1204">
        <f>'7&amp;8 Day'!AD320</f>
        <v>0</v>
      </c>
      <c r="N44" s="1202">
        <v>0</v>
      </c>
      <c r="O44" s="1203">
        <f>'7&amp;8 SU'!AD110</f>
        <v>0</v>
      </c>
      <c r="P44" s="1203">
        <f>'7&amp;8 SU'!AD162</f>
        <v>0</v>
      </c>
      <c r="Q44" s="1203">
        <f>'7&amp;8 SU'!AD214</f>
        <v>0</v>
      </c>
      <c r="R44" s="1203">
        <f>'7&amp;8 SU'!AD267</f>
        <v>0.41384177312849962</v>
      </c>
      <c r="S44" s="1204">
        <f>'7&amp;8 SU'!AD320</f>
        <v>0</v>
      </c>
    </row>
    <row r="45" spans="1:19" x14ac:dyDescent="0.2">
      <c r="A45" s="1192">
        <v>2042</v>
      </c>
      <c r="B45" s="1195">
        <v>0</v>
      </c>
      <c r="C45" s="1196">
        <f>'7&amp;8 Sleep'!AD111</f>
        <v>0</v>
      </c>
      <c r="D45" s="1196">
        <f>'7&amp;8 Sleep'!AD163</f>
        <v>0</v>
      </c>
      <c r="E45" s="1196">
        <f>'7&amp;8 Sleep'!AD215</f>
        <v>0</v>
      </c>
      <c r="F45" s="1196">
        <f>'7&amp;8 Sleep'!AD268</f>
        <v>0</v>
      </c>
      <c r="G45" s="1197">
        <f>'7&amp;8 Sleep'!AD321</f>
        <v>0</v>
      </c>
      <c r="H45" s="1195">
        <v>0</v>
      </c>
      <c r="I45" s="1196">
        <f>'7&amp;8 Day'!AD111</f>
        <v>0</v>
      </c>
      <c r="J45" s="1196">
        <f>'7&amp;8 Day'!AD163</f>
        <v>0</v>
      </c>
      <c r="K45" s="1196">
        <f>'7&amp;8 Day'!AD215</f>
        <v>0.29526853896738797</v>
      </c>
      <c r="L45" s="1196">
        <f>'7&amp;8 Day'!AD268</f>
        <v>0</v>
      </c>
      <c r="M45" s="1197">
        <f>'7&amp;8 Day'!AD321</f>
        <v>0</v>
      </c>
      <c r="N45" s="1195">
        <v>0</v>
      </c>
      <c r="O45" s="1196">
        <f>'7&amp;8 SU'!AD111</f>
        <v>0</v>
      </c>
      <c r="P45" s="1196">
        <f>'7&amp;8 SU'!AD163</f>
        <v>0</v>
      </c>
      <c r="Q45" s="1196">
        <f>'7&amp;8 SU'!AD215</f>
        <v>0</v>
      </c>
      <c r="R45" s="1196">
        <f>'7&amp;8 SU'!AD268</f>
        <v>0.46500030504491263</v>
      </c>
      <c r="S45" s="1197">
        <f>'7&amp;8 SU'!AD321</f>
        <v>0</v>
      </c>
    </row>
    <row r="46" spans="1:19" x14ac:dyDescent="0.2">
      <c r="A46" s="1192">
        <v>2043</v>
      </c>
      <c r="B46" s="1195">
        <v>0</v>
      </c>
      <c r="C46" s="1196">
        <f>'7&amp;8 Sleep'!AD112</f>
        <v>0</v>
      </c>
      <c r="D46" s="1196">
        <f>'7&amp;8 Sleep'!AD164</f>
        <v>0</v>
      </c>
      <c r="E46" s="1196">
        <f>'7&amp;8 Sleep'!AD216</f>
        <v>0</v>
      </c>
      <c r="F46" s="1196">
        <f>'7&amp;8 Sleep'!AD269</f>
        <v>0</v>
      </c>
      <c r="G46" s="1197">
        <f>'7&amp;8 Sleep'!AD322</f>
        <v>0</v>
      </c>
      <c r="H46" s="1195">
        <v>0</v>
      </c>
      <c r="I46" s="1196">
        <f>'7&amp;8 Day'!AD112</f>
        <v>0</v>
      </c>
      <c r="J46" s="1196">
        <f>'7&amp;8 Day'!AD164</f>
        <v>0</v>
      </c>
      <c r="K46" s="1196">
        <f>'7&amp;8 Day'!AD216</f>
        <v>0.31981063830900891</v>
      </c>
      <c r="L46" s="1196">
        <f>'7&amp;8 Day'!AD269</f>
        <v>0</v>
      </c>
      <c r="M46" s="1197">
        <f>'7&amp;8 Day'!AD322</f>
        <v>0</v>
      </c>
      <c r="N46" s="1195">
        <v>0</v>
      </c>
      <c r="O46" s="1196">
        <f>'7&amp;8 SU'!AD112</f>
        <v>0</v>
      </c>
      <c r="P46" s="1196">
        <f>'7&amp;8 SU'!AD164</f>
        <v>0</v>
      </c>
      <c r="Q46" s="1196">
        <f>'7&amp;8 SU'!AD216</f>
        <v>0</v>
      </c>
      <c r="R46" s="1196">
        <f>'7&amp;8 SU'!AD269</f>
        <v>0.52544752701038822</v>
      </c>
      <c r="S46" s="1197">
        <f>'7&amp;8 SU'!AD322</f>
        <v>0</v>
      </c>
    </row>
    <row r="47" spans="1:19" x14ac:dyDescent="0.2">
      <c r="A47" s="1192">
        <v>2044</v>
      </c>
      <c r="B47" s="1195">
        <v>0</v>
      </c>
      <c r="C47" s="1196">
        <f>'7&amp;8 Sleep'!AD113</f>
        <v>0</v>
      </c>
      <c r="D47" s="1196">
        <f>'7&amp;8 Sleep'!AD165</f>
        <v>0</v>
      </c>
      <c r="E47" s="1196">
        <f>'7&amp;8 Sleep'!AD217</f>
        <v>0</v>
      </c>
      <c r="F47" s="1196">
        <f>'7&amp;8 Sleep'!AD270</f>
        <v>0</v>
      </c>
      <c r="G47" s="1197">
        <f>'7&amp;8 Sleep'!AD323</f>
        <v>0</v>
      </c>
      <c r="H47" s="1195">
        <v>0</v>
      </c>
      <c r="I47" s="1196">
        <f>'7&amp;8 Day'!AD113</f>
        <v>0</v>
      </c>
      <c r="J47" s="1196">
        <f>'7&amp;8 Day'!AD165</f>
        <v>0</v>
      </c>
      <c r="K47" s="1196">
        <f>'7&amp;8 Day'!AD217</f>
        <v>0.33946442655740583</v>
      </c>
      <c r="L47" s="1196">
        <f>'7&amp;8 Day'!AD270</f>
        <v>0</v>
      </c>
      <c r="M47" s="1197">
        <f>'7&amp;8 Day'!AD323</f>
        <v>0</v>
      </c>
      <c r="N47" s="1195">
        <v>0</v>
      </c>
      <c r="O47" s="1196">
        <f>'7&amp;8 SU'!AD113</f>
        <v>0</v>
      </c>
      <c r="P47" s="1196">
        <f>'7&amp;8 SU'!AD165</f>
        <v>0</v>
      </c>
      <c r="Q47" s="1196">
        <f>'7&amp;8 SU'!AD217</f>
        <v>0</v>
      </c>
      <c r="R47" s="1196">
        <f>'7&amp;8 SU'!AD270</f>
        <v>0.59021510253286469</v>
      </c>
      <c r="S47" s="1197">
        <f>'7&amp;8 SU'!AD323</f>
        <v>0</v>
      </c>
    </row>
    <row r="48" spans="1:19" x14ac:dyDescent="0.2">
      <c r="A48" s="1198">
        <v>2045</v>
      </c>
      <c r="B48" s="1199">
        <v>0</v>
      </c>
      <c r="C48" s="1200">
        <f>'7&amp;8 Sleep'!AD114</f>
        <v>0</v>
      </c>
      <c r="D48" s="1200">
        <f>'7&amp;8 Sleep'!AD166</f>
        <v>0</v>
      </c>
      <c r="E48" s="1200">
        <f>'7&amp;8 Sleep'!AD218</f>
        <v>0</v>
      </c>
      <c r="F48" s="1200">
        <f>'7&amp;8 Sleep'!AD271</f>
        <v>0</v>
      </c>
      <c r="G48" s="1201">
        <f>'7&amp;8 Sleep'!AD324</f>
        <v>0</v>
      </c>
      <c r="H48" s="1199">
        <v>0</v>
      </c>
      <c r="I48" s="1200">
        <f>'7&amp;8 Day'!AD114</f>
        <v>0</v>
      </c>
      <c r="J48" s="1200">
        <f>'7&amp;8 Day'!AD166</f>
        <v>0</v>
      </c>
      <c r="K48" s="1200">
        <f>'7&amp;8 Day'!AD218</f>
        <v>0.35888316380781549</v>
      </c>
      <c r="L48" s="1200">
        <f>'7&amp;8 Day'!AD271</f>
        <v>0</v>
      </c>
      <c r="M48" s="1201">
        <f>'7&amp;8 Day'!AD324</f>
        <v>0</v>
      </c>
      <c r="N48" s="1199">
        <v>0</v>
      </c>
      <c r="O48" s="1200">
        <f>'7&amp;8 SU'!AD114</f>
        <v>0</v>
      </c>
      <c r="P48" s="1200">
        <f>'7&amp;8 SU'!AD166</f>
        <v>0</v>
      </c>
      <c r="Q48" s="1200">
        <f>'7&amp;8 SU'!AD218</f>
        <v>0</v>
      </c>
      <c r="R48" s="1200">
        <f>'7&amp;8 SU'!AD271</f>
        <v>0.65476147101926618</v>
      </c>
      <c r="S48" s="1201">
        <f>'7&amp;8 SU'!AD324</f>
        <v>0</v>
      </c>
    </row>
    <row r="49" spans="1:19" x14ac:dyDescent="0.2">
      <c r="A49" s="1192">
        <v>2046</v>
      </c>
      <c r="B49" s="1202">
        <v>0</v>
      </c>
      <c r="C49" s="1203">
        <f>'7&amp;8 Sleep'!AD115</f>
        <v>0</v>
      </c>
      <c r="D49" s="1203">
        <f>'7&amp;8 Sleep'!AD167</f>
        <v>0</v>
      </c>
      <c r="E49" s="1203">
        <f>'7&amp;8 Sleep'!AD219</f>
        <v>0</v>
      </c>
      <c r="F49" s="1203">
        <f>'7&amp;8 Sleep'!AD272</f>
        <v>0</v>
      </c>
      <c r="G49" s="1204">
        <f>'7&amp;8 Sleep'!AD325</f>
        <v>0</v>
      </c>
      <c r="H49" s="1202">
        <v>0</v>
      </c>
      <c r="I49" s="1203">
        <f>'7&amp;8 Day'!AD115</f>
        <v>0</v>
      </c>
      <c r="J49" s="1203">
        <f>'7&amp;8 Day'!AD167</f>
        <v>0</v>
      </c>
      <c r="K49" s="1203">
        <f>'7&amp;8 Day'!AD219</f>
        <v>0.37139455906498359</v>
      </c>
      <c r="L49" s="1203">
        <f>'7&amp;8 Day'!AD272</f>
        <v>0</v>
      </c>
      <c r="M49" s="1204">
        <f>'7&amp;8 Day'!AD325</f>
        <v>0</v>
      </c>
      <c r="N49" s="1202">
        <v>0</v>
      </c>
      <c r="O49" s="1203">
        <f>'7&amp;8 SU'!AD115</f>
        <v>0</v>
      </c>
      <c r="P49" s="1203">
        <f>'7&amp;8 SU'!AD167</f>
        <v>0</v>
      </c>
      <c r="Q49" s="1203">
        <f>'7&amp;8 SU'!AD219</f>
        <v>0</v>
      </c>
      <c r="R49" s="1203">
        <f>'7&amp;8 SU'!AD272</f>
        <v>0.68525721601837453</v>
      </c>
      <c r="S49" s="1204">
        <f>'7&amp;8 SU'!AD325</f>
        <v>0</v>
      </c>
    </row>
    <row r="50" spans="1:19" x14ac:dyDescent="0.2">
      <c r="A50" s="1192">
        <v>2047</v>
      </c>
      <c r="B50" s="1195">
        <v>0</v>
      </c>
      <c r="C50" s="1196">
        <f>'7&amp;8 Sleep'!AD116</f>
        <v>0</v>
      </c>
      <c r="D50" s="1196">
        <f>'7&amp;8 Sleep'!AD168</f>
        <v>0</v>
      </c>
      <c r="E50" s="1196">
        <f>'7&amp;8 Sleep'!AD220</f>
        <v>0</v>
      </c>
      <c r="F50" s="1196">
        <f>'7&amp;8 Sleep'!AD273</f>
        <v>0</v>
      </c>
      <c r="G50" s="1197">
        <f>'7&amp;8 Sleep'!AD326</f>
        <v>0</v>
      </c>
      <c r="H50" s="1195">
        <v>0</v>
      </c>
      <c r="I50" s="1196">
        <f>'7&amp;8 Day'!AD116</f>
        <v>0</v>
      </c>
      <c r="J50" s="1196">
        <f>'7&amp;8 Day'!AD168</f>
        <v>0</v>
      </c>
      <c r="K50" s="1196">
        <f>'7&amp;8 Day'!AD220</f>
        <v>0.37966368385229876</v>
      </c>
      <c r="L50" s="1196">
        <f>'7&amp;8 Day'!AD273</f>
        <v>0</v>
      </c>
      <c r="M50" s="1197">
        <f>'7&amp;8 Day'!AD326</f>
        <v>0</v>
      </c>
      <c r="N50" s="1195">
        <v>0</v>
      </c>
      <c r="O50" s="1196">
        <f>'7&amp;8 SU'!AD116</f>
        <v>0</v>
      </c>
      <c r="P50" s="1196">
        <f>'7&amp;8 SU'!AD168</f>
        <v>0</v>
      </c>
      <c r="Q50" s="1196">
        <f>'7&amp;8 SU'!AD220</f>
        <v>0</v>
      </c>
      <c r="R50" s="1196">
        <f>'7&amp;8 SU'!AD273</f>
        <v>0.69901378635391409</v>
      </c>
      <c r="S50" s="1197">
        <f>'7&amp;8 SU'!AD326</f>
        <v>0</v>
      </c>
    </row>
    <row r="51" spans="1:19" x14ac:dyDescent="0.2">
      <c r="A51" s="1192">
        <v>2048</v>
      </c>
      <c r="B51" s="1195">
        <v>0</v>
      </c>
      <c r="C51" s="1196">
        <f>'7&amp;8 Sleep'!AD117</f>
        <v>0</v>
      </c>
      <c r="D51" s="1196">
        <f>'7&amp;8 Sleep'!AD169</f>
        <v>0</v>
      </c>
      <c r="E51" s="1196">
        <f>'7&amp;8 Sleep'!AD221</f>
        <v>0</v>
      </c>
      <c r="F51" s="1196">
        <f>'7&amp;8 Sleep'!AD274</f>
        <v>0</v>
      </c>
      <c r="G51" s="1197">
        <f>'7&amp;8 Sleep'!AD327</f>
        <v>0</v>
      </c>
      <c r="H51" s="1195">
        <v>0</v>
      </c>
      <c r="I51" s="1196">
        <f>'7&amp;8 Day'!AD117</f>
        <v>0</v>
      </c>
      <c r="J51" s="1196">
        <f>'7&amp;8 Day'!AD169</f>
        <v>0</v>
      </c>
      <c r="K51" s="1196">
        <f>'7&amp;8 Day'!AD221</f>
        <v>0.38675939758260625</v>
      </c>
      <c r="L51" s="1196">
        <f>'7&amp;8 Day'!AD274</f>
        <v>0</v>
      </c>
      <c r="M51" s="1197">
        <f>'7&amp;8 Day'!AD327</f>
        <v>0</v>
      </c>
      <c r="N51" s="1195">
        <v>0</v>
      </c>
      <c r="O51" s="1196">
        <f>'7&amp;8 SU'!AD117</f>
        <v>0</v>
      </c>
      <c r="P51" s="1196">
        <f>'7&amp;8 SU'!AD169</f>
        <v>0</v>
      </c>
      <c r="Q51" s="1196">
        <f>'7&amp;8 SU'!AD221</f>
        <v>0</v>
      </c>
      <c r="R51" s="1196">
        <f>'7&amp;8 SU'!AD274</f>
        <v>0.70722054603681717</v>
      </c>
      <c r="S51" s="1197">
        <f>'7&amp;8 SU'!AD327</f>
        <v>0</v>
      </c>
    </row>
    <row r="52" spans="1:19" x14ac:dyDescent="0.2">
      <c r="A52" s="1192">
        <v>2049</v>
      </c>
      <c r="B52" s="1195">
        <v>0</v>
      </c>
      <c r="C52" s="1196">
        <f>'7&amp;8 Sleep'!AD118</f>
        <v>0</v>
      </c>
      <c r="D52" s="1196">
        <f>'7&amp;8 Sleep'!AD170</f>
        <v>0</v>
      </c>
      <c r="E52" s="1196">
        <f>'7&amp;8 Sleep'!AD222</f>
        <v>0</v>
      </c>
      <c r="F52" s="1196">
        <f>'7&amp;8 Sleep'!AD275</f>
        <v>0</v>
      </c>
      <c r="G52" s="1197">
        <f>'7&amp;8 Sleep'!AD328</f>
        <v>0</v>
      </c>
      <c r="H52" s="1195">
        <v>0</v>
      </c>
      <c r="I52" s="1196">
        <f>'7&amp;8 Day'!AD118</f>
        <v>0</v>
      </c>
      <c r="J52" s="1196">
        <f>'7&amp;8 Day'!AD170</f>
        <v>0</v>
      </c>
      <c r="K52" s="1196">
        <f>'7&amp;8 Day'!AD222</f>
        <v>0.38889244879954726</v>
      </c>
      <c r="L52" s="1196">
        <f>'7&amp;8 Day'!AD275</f>
        <v>0</v>
      </c>
      <c r="M52" s="1197">
        <f>'7&amp;8 Day'!AD328</f>
        <v>0</v>
      </c>
      <c r="N52" s="1195">
        <v>0</v>
      </c>
      <c r="O52" s="1196">
        <f>'7&amp;8 SU'!AD118</f>
        <v>0</v>
      </c>
      <c r="P52" s="1196">
        <f>'7&amp;8 SU'!AD170</f>
        <v>0</v>
      </c>
      <c r="Q52" s="1196">
        <f>'7&amp;8 SU'!AD222</f>
        <v>0</v>
      </c>
      <c r="R52" s="1196">
        <f>'7&amp;8 SU'!AD275</f>
        <v>0.71093576229472566</v>
      </c>
      <c r="S52" s="1197">
        <f>'7&amp;8 SU'!AD328</f>
        <v>0</v>
      </c>
    </row>
    <row r="53" spans="1:19" ht="16" thickBot="1" x14ac:dyDescent="0.25">
      <c r="A53" s="1205">
        <v>2050</v>
      </c>
      <c r="B53" s="1206">
        <v>0</v>
      </c>
      <c r="C53" s="1207">
        <f>'7&amp;8 Sleep'!AD119</f>
        <v>0</v>
      </c>
      <c r="D53" s="1207">
        <f>'7&amp;8 Sleep'!AD171</f>
        <v>0</v>
      </c>
      <c r="E53" s="1207">
        <f>'7&amp;8 Sleep'!AD223</f>
        <v>0</v>
      </c>
      <c r="F53" s="1207">
        <f>'7&amp;8 Sleep'!AD276</f>
        <v>0</v>
      </c>
      <c r="G53" s="1208">
        <f>'7&amp;8 Sleep'!AD329</f>
        <v>0</v>
      </c>
      <c r="H53" s="1206">
        <v>0</v>
      </c>
      <c r="I53" s="1207">
        <f>'7&amp;8 Day'!AD119</f>
        <v>0</v>
      </c>
      <c r="J53" s="1207">
        <f>'7&amp;8 Day'!AD171</f>
        <v>0</v>
      </c>
      <c r="K53" s="1207">
        <f>'7&amp;8 Day'!AD223</f>
        <v>0.39140517486556248</v>
      </c>
      <c r="L53" s="1207">
        <f>'7&amp;8 Day'!AD276</f>
        <v>0</v>
      </c>
      <c r="M53" s="1208">
        <f>'7&amp;8 Day'!AD329</f>
        <v>0</v>
      </c>
      <c r="N53" s="1206">
        <v>0</v>
      </c>
      <c r="O53" s="1207">
        <f>'7&amp;8 SU'!AD119</f>
        <v>0</v>
      </c>
      <c r="P53" s="1207">
        <f>'7&amp;8 SU'!AD171</f>
        <v>0</v>
      </c>
      <c r="Q53" s="1207">
        <f>'7&amp;8 SU'!AD223</f>
        <v>0</v>
      </c>
      <c r="R53" s="1207">
        <f>'7&amp;8 SU'!AD276</f>
        <v>0.71933824115936829</v>
      </c>
      <c r="S53" s="1208">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T1" zoomScale="55" zoomScaleNormal="55"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7" customFormat="1" ht="16" x14ac:dyDescent="0.2">
      <c r="A1" s="1209" t="s">
        <v>325</v>
      </c>
    </row>
    <row r="2" spans="1:48" s="1177" customFormat="1" ht="15" x14ac:dyDescent="0.2">
      <c r="A2" s="1177" t="s">
        <v>316</v>
      </c>
    </row>
    <row r="3" spans="1:48" s="1177" customFormat="1" ht="16" thickBot="1" x14ac:dyDescent="0.25"/>
    <row r="4" spans="1:48" s="1177" customFormat="1" ht="15" x14ac:dyDescent="0.2">
      <c r="A4" s="1178"/>
      <c r="B4" s="1613" t="s">
        <v>249</v>
      </c>
      <c r="C4" s="1614"/>
      <c r="D4" s="1614"/>
      <c r="E4" s="1614"/>
      <c r="F4" s="1614"/>
      <c r="G4" s="1615"/>
      <c r="H4" s="1613" t="s">
        <v>250</v>
      </c>
      <c r="I4" s="1614"/>
      <c r="J4" s="1614"/>
      <c r="K4" s="1614"/>
      <c r="L4" s="1614"/>
      <c r="M4" s="1615"/>
      <c r="N4" s="1613" t="s">
        <v>154</v>
      </c>
      <c r="O4" s="1614"/>
      <c r="P4" s="1614"/>
      <c r="Q4" s="1614"/>
      <c r="R4" s="1614"/>
      <c r="S4" s="1615"/>
      <c r="U4" s="1178"/>
      <c r="V4" s="1613" t="s">
        <v>249</v>
      </c>
      <c r="W4" s="1614"/>
      <c r="X4" s="1614"/>
      <c r="Y4" s="1614"/>
      <c r="Z4" s="1614"/>
      <c r="AA4" s="1615"/>
      <c r="AB4" s="1613" t="s">
        <v>250</v>
      </c>
      <c r="AC4" s="1614"/>
      <c r="AD4" s="1614"/>
      <c r="AE4" s="1614"/>
      <c r="AF4" s="1614"/>
      <c r="AG4" s="1615"/>
      <c r="AH4" s="1613" t="s">
        <v>154</v>
      </c>
      <c r="AI4" s="1614"/>
      <c r="AJ4" s="1614"/>
      <c r="AK4" s="1614"/>
      <c r="AL4" s="1614"/>
      <c r="AM4" s="1615"/>
    </row>
    <row r="5" spans="1:48" s="1177" customFormat="1" ht="15" x14ac:dyDescent="0.2">
      <c r="A5" s="1179"/>
      <c r="B5" s="1616" t="s">
        <v>129</v>
      </c>
      <c r="C5" s="1617"/>
      <c r="D5" s="1617"/>
      <c r="E5" s="1617"/>
      <c r="F5" s="1617"/>
      <c r="G5" s="1618"/>
      <c r="H5" s="1616" t="s">
        <v>129</v>
      </c>
      <c r="I5" s="1617"/>
      <c r="J5" s="1617"/>
      <c r="K5" s="1617"/>
      <c r="L5" s="1617"/>
      <c r="M5" s="1618"/>
      <c r="N5" s="1616" t="s">
        <v>129</v>
      </c>
      <c r="O5" s="1617"/>
      <c r="P5" s="1617"/>
      <c r="Q5" s="1617"/>
      <c r="R5" s="1617"/>
      <c r="S5" s="1618"/>
      <c r="U5" s="1179"/>
      <c r="V5" s="1616" t="s">
        <v>129</v>
      </c>
      <c r="W5" s="1617"/>
      <c r="X5" s="1617"/>
      <c r="Y5" s="1617"/>
      <c r="Z5" s="1617"/>
      <c r="AA5" s="1618"/>
      <c r="AB5" s="1616" t="s">
        <v>129</v>
      </c>
      <c r="AC5" s="1617"/>
      <c r="AD5" s="1617"/>
      <c r="AE5" s="1617"/>
      <c r="AF5" s="1617"/>
      <c r="AG5" s="1618"/>
      <c r="AH5" s="1616" t="s">
        <v>129</v>
      </c>
      <c r="AI5" s="1617"/>
      <c r="AJ5" s="1617"/>
      <c r="AK5" s="1617"/>
      <c r="AL5" s="1617"/>
      <c r="AM5" s="1618"/>
    </row>
    <row r="6" spans="1:48" s="1177" customFormat="1" ht="15" x14ac:dyDescent="0.2">
      <c r="A6" s="1179"/>
      <c r="B6" s="1180" t="s">
        <v>69</v>
      </c>
      <c r="C6" s="1181" t="s">
        <v>65</v>
      </c>
      <c r="D6" s="1181" t="s">
        <v>66</v>
      </c>
      <c r="E6" s="1181" t="s">
        <v>67</v>
      </c>
      <c r="F6" s="1181" t="s">
        <v>205</v>
      </c>
      <c r="G6" s="1182" t="s">
        <v>206</v>
      </c>
      <c r="H6" s="1180" t="s">
        <v>69</v>
      </c>
      <c r="I6" s="1181" t="s">
        <v>65</v>
      </c>
      <c r="J6" s="1181" t="s">
        <v>66</v>
      </c>
      <c r="K6" s="1181" t="s">
        <v>67</v>
      </c>
      <c r="L6" s="1181" t="s">
        <v>205</v>
      </c>
      <c r="M6" s="1182" t="s">
        <v>206</v>
      </c>
      <c r="N6" s="1180" t="s">
        <v>69</v>
      </c>
      <c r="O6" s="1181" t="s">
        <v>65</v>
      </c>
      <c r="P6" s="1181" t="s">
        <v>66</v>
      </c>
      <c r="Q6" s="1181" t="s">
        <v>67</v>
      </c>
      <c r="R6" s="1181" t="s">
        <v>205</v>
      </c>
      <c r="S6" s="1182" t="s">
        <v>206</v>
      </c>
      <c r="U6" s="1179"/>
      <c r="V6" s="1180" t="s">
        <v>69</v>
      </c>
      <c r="W6" s="1181" t="s">
        <v>65</v>
      </c>
      <c r="X6" s="1181" t="s">
        <v>66</v>
      </c>
      <c r="Y6" s="1181" t="s">
        <v>67</v>
      </c>
      <c r="Z6" s="1181" t="s">
        <v>205</v>
      </c>
      <c r="AA6" s="1182" t="s">
        <v>206</v>
      </c>
      <c r="AB6" s="1180" t="s">
        <v>69</v>
      </c>
      <c r="AC6" s="1181" t="s">
        <v>65</v>
      </c>
      <c r="AD6" s="1181" t="s">
        <v>66</v>
      </c>
      <c r="AE6" s="1181" t="s">
        <v>67</v>
      </c>
      <c r="AF6" s="1181" t="s">
        <v>205</v>
      </c>
      <c r="AG6" s="1182" t="s">
        <v>206</v>
      </c>
      <c r="AH6" s="1180" t="s">
        <v>69</v>
      </c>
      <c r="AI6" s="1181" t="s">
        <v>65</v>
      </c>
      <c r="AJ6" s="1181" t="s">
        <v>66</v>
      </c>
      <c r="AK6" s="1181" t="s">
        <v>67</v>
      </c>
      <c r="AL6" s="1181" t="s">
        <v>205</v>
      </c>
      <c r="AM6" s="1182" t="s">
        <v>206</v>
      </c>
    </row>
    <row r="7" spans="1:48" s="1177" customFormat="1" ht="45" customHeight="1" x14ac:dyDescent="0.2">
      <c r="A7" s="1183"/>
      <c r="B7" s="1184" t="str">
        <f t="shared" ref="B7:G7" si="0">INDEX(TECH_OPT_DESC_Cls1,MATCH(B6,TECH_OPT_ROWS_Cls1,0))</f>
        <v>Conventional Diesel ICE</v>
      </c>
      <c r="C7" s="1185" t="str">
        <f t="shared" si="0"/>
        <v>Adv Conv</v>
      </c>
      <c r="D7" s="1185" t="str">
        <f t="shared" si="0"/>
        <v>HEV</v>
      </c>
      <c r="E7" s="1185" t="str">
        <f t="shared" si="0"/>
        <v>BEV</v>
      </c>
      <c r="F7" s="1185" t="str">
        <f t="shared" si="0"/>
        <v>FCEV</v>
      </c>
      <c r="G7" s="1186">
        <f t="shared" si="0"/>
        <v>0</v>
      </c>
      <c r="H7" s="1184" t="str">
        <f t="shared" ref="H7:M7" si="1">INDEX(TECH_OPT_DESC_Cls2,MATCH(H6,TECH_OPT_ROWS_Cls2,0))</f>
        <v>Conventional Diesel ICE</v>
      </c>
      <c r="I7" s="1185" t="str">
        <f t="shared" si="1"/>
        <v>Adv Conv</v>
      </c>
      <c r="J7" s="1185" t="str">
        <f t="shared" si="1"/>
        <v>ISG</v>
      </c>
      <c r="K7" s="1185" t="str">
        <f t="shared" si="1"/>
        <v>PHEV</v>
      </c>
      <c r="L7" s="1185" t="str">
        <f t="shared" si="1"/>
        <v>BEV</v>
      </c>
      <c r="M7" s="1186" t="str">
        <f t="shared" si="1"/>
        <v>FCHEV</v>
      </c>
      <c r="N7" s="1184" t="str">
        <f t="shared" ref="N7:S7" si="2">INDEX(TECH_OPT_DESC_Cls3,MATCH(N6,TECH_OPT_ROWS_Cls3,0))</f>
        <v>Conventional Diesel ICE</v>
      </c>
      <c r="O7" s="1185" t="str">
        <f t="shared" si="2"/>
        <v>Adv Conv</v>
      </c>
      <c r="P7" s="1185" t="str">
        <f t="shared" si="2"/>
        <v>ISG</v>
      </c>
      <c r="Q7" s="1185" t="str">
        <f t="shared" si="2"/>
        <v>HEV</v>
      </c>
      <c r="R7" s="1185" t="str">
        <f t="shared" si="2"/>
        <v>PHEV</v>
      </c>
      <c r="S7" s="1186" t="str">
        <f t="shared" si="2"/>
        <v>BEV</v>
      </c>
      <c r="U7" s="1183"/>
      <c r="V7" s="1184" t="str">
        <f t="shared" ref="V7:AA7" si="3">INDEX(TECH_OPT_DESC_Cls1,MATCH(V6,TECH_OPT_ROWS_Cls1,0))</f>
        <v>Conventional Diesel ICE</v>
      </c>
      <c r="W7" s="1185" t="str">
        <f t="shared" si="3"/>
        <v>Adv Conv</v>
      </c>
      <c r="X7" s="1185" t="str">
        <f t="shared" si="3"/>
        <v>HEV</v>
      </c>
      <c r="Y7" s="1185" t="str">
        <f t="shared" si="3"/>
        <v>BEV</v>
      </c>
      <c r="Z7" s="1185" t="str">
        <f t="shared" si="3"/>
        <v>FCEV</v>
      </c>
      <c r="AA7" s="1186">
        <f t="shared" si="3"/>
        <v>0</v>
      </c>
      <c r="AB7" s="1184" t="str">
        <f t="shared" ref="AB7:AG7" si="4">INDEX(TECH_OPT_DESC_Cls2,MATCH(AB6,TECH_OPT_ROWS_Cls2,0))</f>
        <v>Conventional Diesel ICE</v>
      </c>
      <c r="AC7" s="1185" t="str">
        <f t="shared" si="4"/>
        <v>Adv Conv</v>
      </c>
      <c r="AD7" s="1185" t="str">
        <f t="shared" si="4"/>
        <v>ISG</v>
      </c>
      <c r="AE7" s="1185" t="str">
        <f t="shared" si="4"/>
        <v>PHEV</v>
      </c>
      <c r="AF7" s="1185" t="str">
        <f t="shared" si="4"/>
        <v>BEV</v>
      </c>
      <c r="AG7" s="1186" t="str">
        <f t="shared" si="4"/>
        <v>FCHEV</v>
      </c>
      <c r="AH7" s="1184" t="str">
        <f t="shared" ref="AH7:AM7" si="5">INDEX(TECH_OPT_DESC_Cls3,MATCH(AH6,TECH_OPT_ROWS_Cls3,0))</f>
        <v>Conventional Diesel ICE</v>
      </c>
      <c r="AI7" s="1185" t="str">
        <f t="shared" si="5"/>
        <v>Adv Conv</v>
      </c>
      <c r="AJ7" s="1185" t="str">
        <f t="shared" si="5"/>
        <v>ISG</v>
      </c>
      <c r="AK7" s="1185" t="str">
        <f t="shared" si="5"/>
        <v>HEV</v>
      </c>
      <c r="AL7" s="1185" t="str">
        <f t="shared" si="5"/>
        <v>PHEV</v>
      </c>
      <c r="AM7" s="1186" t="str">
        <f t="shared" si="5"/>
        <v>BEV</v>
      </c>
      <c r="AO7" s="1622" t="s">
        <v>379</v>
      </c>
      <c r="AP7" s="1623"/>
      <c r="AQ7" s="1624"/>
      <c r="AR7" s="1336"/>
      <c r="AS7" s="1622" t="s">
        <v>380</v>
      </c>
      <c r="AT7" s="1623"/>
      <c r="AU7" s="1623"/>
      <c r="AV7" s="1624"/>
    </row>
    <row r="8" spans="1:48" s="1177" customFormat="1" ht="17" thickBot="1" x14ac:dyDescent="0.25">
      <c r="A8" s="1187" t="s">
        <v>3</v>
      </c>
      <c r="B8" s="1188" t="str">
        <f t="shared" ref="B8:G8" si="6">INDEX(TECH_OPT_FUEL1_Cls1,MATCH(B6,TECH_OPT_ROWS_Cls1,0))</f>
        <v>Diesel</v>
      </c>
      <c r="C8" s="1189" t="str">
        <f t="shared" si="6"/>
        <v>Diesel</v>
      </c>
      <c r="D8" s="1189" t="str">
        <f t="shared" si="6"/>
        <v>Diesel</v>
      </c>
      <c r="E8" s="1189" t="str">
        <f t="shared" si="6"/>
        <v>Electricity</v>
      </c>
      <c r="F8" s="1189" t="str">
        <f t="shared" si="6"/>
        <v>Hydrogen</v>
      </c>
      <c r="G8" s="1190" t="str">
        <f t="shared" si="6"/>
        <v>Diesel</v>
      </c>
      <c r="H8" s="1191" t="str">
        <f t="shared" ref="H8:M8" si="7">INDEX(TECH_OPT_FUEL1_Cls2,MATCH(H6,TECH_OPT_ROWS_Cls2,0))</f>
        <v>Diesel</v>
      </c>
      <c r="I8" s="1189" t="str">
        <f t="shared" si="7"/>
        <v>Diesel</v>
      </c>
      <c r="J8" s="1189" t="str">
        <f t="shared" si="7"/>
        <v>Diesel</v>
      </c>
      <c r="K8" s="1189" t="str">
        <f t="shared" si="7"/>
        <v>Diesel</v>
      </c>
      <c r="L8" s="1189" t="str">
        <f t="shared" si="7"/>
        <v>Electricity</v>
      </c>
      <c r="M8" s="1190" t="str">
        <f t="shared" si="7"/>
        <v>Hydrogen</v>
      </c>
      <c r="N8" s="1188" t="str">
        <f t="shared" ref="N8:S8" si="8">INDEX(TECH_OPT_FUEL1_Cls3,MATCH(N6,TECH_OPT_ROWS_Cls3,0))</f>
        <v>Diesel</v>
      </c>
      <c r="O8" s="1189" t="str">
        <f t="shared" si="8"/>
        <v>Diesel</v>
      </c>
      <c r="P8" s="1189" t="str">
        <f t="shared" si="8"/>
        <v>Diesel</v>
      </c>
      <c r="Q8" s="1189" t="str">
        <f t="shared" si="8"/>
        <v>Diesel</v>
      </c>
      <c r="R8" s="1189" t="str">
        <f t="shared" si="8"/>
        <v>Diesel</v>
      </c>
      <c r="S8" s="1190" t="str">
        <f t="shared" si="8"/>
        <v>Electricity</v>
      </c>
      <c r="U8" s="1187" t="s">
        <v>3</v>
      </c>
      <c r="V8" s="1188" t="str">
        <f t="shared" ref="V8:AA8" si="9">INDEX(TECH_OPT_FUEL1_Cls1,MATCH(V6,TECH_OPT_ROWS_Cls1,0))</f>
        <v>Diesel</v>
      </c>
      <c r="W8" s="1189" t="str">
        <f t="shared" si="9"/>
        <v>Diesel</v>
      </c>
      <c r="X8" s="1189" t="str">
        <f t="shared" si="9"/>
        <v>Diesel</v>
      </c>
      <c r="Y8" s="1189" t="str">
        <f t="shared" si="9"/>
        <v>Electricity</v>
      </c>
      <c r="Z8" s="1189" t="str">
        <f t="shared" si="9"/>
        <v>Hydrogen</v>
      </c>
      <c r="AA8" s="1190" t="str">
        <f t="shared" si="9"/>
        <v>Diesel</v>
      </c>
      <c r="AB8" s="1191" t="str">
        <f t="shared" ref="AB8:AG8" si="10">INDEX(TECH_OPT_FUEL1_Cls2,MATCH(AB6,TECH_OPT_ROWS_Cls2,0))</f>
        <v>Diesel</v>
      </c>
      <c r="AC8" s="1189" t="str">
        <f t="shared" si="10"/>
        <v>Diesel</v>
      </c>
      <c r="AD8" s="1189" t="str">
        <f t="shared" si="10"/>
        <v>Diesel</v>
      </c>
      <c r="AE8" s="1189" t="str">
        <f t="shared" si="10"/>
        <v>Diesel</v>
      </c>
      <c r="AF8" s="1189" t="str">
        <f t="shared" si="10"/>
        <v>Electricity</v>
      </c>
      <c r="AG8" s="1190" t="str">
        <f t="shared" si="10"/>
        <v>Hydrogen</v>
      </c>
      <c r="AH8" s="1188" t="str">
        <f t="shared" ref="AH8:AM8" si="11">INDEX(TECH_OPT_FUEL1_Cls3,MATCH(AH6,TECH_OPT_ROWS_Cls3,0))</f>
        <v>Diesel</v>
      </c>
      <c r="AI8" s="1189" t="str">
        <f t="shared" si="11"/>
        <v>Diesel</v>
      </c>
      <c r="AJ8" s="1189" t="str">
        <f t="shared" si="11"/>
        <v>Diesel</v>
      </c>
      <c r="AK8" s="1189" t="str">
        <f t="shared" si="11"/>
        <v>Diesel</v>
      </c>
      <c r="AL8" s="1189" t="str">
        <f t="shared" si="11"/>
        <v>Diesel</v>
      </c>
      <c r="AM8" s="1190" t="str">
        <f t="shared" si="11"/>
        <v>Electricity</v>
      </c>
      <c r="AO8" s="1320" t="s">
        <v>376</v>
      </c>
      <c r="AP8" s="1321" t="s">
        <v>377</v>
      </c>
      <c r="AQ8" s="1322" t="s">
        <v>378</v>
      </c>
      <c r="AR8" s="1337"/>
      <c r="AS8" s="1320" t="s">
        <v>376</v>
      </c>
      <c r="AT8" s="1321" t="s">
        <v>377</v>
      </c>
      <c r="AU8" s="1321" t="s">
        <v>378</v>
      </c>
      <c r="AV8" s="1327" t="s">
        <v>375</v>
      </c>
    </row>
    <row r="9" spans="1:48" s="1177" customFormat="1" ht="16" thickTop="1" x14ac:dyDescent="0.2">
      <c r="A9" s="1192">
        <v>2007</v>
      </c>
      <c r="B9" s="1246">
        <f>IF('Mkt Pen Veh-Mi'!B9=0,1,1/((1-Fuel2ShrbyTech!B10)/'Inputs 7&amp;8 Sleep'!$N22+Fuel2ShrbyTech!B10/'Inputs 7&amp;8 Sleep'!$T22))</f>
        <v>5.9278738513698928</v>
      </c>
      <c r="C9" s="1243">
        <f>IF('Mkt Pen Veh-Mi'!C9=0,1,1/((1-Fuel2ShrbyTech!C10)/'Inputs 7&amp;8 Sleep'!$O22+Fuel2ShrbyTech!C10/'Inputs 7&amp;8 Sleep'!$U22))</f>
        <v>1</v>
      </c>
      <c r="D9" s="1243">
        <f>IF('Mkt Pen Veh-Mi'!D9=0,1,1/((1-Fuel2ShrbyTech!D10)/'Inputs 7&amp;8 Sleep'!$P22+Fuel2ShrbyTech!D10/'Inputs 7&amp;8 Sleep'!$V22))</f>
        <v>1</v>
      </c>
      <c r="E9" s="1243">
        <f>IF('Mkt Pen Veh-Mi'!E9=0,1,1/((1-Fuel2ShrbyTech!E10)/'Inputs 7&amp;8 Sleep'!$Q22+Fuel2ShrbyTech!E10/'Inputs 7&amp;8 Sleep'!$W22))</f>
        <v>1</v>
      </c>
      <c r="F9" s="1243">
        <f>IF('Mkt Pen Veh-Mi'!F9=0,1,1/((1-Fuel2ShrbyTech!F10)/'Inputs 7&amp;8 Sleep'!$R22+Fuel2ShrbyTech!F10/'Inputs 7&amp;8 Sleep'!$X22))</f>
        <v>1</v>
      </c>
      <c r="G9" s="1244">
        <f>IF('Mkt Pen Veh-Mi'!G9=0,1,1/((1-Fuel2ShrbyTech!G10)/'Inputs 7&amp;8 Sleep'!$S22+Fuel2ShrbyTech!G10/'Inputs 7&amp;8 Sleep'!$Y22))</f>
        <v>1</v>
      </c>
      <c r="H9" s="1246">
        <f>IF('Mkt Pen Veh-Mi'!H9=0,1,1/((1-Fuel2ShrbyTech!H10)/'Inputs 7&amp;8 Day'!$N22+Fuel2ShrbyTech!H10/'Inputs 7&amp;8 Day'!$T22))</f>
        <v>5.48300341765977</v>
      </c>
      <c r="I9" s="1243">
        <f>IF('Mkt Pen Veh-Mi'!I9=0,1,1/((1-Fuel2ShrbyTech!I10)/'Inputs 7&amp;8 Day'!$O22+Fuel2ShrbyTech!I10/'Inputs 7&amp;8 Day'!$U22))</f>
        <v>1</v>
      </c>
      <c r="J9" s="1243">
        <f>IF('Mkt Pen Veh-Mi'!J9=0,1,1/((1-Fuel2ShrbyTech!J10)/'Inputs 7&amp;8 Day'!$P22+Fuel2ShrbyTech!J10/'Inputs 7&amp;8 Day'!$V22))</f>
        <v>1</v>
      </c>
      <c r="K9" s="1243">
        <f>IF('Mkt Pen Veh-Mi'!K9=0,1,1/((1-Fuel2ShrbyTech!K10)/'Inputs 7&amp;8 Day'!$Q22+Fuel2ShrbyTech!K10/'Inputs 7&amp;8 Day'!$W22))</f>
        <v>1</v>
      </c>
      <c r="L9" s="1243">
        <f>IF('Mkt Pen Veh-Mi'!L9=0,1,1/((1-Fuel2ShrbyTech!L10)/'Inputs 7&amp;8 Day'!$R22+Fuel2ShrbyTech!L10/'Inputs 7&amp;8 Day'!$X22))</f>
        <v>1</v>
      </c>
      <c r="M9" s="1244">
        <f>IF('Mkt Pen Veh-Mi'!M9=0,1,1/((1-Fuel2ShrbyTech!M10)/'Inputs 7&amp;8 Day'!$S22+Fuel2ShrbyTech!M10/'Inputs 7&amp;8 Day'!$Y22))</f>
        <v>1</v>
      </c>
      <c r="N9" s="1246">
        <f>IF('Mkt Pen Veh-Mi'!N9=0,1,1/((1-Fuel2ShrbyTech!N10)/'Inputs 7&amp;8 SU'!$N22+Fuel2ShrbyTech!N10/'Inputs 7&amp;8 SU'!$T22))</f>
        <v>5.8642619111794092</v>
      </c>
      <c r="O9" s="1243">
        <f>IF('Mkt Pen Veh-Mi'!O9=0,1,1/((1-Fuel2ShrbyTech!O10)/'Inputs 7&amp;8 SU'!$O22+Fuel2ShrbyTech!O10/'Inputs 7&amp;8 SU'!$U22))</f>
        <v>1</v>
      </c>
      <c r="P9" s="1243">
        <f>IF('Mkt Pen Veh-Mi'!P9=0,1,1/((1-Fuel2ShrbyTech!P10)/'Inputs 7&amp;8 SU'!$P22+Fuel2ShrbyTech!P10/'Inputs 7&amp;8 SU'!$V22))</f>
        <v>1</v>
      </c>
      <c r="Q9" s="1243">
        <f>IF('Mkt Pen Veh-Mi'!Q9=0,1,1/((1-Fuel2ShrbyTech!Q10)/'Inputs 7&amp;8 SU'!$Q22+Fuel2ShrbyTech!Q10/'Inputs 7&amp;8 SU'!$W22))</f>
        <v>1</v>
      </c>
      <c r="R9" s="1243">
        <f>IF('Mkt Pen Veh-Mi'!R9=0,1,1/((1-Fuel2ShrbyTech!R10)/'Inputs 7&amp;8 SU'!$R22+Fuel2ShrbyTech!R10/'Inputs 7&amp;8 SU'!$X22))</f>
        <v>1</v>
      </c>
      <c r="S9" s="1245">
        <f>IF('Mkt Pen Veh-Mi'!S9=0,1,1/((1-Fuel2ShrbyTech!S10)/'Inputs 7&amp;8 SU'!$S22+Fuel2ShrbyTech!S10/'Inputs 7&amp;8 SU'!$Y22))</f>
        <v>1</v>
      </c>
      <c r="U9" s="1192">
        <f>A9</f>
        <v>2007</v>
      </c>
      <c r="V9" s="1246">
        <f>IF(B9=1,0,B9)</f>
        <v>5.9278738513698928</v>
      </c>
      <c r="W9" s="1243">
        <f t="shared" ref="W9:AM9" si="12">IF(C9=1,0,C9)</f>
        <v>0</v>
      </c>
      <c r="X9" s="1243">
        <f t="shared" si="12"/>
        <v>0</v>
      </c>
      <c r="Y9" s="1243">
        <f t="shared" si="12"/>
        <v>0</v>
      </c>
      <c r="Z9" s="1243">
        <f t="shared" si="12"/>
        <v>0</v>
      </c>
      <c r="AA9" s="1244">
        <f t="shared" si="12"/>
        <v>0</v>
      </c>
      <c r="AB9" s="1246">
        <f t="shared" si="12"/>
        <v>5.48300341765977</v>
      </c>
      <c r="AC9" s="1243">
        <f t="shared" si="12"/>
        <v>0</v>
      </c>
      <c r="AD9" s="1243">
        <f t="shared" si="12"/>
        <v>0</v>
      </c>
      <c r="AE9" s="1243">
        <f t="shared" si="12"/>
        <v>0</v>
      </c>
      <c r="AF9" s="1243">
        <f t="shared" si="12"/>
        <v>0</v>
      </c>
      <c r="AG9" s="1244">
        <f t="shared" si="12"/>
        <v>0</v>
      </c>
      <c r="AH9" s="1246">
        <f t="shared" si="12"/>
        <v>5.8642619111794092</v>
      </c>
      <c r="AI9" s="1243">
        <f t="shared" si="12"/>
        <v>0</v>
      </c>
      <c r="AJ9" s="1243">
        <f t="shared" si="12"/>
        <v>0</v>
      </c>
      <c r="AK9" s="1243">
        <f t="shared" si="12"/>
        <v>0</v>
      </c>
      <c r="AL9" s="1243">
        <f t="shared" si="12"/>
        <v>0</v>
      </c>
      <c r="AM9" s="1245">
        <f t="shared" si="12"/>
        <v>0</v>
      </c>
      <c r="AN9" s="1177">
        <v>2007</v>
      </c>
      <c r="AO9" s="1323">
        <f t="array" ref="AO9">1/SUMPRODUCT(IFERROR(1/V9:AA9,0),'Mkt Pen Veh-Mi'!B9:G9)</f>
        <v>5.9278738513698928</v>
      </c>
      <c r="AP9" s="1324">
        <f t="array" ref="AP9">1/SUMPRODUCT(IFERROR(1/AB9:AG9,0),'Mkt Pen Veh-Mi'!H9:M9)</f>
        <v>5.48300341765977</v>
      </c>
      <c r="AQ9" s="1328">
        <f t="array" ref="AQ9">1/SUMPRODUCT(IFERROR(1/AH9:AM9,0),'Mkt Pen Veh-Mi'!N9:S9)</f>
        <v>5.8642619111794092</v>
      </c>
      <c r="AR9" s="1321">
        <v>2007</v>
      </c>
      <c r="AS9" s="1323">
        <f>AO9/V9</f>
        <v>1</v>
      </c>
      <c r="AT9" s="1324">
        <f>AP9/AB9</f>
        <v>1</v>
      </c>
      <c r="AU9" s="1324">
        <f>AQ9/AH9</f>
        <v>1</v>
      </c>
      <c r="AV9" s="1328">
        <v>1</v>
      </c>
    </row>
    <row r="10" spans="1:48" s="1177" customFormat="1" ht="15" x14ac:dyDescent="0.2">
      <c r="A10" s="1192">
        <v>2008</v>
      </c>
      <c r="B10" s="1246">
        <f>IF('Mkt Pen Veh-Mi'!B10=0,1,1/((1-Fuel2ShrbyTech!B11)/'Inputs 7&amp;8 Sleep'!$N23+Fuel2ShrbyTech!B11/'Inputs 7&amp;8 Sleep'!$T23))</f>
        <v>5.9278738513698928</v>
      </c>
      <c r="C10" s="1247">
        <f>IF('Mkt Pen Veh-Mi'!C10=0,1,1/((1-Fuel2ShrbyTech!C11)/'Inputs 7&amp;8 Sleep'!$O23+Fuel2ShrbyTech!C11/'Inputs 7&amp;8 Sleep'!$U23))</f>
        <v>1</v>
      </c>
      <c r="D10" s="1247">
        <f>IF('Mkt Pen Veh-Mi'!D10=0,1,1/((1-Fuel2ShrbyTech!D11)/'Inputs 7&amp;8 Sleep'!$P23+Fuel2ShrbyTech!D11/'Inputs 7&amp;8 Sleep'!$V23))</f>
        <v>1</v>
      </c>
      <c r="E10" s="1247">
        <f>IF('Mkt Pen Veh-Mi'!E10=0,1,1/((1-Fuel2ShrbyTech!E11)/'Inputs 7&amp;8 Sleep'!$Q23+Fuel2ShrbyTech!E11/'Inputs 7&amp;8 Sleep'!$W23))</f>
        <v>1</v>
      </c>
      <c r="F10" s="1247">
        <f>IF('Mkt Pen Veh-Mi'!F10=0,1,1/((1-Fuel2ShrbyTech!F11)/'Inputs 7&amp;8 Sleep'!$R23+Fuel2ShrbyTech!F11/'Inputs 7&amp;8 Sleep'!$X23))</f>
        <v>1</v>
      </c>
      <c r="G10" s="1248">
        <f>IF('Mkt Pen Veh-Mi'!G10=0,1,1/((1-Fuel2ShrbyTech!G11)/'Inputs 7&amp;8 Sleep'!$S23+Fuel2ShrbyTech!G11/'Inputs 7&amp;8 Sleep'!$Y23))</f>
        <v>1</v>
      </c>
      <c r="H10" s="1246">
        <f>IF('Mkt Pen Veh-Mi'!H10=0,1,1/((1-Fuel2ShrbyTech!H11)/'Inputs 7&amp;8 Day'!$N23+Fuel2ShrbyTech!H11/'Inputs 7&amp;8 Day'!$T23))</f>
        <v>5.48300341765977</v>
      </c>
      <c r="I10" s="1247">
        <f>IF('Mkt Pen Veh-Mi'!I10=0,1,1/((1-Fuel2ShrbyTech!I11)/'Inputs 7&amp;8 Day'!$O23+Fuel2ShrbyTech!I11/'Inputs 7&amp;8 Day'!$U23))</f>
        <v>1</v>
      </c>
      <c r="J10" s="1247">
        <f>IF('Mkt Pen Veh-Mi'!J10=0,1,1/((1-Fuel2ShrbyTech!J11)/'Inputs 7&amp;8 Day'!$P23+Fuel2ShrbyTech!J11/'Inputs 7&amp;8 Day'!$V23))</f>
        <v>1</v>
      </c>
      <c r="K10" s="1247">
        <f>IF('Mkt Pen Veh-Mi'!K10=0,1,1/((1-Fuel2ShrbyTech!K11)/'Inputs 7&amp;8 Day'!$Q23+Fuel2ShrbyTech!K11/'Inputs 7&amp;8 Day'!$W23))</f>
        <v>1</v>
      </c>
      <c r="L10" s="1247">
        <f>IF('Mkt Pen Veh-Mi'!L10=0,1,1/((1-Fuel2ShrbyTech!L11)/'Inputs 7&amp;8 Day'!$R23+Fuel2ShrbyTech!L11/'Inputs 7&amp;8 Day'!$X23))</f>
        <v>1</v>
      </c>
      <c r="M10" s="1248">
        <f>IF('Mkt Pen Veh-Mi'!M10=0,1,1/((1-Fuel2ShrbyTech!M11)/'Inputs 7&amp;8 Day'!$S23+Fuel2ShrbyTech!M11/'Inputs 7&amp;8 Day'!$Y23))</f>
        <v>1</v>
      </c>
      <c r="N10" s="1246">
        <f>IF('Mkt Pen Veh-Mi'!N10=0,1,1/((1-Fuel2ShrbyTech!N11)/'Inputs 7&amp;8 SU'!$N23+Fuel2ShrbyTech!N11/'Inputs 7&amp;8 SU'!$T23))</f>
        <v>5.8642619111794092</v>
      </c>
      <c r="O10" s="1247">
        <f>IF('Mkt Pen Veh-Mi'!O10=0,1,1/((1-Fuel2ShrbyTech!O11)/'Inputs 7&amp;8 SU'!$O23+Fuel2ShrbyTech!O11/'Inputs 7&amp;8 SU'!$U23))</f>
        <v>1</v>
      </c>
      <c r="P10" s="1247">
        <f>IF('Mkt Pen Veh-Mi'!P10=0,1,1/((1-Fuel2ShrbyTech!P11)/'Inputs 7&amp;8 SU'!$P23+Fuel2ShrbyTech!P11/'Inputs 7&amp;8 SU'!$V23))</f>
        <v>1</v>
      </c>
      <c r="Q10" s="1247">
        <f>IF('Mkt Pen Veh-Mi'!Q10=0,1,1/((1-Fuel2ShrbyTech!Q11)/'Inputs 7&amp;8 SU'!$Q23+Fuel2ShrbyTech!Q11/'Inputs 7&amp;8 SU'!$W23))</f>
        <v>1</v>
      </c>
      <c r="R10" s="1247">
        <f>IF('Mkt Pen Veh-Mi'!R10=0,1,1/((1-Fuel2ShrbyTech!R11)/'Inputs 7&amp;8 SU'!$R23+Fuel2ShrbyTech!R11/'Inputs 7&amp;8 SU'!$X23))</f>
        <v>1</v>
      </c>
      <c r="S10" s="1248">
        <f>IF('Mkt Pen Veh-Mi'!S10=0,1,1/((1-Fuel2ShrbyTech!S11)/'Inputs 7&amp;8 SU'!$S23+Fuel2ShrbyTech!S11/'Inputs 7&amp;8 SU'!$Y23))</f>
        <v>1</v>
      </c>
      <c r="U10" s="1192">
        <f t="shared" ref="U10:U52" si="13">A10</f>
        <v>2008</v>
      </c>
      <c r="V10" s="1246">
        <f t="shared" ref="V10:V52" si="14">IF(B10=1,0,B10)</f>
        <v>5.9278738513698928</v>
      </c>
      <c r="W10" s="1247">
        <f t="shared" ref="W10:W52" si="15">IF(C10=1,0,C10)</f>
        <v>0</v>
      </c>
      <c r="X10" s="1247">
        <f t="shared" ref="X10:X52" si="16">IF(D10=1,0,D10)</f>
        <v>0</v>
      </c>
      <c r="Y10" s="1247">
        <f t="shared" ref="Y10:Y52" si="17">IF(E10=1,0,E10)</f>
        <v>0</v>
      </c>
      <c r="Z10" s="1247">
        <f t="shared" ref="Z10:Z52" si="18">IF(F10=1,0,F10)</f>
        <v>0</v>
      </c>
      <c r="AA10" s="1248">
        <f t="shared" ref="AA10:AA52" si="19">IF(G10=1,0,G10)</f>
        <v>0</v>
      </c>
      <c r="AB10" s="1246">
        <f t="shared" ref="AB10:AB52" si="20">IF(H10=1,0,H10)</f>
        <v>5.48300341765977</v>
      </c>
      <c r="AC10" s="1247">
        <f t="shared" ref="AC10:AC52" si="21">IF(I10=1,0,I10)</f>
        <v>0</v>
      </c>
      <c r="AD10" s="1247">
        <f t="shared" ref="AD10:AD52" si="22">IF(J10=1,0,J10)</f>
        <v>0</v>
      </c>
      <c r="AE10" s="1247">
        <f t="shared" ref="AE10:AE52" si="23">IF(K10=1,0,K10)</f>
        <v>0</v>
      </c>
      <c r="AF10" s="1247">
        <f t="shared" ref="AF10:AF52" si="24">IF(L10=1,0,L10)</f>
        <v>0</v>
      </c>
      <c r="AG10" s="1248">
        <f t="shared" ref="AG10:AG52" si="25">IF(M10=1,0,M10)</f>
        <v>0</v>
      </c>
      <c r="AH10" s="1246">
        <f t="shared" ref="AH10:AH52" si="26">IF(N10=1,0,N10)</f>
        <v>5.8642619111794092</v>
      </c>
      <c r="AI10" s="1247">
        <f t="shared" ref="AI10:AI52" si="27">IF(O10=1,0,O10)</f>
        <v>0</v>
      </c>
      <c r="AJ10" s="1247">
        <f t="shared" ref="AJ10:AJ52" si="28">IF(P10=1,0,P10)</f>
        <v>0</v>
      </c>
      <c r="AK10" s="1247">
        <f t="shared" ref="AK10:AK52" si="29">IF(Q10=1,0,Q10)</f>
        <v>0</v>
      </c>
      <c r="AL10" s="1247">
        <f t="shared" ref="AL10:AL52" si="30">IF(R10=1,0,R10)</f>
        <v>0</v>
      </c>
      <c r="AM10" s="1248">
        <f t="shared" ref="AM10:AM52" si="31">IF(S10=1,0,S10)</f>
        <v>0</v>
      </c>
      <c r="AN10" s="1177">
        <v>2008</v>
      </c>
      <c r="AO10" s="1323">
        <f t="array" ref="AO10">1/SUMPRODUCT(IFERROR(1/V10:AA10,0),'Mkt Pen Veh-Mi'!B10:G10)</f>
        <v>5.9278738513698928</v>
      </c>
      <c r="AP10" s="1324">
        <f t="array" ref="AP10">1/SUMPRODUCT(IFERROR(1/AB10:AG10,0),'Mkt Pen Veh-Mi'!H10:M10)</f>
        <v>5.48300341765977</v>
      </c>
      <c r="AQ10" s="1328">
        <f t="array" ref="AQ10">1/SUMPRODUCT(IFERROR(1/AH10:AM10,0),'Mkt Pen Veh-Mi'!N10:S10)</f>
        <v>5.8642619111794092</v>
      </c>
      <c r="AR10" s="1321">
        <v>2008</v>
      </c>
      <c r="AS10" s="1323">
        <f t="shared" ref="AS10:AS52" si="32">AO10/V10</f>
        <v>1</v>
      </c>
      <c r="AT10" s="1324">
        <f t="shared" ref="AT10:AT52" si="33">AP10/AB10</f>
        <v>1</v>
      </c>
      <c r="AU10" s="1324">
        <f t="shared" ref="AU10:AU52" si="34">AQ10/AH10</f>
        <v>1</v>
      </c>
      <c r="AV10" s="1328">
        <v>1</v>
      </c>
    </row>
    <row r="11" spans="1:48" s="1177" customFormat="1" ht="15" x14ac:dyDescent="0.2">
      <c r="A11" s="1192">
        <v>2009</v>
      </c>
      <c r="B11" s="1246">
        <f>IF('Mkt Pen Veh-Mi'!B11=0,1,1/((1-Fuel2ShrbyTech!B12)/'Inputs 7&amp;8 Sleep'!$N24+Fuel2ShrbyTech!B12/'Inputs 7&amp;8 Sleep'!$T24))</f>
        <v>5.9278738513698928</v>
      </c>
      <c r="C11" s="1247">
        <f>IF('Mkt Pen Veh-Mi'!C11=0,1,1/((1-Fuel2ShrbyTech!C12)/'Inputs 7&amp;8 Sleep'!$O24+Fuel2ShrbyTech!C12/'Inputs 7&amp;8 Sleep'!$U24))</f>
        <v>1</v>
      </c>
      <c r="D11" s="1247">
        <f>IF('Mkt Pen Veh-Mi'!D11=0,1,1/((1-Fuel2ShrbyTech!D12)/'Inputs 7&amp;8 Sleep'!$P24+Fuel2ShrbyTech!D12/'Inputs 7&amp;8 Sleep'!$V24))</f>
        <v>1</v>
      </c>
      <c r="E11" s="1247">
        <f>IF('Mkt Pen Veh-Mi'!E11=0,1,1/((1-Fuel2ShrbyTech!E12)/'Inputs 7&amp;8 Sleep'!$Q24+Fuel2ShrbyTech!E12/'Inputs 7&amp;8 Sleep'!$W24))</f>
        <v>1</v>
      </c>
      <c r="F11" s="1247">
        <f>IF('Mkt Pen Veh-Mi'!F11=0,1,1/((1-Fuel2ShrbyTech!F12)/'Inputs 7&amp;8 Sleep'!$R24+Fuel2ShrbyTech!F12/'Inputs 7&amp;8 Sleep'!$X24))</f>
        <v>1</v>
      </c>
      <c r="G11" s="1248">
        <f>IF('Mkt Pen Veh-Mi'!G11=0,1,1/((1-Fuel2ShrbyTech!G12)/'Inputs 7&amp;8 Sleep'!$S24+Fuel2ShrbyTech!G12/'Inputs 7&amp;8 Sleep'!$Y24))</f>
        <v>1</v>
      </c>
      <c r="H11" s="1246">
        <f>IF('Mkt Pen Veh-Mi'!H11=0,1,1/((1-Fuel2ShrbyTech!H12)/'Inputs 7&amp;8 Day'!$N24+Fuel2ShrbyTech!H12/'Inputs 7&amp;8 Day'!$T24))</f>
        <v>5.48300341765977</v>
      </c>
      <c r="I11" s="1247">
        <f>IF('Mkt Pen Veh-Mi'!I11=0,1,1/((1-Fuel2ShrbyTech!I12)/'Inputs 7&amp;8 Day'!$O24+Fuel2ShrbyTech!I12/'Inputs 7&amp;8 Day'!$U24))</f>
        <v>1</v>
      </c>
      <c r="J11" s="1247">
        <f>IF('Mkt Pen Veh-Mi'!J11=0,1,1/((1-Fuel2ShrbyTech!J12)/'Inputs 7&amp;8 Day'!$P24+Fuel2ShrbyTech!J12/'Inputs 7&amp;8 Day'!$V24))</f>
        <v>1</v>
      </c>
      <c r="K11" s="1247">
        <f>IF('Mkt Pen Veh-Mi'!K11=0,1,1/((1-Fuel2ShrbyTech!K12)/'Inputs 7&amp;8 Day'!$Q24+Fuel2ShrbyTech!K12/'Inputs 7&amp;8 Day'!$W24))</f>
        <v>1</v>
      </c>
      <c r="L11" s="1247">
        <f>IF('Mkt Pen Veh-Mi'!L11=0,1,1/((1-Fuel2ShrbyTech!L12)/'Inputs 7&amp;8 Day'!$R24+Fuel2ShrbyTech!L12/'Inputs 7&amp;8 Day'!$X24))</f>
        <v>1</v>
      </c>
      <c r="M11" s="1248">
        <f>IF('Mkt Pen Veh-Mi'!M11=0,1,1/((1-Fuel2ShrbyTech!M12)/'Inputs 7&amp;8 Day'!$S24+Fuel2ShrbyTech!M12/'Inputs 7&amp;8 Day'!$Y24))</f>
        <v>1</v>
      </c>
      <c r="N11" s="1246">
        <f>IF('Mkt Pen Veh-Mi'!N11=0,1,1/((1-Fuel2ShrbyTech!N12)/'Inputs 7&amp;8 SU'!$N24+Fuel2ShrbyTech!N12/'Inputs 7&amp;8 SU'!$T24))</f>
        <v>5.8642619111794092</v>
      </c>
      <c r="O11" s="1247">
        <f>IF('Mkt Pen Veh-Mi'!O11=0,1,1/((1-Fuel2ShrbyTech!O12)/'Inputs 7&amp;8 SU'!$O24+Fuel2ShrbyTech!O12/'Inputs 7&amp;8 SU'!$U24))</f>
        <v>1</v>
      </c>
      <c r="P11" s="1247">
        <f>IF('Mkt Pen Veh-Mi'!P11=0,1,1/((1-Fuel2ShrbyTech!P12)/'Inputs 7&amp;8 SU'!$P24+Fuel2ShrbyTech!P12/'Inputs 7&amp;8 SU'!$V24))</f>
        <v>1</v>
      </c>
      <c r="Q11" s="1247">
        <f>IF('Mkt Pen Veh-Mi'!Q11=0,1,1/((1-Fuel2ShrbyTech!Q12)/'Inputs 7&amp;8 SU'!$Q24+Fuel2ShrbyTech!Q12/'Inputs 7&amp;8 SU'!$W24))</f>
        <v>1</v>
      </c>
      <c r="R11" s="1247">
        <f>IF('Mkt Pen Veh-Mi'!R11=0,1,1/((1-Fuel2ShrbyTech!R12)/'Inputs 7&amp;8 SU'!$R24+Fuel2ShrbyTech!R12/'Inputs 7&amp;8 SU'!$X24))</f>
        <v>1</v>
      </c>
      <c r="S11" s="1248">
        <f>IF('Mkt Pen Veh-Mi'!S11=0,1,1/((1-Fuel2ShrbyTech!S12)/'Inputs 7&amp;8 SU'!$S24+Fuel2ShrbyTech!S12/'Inputs 7&amp;8 SU'!$Y24))</f>
        <v>1</v>
      </c>
      <c r="U11" s="1192">
        <f t="shared" si="13"/>
        <v>2009</v>
      </c>
      <c r="V11" s="1246">
        <f t="shared" si="14"/>
        <v>5.9278738513698928</v>
      </c>
      <c r="W11" s="1247">
        <f t="shared" si="15"/>
        <v>0</v>
      </c>
      <c r="X11" s="1247">
        <f t="shared" si="16"/>
        <v>0</v>
      </c>
      <c r="Y11" s="1247">
        <f t="shared" si="17"/>
        <v>0</v>
      </c>
      <c r="Z11" s="1247">
        <f t="shared" si="18"/>
        <v>0</v>
      </c>
      <c r="AA11" s="1248">
        <f t="shared" si="19"/>
        <v>0</v>
      </c>
      <c r="AB11" s="1246">
        <f t="shared" si="20"/>
        <v>5.48300341765977</v>
      </c>
      <c r="AC11" s="1247">
        <f t="shared" si="21"/>
        <v>0</v>
      </c>
      <c r="AD11" s="1247">
        <f t="shared" si="22"/>
        <v>0</v>
      </c>
      <c r="AE11" s="1247">
        <f t="shared" si="23"/>
        <v>0</v>
      </c>
      <c r="AF11" s="1247">
        <f t="shared" si="24"/>
        <v>0</v>
      </c>
      <c r="AG11" s="1248">
        <f t="shared" si="25"/>
        <v>0</v>
      </c>
      <c r="AH11" s="1246">
        <f t="shared" si="26"/>
        <v>5.8642619111794092</v>
      </c>
      <c r="AI11" s="1247">
        <f t="shared" si="27"/>
        <v>0</v>
      </c>
      <c r="AJ11" s="1247">
        <f t="shared" si="28"/>
        <v>0</v>
      </c>
      <c r="AK11" s="1247">
        <f t="shared" si="29"/>
        <v>0</v>
      </c>
      <c r="AL11" s="1247">
        <f t="shared" si="30"/>
        <v>0</v>
      </c>
      <c r="AM11" s="1248">
        <f t="shared" si="31"/>
        <v>0</v>
      </c>
      <c r="AN11" s="1177">
        <v>2009</v>
      </c>
      <c r="AO11" s="1323">
        <f t="array" ref="AO11">1/SUMPRODUCT(IFERROR(1/V11:AA11,0),'Mkt Pen Veh-Mi'!B11:G11)</f>
        <v>5.9278738513698928</v>
      </c>
      <c r="AP11" s="1324">
        <f t="array" ref="AP11">1/SUMPRODUCT(IFERROR(1/AB11:AG11,0),'Mkt Pen Veh-Mi'!H11:M11)</f>
        <v>5.48300341765977</v>
      </c>
      <c r="AQ11" s="1328">
        <f t="array" ref="AQ11">1/SUMPRODUCT(IFERROR(1/AH11:AM11,0),'Mkt Pen Veh-Mi'!N11:S11)</f>
        <v>5.8642619111794092</v>
      </c>
      <c r="AR11" s="1321">
        <v>2009</v>
      </c>
      <c r="AS11" s="1323">
        <f t="shared" si="32"/>
        <v>1</v>
      </c>
      <c r="AT11" s="1324">
        <f t="shared" si="33"/>
        <v>1</v>
      </c>
      <c r="AU11" s="1324">
        <f t="shared" si="34"/>
        <v>1</v>
      </c>
      <c r="AV11" s="1328">
        <v>1</v>
      </c>
    </row>
    <row r="12" spans="1:48" s="1177" customFormat="1" ht="15" x14ac:dyDescent="0.2">
      <c r="A12" s="1198">
        <v>2010</v>
      </c>
      <c r="B12" s="1249">
        <f>IF('Mkt Pen Veh-Mi'!B12=0,1,1/((1-Fuel2ShrbyTech!B13)/'Inputs 7&amp;8 Sleep'!$N25+Fuel2ShrbyTech!B13/'Inputs 7&amp;8 Sleep'!$T25))</f>
        <v>5.6529804659012148</v>
      </c>
      <c r="C12" s="1250">
        <f>IF('Mkt Pen Veh-Mi'!C12=0,1,1/((1-Fuel2ShrbyTech!C13)/'Inputs 7&amp;8 Sleep'!$O25+Fuel2ShrbyTech!C13/'Inputs 7&amp;8 Sleep'!$U25))</f>
        <v>1</v>
      </c>
      <c r="D12" s="1250">
        <f>IF('Mkt Pen Veh-Mi'!D12=0,1,1/((1-Fuel2ShrbyTech!D13)/'Inputs 7&amp;8 Sleep'!$P25+Fuel2ShrbyTech!D13/'Inputs 7&amp;8 Sleep'!$V25))</f>
        <v>1</v>
      </c>
      <c r="E12" s="1250">
        <f>IF('Mkt Pen Veh-Mi'!E12=0,1,1/((1-Fuel2ShrbyTech!E13)/'Inputs 7&amp;8 Sleep'!$Q25+Fuel2ShrbyTech!E13/'Inputs 7&amp;8 Sleep'!$W25))</f>
        <v>1</v>
      </c>
      <c r="F12" s="1250">
        <f>IF('Mkt Pen Veh-Mi'!F12=0,1,1/((1-Fuel2ShrbyTech!F13)/'Inputs 7&amp;8 Sleep'!$R25+Fuel2ShrbyTech!F13/'Inputs 7&amp;8 Sleep'!$X25))</f>
        <v>1</v>
      </c>
      <c r="G12" s="1251">
        <f>IF('Mkt Pen Veh-Mi'!G12=0,1,1/((1-Fuel2ShrbyTech!G13)/'Inputs 7&amp;8 Sleep'!$S25+Fuel2ShrbyTech!G13/'Inputs 7&amp;8 Sleep'!$Y25))</f>
        <v>1</v>
      </c>
      <c r="H12" s="1249">
        <f>IF('Mkt Pen Veh-Mi'!H12=0,1,1/((1-Fuel2ShrbyTech!H13)/'Inputs 7&amp;8 Day'!$N25+Fuel2ShrbyTech!H13/'Inputs 7&amp;8 Day'!$T25))</f>
        <v>5.5209184022550879</v>
      </c>
      <c r="I12" s="1250">
        <f>IF('Mkt Pen Veh-Mi'!I12=0,1,1/((1-Fuel2ShrbyTech!I13)/'Inputs 7&amp;8 Day'!$O25+Fuel2ShrbyTech!I13/'Inputs 7&amp;8 Day'!$U25))</f>
        <v>1</v>
      </c>
      <c r="J12" s="1250">
        <f>IF('Mkt Pen Veh-Mi'!J12=0,1,1/((1-Fuel2ShrbyTech!J13)/'Inputs 7&amp;8 Day'!$P25+Fuel2ShrbyTech!J13/'Inputs 7&amp;8 Day'!$V25))</f>
        <v>1</v>
      </c>
      <c r="K12" s="1250">
        <f>IF('Mkt Pen Veh-Mi'!K12=0,1,1/((1-Fuel2ShrbyTech!K13)/'Inputs 7&amp;8 Day'!$Q25+Fuel2ShrbyTech!K13/'Inputs 7&amp;8 Day'!$W25))</f>
        <v>1</v>
      </c>
      <c r="L12" s="1250">
        <f>IF('Mkt Pen Veh-Mi'!L12=0,1,1/((1-Fuel2ShrbyTech!L13)/'Inputs 7&amp;8 Day'!$R25+Fuel2ShrbyTech!L13/'Inputs 7&amp;8 Day'!$X25))</f>
        <v>1</v>
      </c>
      <c r="M12" s="1251">
        <f>IF('Mkt Pen Veh-Mi'!M12=0,1,1/((1-Fuel2ShrbyTech!M13)/'Inputs 7&amp;8 Day'!$S25+Fuel2ShrbyTech!M13/'Inputs 7&amp;8 Day'!$Y25))</f>
        <v>1</v>
      </c>
      <c r="N12" s="1249">
        <f>IF('Mkt Pen Veh-Mi'!N12=0,1,1/((1-Fuel2ShrbyTech!N13)/'Inputs 7&amp;8 SU'!$N25+Fuel2ShrbyTech!N13/'Inputs 7&amp;8 SU'!$T25))</f>
        <v>6.0528670437085221</v>
      </c>
      <c r="O12" s="1250">
        <f>IF('Mkt Pen Veh-Mi'!O12=0,1,1/((1-Fuel2ShrbyTech!O13)/'Inputs 7&amp;8 SU'!$O25+Fuel2ShrbyTech!O13/'Inputs 7&amp;8 SU'!$U25))</f>
        <v>1</v>
      </c>
      <c r="P12" s="1250">
        <f>IF('Mkt Pen Veh-Mi'!P12=0,1,1/((1-Fuel2ShrbyTech!P13)/'Inputs 7&amp;8 SU'!$P25+Fuel2ShrbyTech!P13/'Inputs 7&amp;8 SU'!$V25))</f>
        <v>1</v>
      </c>
      <c r="Q12" s="1250">
        <f>IF('Mkt Pen Veh-Mi'!Q12=0,1,1/((1-Fuel2ShrbyTech!Q13)/'Inputs 7&amp;8 SU'!$Q25+Fuel2ShrbyTech!Q13/'Inputs 7&amp;8 SU'!$W25))</f>
        <v>1</v>
      </c>
      <c r="R12" s="1250">
        <f>IF('Mkt Pen Veh-Mi'!R12=0,1,1/((1-Fuel2ShrbyTech!R13)/'Inputs 7&amp;8 SU'!$R25+Fuel2ShrbyTech!R13/'Inputs 7&amp;8 SU'!$X25))</f>
        <v>1</v>
      </c>
      <c r="S12" s="1251">
        <f>IF('Mkt Pen Veh-Mi'!S12=0,1,1/((1-Fuel2ShrbyTech!S13)/'Inputs 7&amp;8 SU'!$S25+Fuel2ShrbyTech!S13/'Inputs 7&amp;8 SU'!$Y25))</f>
        <v>1</v>
      </c>
      <c r="U12" s="1198">
        <f t="shared" si="13"/>
        <v>2010</v>
      </c>
      <c r="V12" s="1249">
        <f t="shared" si="14"/>
        <v>5.6529804659012148</v>
      </c>
      <c r="W12" s="1250">
        <f t="shared" si="15"/>
        <v>0</v>
      </c>
      <c r="X12" s="1250">
        <f t="shared" si="16"/>
        <v>0</v>
      </c>
      <c r="Y12" s="1250">
        <f t="shared" si="17"/>
        <v>0</v>
      </c>
      <c r="Z12" s="1250">
        <f t="shared" si="18"/>
        <v>0</v>
      </c>
      <c r="AA12" s="1251">
        <f t="shared" si="19"/>
        <v>0</v>
      </c>
      <c r="AB12" s="1249">
        <f t="shared" si="20"/>
        <v>5.5209184022550879</v>
      </c>
      <c r="AC12" s="1250">
        <f t="shared" si="21"/>
        <v>0</v>
      </c>
      <c r="AD12" s="1250">
        <f t="shared" si="22"/>
        <v>0</v>
      </c>
      <c r="AE12" s="1250">
        <f t="shared" si="23"/>
        <v>0</v>
      </c>
      <c r="AF12" s="1250">
        <f t="shared" si="24"/>
        <v>0</v>
      </c>
      <c r="AG12" s="1251">
        <f t="shared" si="25"/>
        <v>0</v>
      </c>
      <c r="AH12" s="1249">
        <f t="shared" si="26"/>
        <v>6.0528670437085221</v>
      </c>
      <c r="AI12" s="1250">
        <f t="shared" si="27"/>
        <v>0</v>
      </c>
      <c r="AJ12" s="1250">
        <f t="shared" si="28"/>
        <v>0</v>
      </c>
      <c r="AK12" s="1250">
        <f t="shared" si="29"/>
        <v>0</v>
      </c>
      <c r="AL12" s="1250">
        <f t="shared" si="30"/>
        <v>0</v>
      </c>
      <c r="AM12" s="1251">
        <f t="shared" si="31"/>
        <v>0</v>
      </c>
      <c r="AN12" s="1177">
        <v>2010</v>
      </c>
      <c r="AO12" s="1323">
        <f t="array" ref="AO12">1/SUMPRODUCT(IFERROR(1/V12:AA12,0),'Mkt Pen Veh-Mi'!B12:G12)</f>
        <v>5.6529804659012148</v>
      </c>
      <c r="AP12" s="1324">
        <f t="array" ref="AP12">1/SUMPRODUCT(IFERROR(1/AB12:AG12,0),'Mkt Pen Veh-Mi'!H12:M12)</f>
        <v>5.5209184022550879</v>
      </c>
      <c r="AQ12" s="1328">
        <f t="array" ref="AQ12">1/SUMPRODUCT(IFERROR(1/AH12:AM12,0),'Mkt Pen Veh-Mi'!N12:S12)</f>
        <v>6.0528670437085221</v>
      </c>
      <c r="AR12" s="1321">
        <v>2010</v>
      </c>
      <c r="AS12" s="1323">
        <f t="shared" si="32"/>
        <v>1</v>
      </c>
      <c r="AT12" s="1324">
        <f t="shared" si="33"/>
        <v>1</v>
      </c>
      <c r="AU12" s="1324">
        <f t="shared" si="34"/>
        <v>1</v>
      </c>
      <c r="AV12" s="1328">
        <v>1</v>
      </c>
    </row>
    <row r="13" spans="1:48" s="1177" customFormat="1" ht="15" x14ac:dyDescent="0.2">
      <c r="A13" s="1192">
        <v>2011</v>
      </c>
      <c r="B13" s="1252">
        <f>IF('Mkt Pen Veh-Mi'!B13=0,1,1/((1-Fuel2ShrbyTech!B14)/'Inputs 7&amp;8 Sleep'!$N26+Fuel2ShrbyTech!B14/'Inputs 7&amp;8 Sleep'!$T26))</f>
        <v>5.7697883792198921</v>
      </c>
      <c r="C13" s="1253">
        <f>IF('Mkt Pen Veh-Mi'!C13=0,1,1/((1-Fuel2ShrbyTech!C14)/'Inputs 7&amp;8 Sleep'!$O26+Fuel2ShrbyTech!C14/'Inputs 7&amp;8 Sleep'!$U26))</f>
        <v>1</v>
      </c>
      <c r="D13" s="1253">
        <f>IF('Mkt Pen Veh-Mi'!D13=0,1,1/((1-Fuel2ShrbyTech!D14)/'Inputs 7&amp;8 Sleep'!$P26+Fuel2ShrbyTech!D14/'Inputs 7&amp;8 Sleep'!$V26))</f>
        <v>1</v>
      </c>
      <c r="E13" s="1253">
        <f>IF('Mkt Pen Veh-Mi'!E13=0,1,1/((1-Fuel2ShrbyTech!E14)/'Inputs 7&amp;8 Sleep'!$Q26+Fuel2ShrbyTech!E14/'Inputs 7&amp;8 Sleep'!$W26))</f>
        <v>1</v>
      </c>
      <c r="F13" s="1253">
        <f>IF('Mkt Pen Veh-Mi'!F13=0,1,1/((1-Fuel2ShrbyTech!F14)/'Inputs 7&amp;8 Sleep'!$R26+Fuel2ShrbyTech!F14/'Inputs 7&amp;8 Sleep'!$X26))</f>
        <v>1</v>
      </c>
      <c r="G13" s="1254">
        <f>IF('Mkt Pen Veh-Mi'!G13=0,1,1/((1-Fuel2ShrbyTech!G14)/'Inputs 7&amp;8 Sleep'!$S26+Fuel2ShrbyTech!G14/'Inputs 7&amp;8 Sleep'!$Y26))</f>
        <v>1</v>
      </c>
      <c r="H13" s="1252">
        <f>IF('Mkt Pen Veh-Mi'!H13=0,1,1/((1-Fuel2ShrbyTech!H14)/'Inputs 7&amp;8 Day'!$N26+Fuel2ShrbyTech!H14/'Inputs 7&amp;8 Day'!$T26))</f>
        <v>5.6389131953913116</v>
      </c>
      <c r="I13" s="1253">
        <f>IF('Mkt Pen Veh-Mi'!I13=0,1,1/((1-Fuel2ShrbyTech!I14)/'Inputs 7&amp;8 Day'!$O26+Fuel2ShrbyTech!I14/'Inputs 7&amp;8 Day'!$U26))</f>
        <v>1</v>
      </c>
      <c r="J13" s="1253">
        <f>IF('Mkt Pen Veh-Mi'!J13=0,1,1/((1-Fuel2ShrbyTech!J14)/'Inputs 7&amp;8 Day'!$P26+Fuel2ShrbyTech!J14/'Inputs 7&amp;8 Day'!$V26))</f>
        <v>1</v>
      </c>
      <c r="K13" s="1253">
        <f>IF('Mkt Pen Veh-Mi'!K13=0,1,1/((1-Fuel2ShrbyTech!K14)/'Inputs 7&amp;8 Day'!$Q26+Fuel2ShrbyTech!K14/'Inputs 7&amp;8 Day'!$W26))</f>
        <v>1</v>
      </c>
      <c r="L13" s="1253">
        <f>IF('Mkt Pen Veh-Mi'!L13=0,1,1/((1-Fuel2ShrbyTech!L14)/'Inputs 7&amp;8 Day'!$R26+Fuel2ShrbyTech!L14/'Inputs 7&amp;8 Day'!$X26))</f>
        <v>1</v>
      </c>
      <c r="M13" s="1254">
        <f>IF('Mkt Pen Veh-Mi'!M13=0,1,1/((1-Fuel2ShrbyTech!M14)/'Inputs 7&amp;8 Day'!$S26+Fuel2ShrbyTech!M14/'Inputs 7&amp;8 Day'!$Y26))</f>
        <v>1</v>
      </c>
      <c r="N13" s="1252">
        <f>IF('Mkt Pen Veh-Mi'!N13=0,1,1/((1-Fuel2ShrbyTech!N14)/'Inputs 7&amp;8 SU'!$N26+Fuel2ShrbyTech!N14/'Inputs 7&amp;8 SU'!$T26))</f>
        <v>6.1303718963155642</v>
      </c>
      <c r="O13" s="1253">
        <f>IF('Mkt Pen Veh-Mi'!O13=0,1,1/((1-Fuel2ShrbyTech!O14)/'Inputs 7&amp;8 SU'!$O26+Fuel2ShrbyTech!O14/'Inputs 7&amp;8 SU'!$U26))</f>
        <v>1</v>
      </c>
      <c r="P13" s="1253">
        <f>IF('Mkt Pen Veh-Mi'!P13=0,1,1/((1-Fuel2ShrbyTech!P14)/'Inputs 7&amp;8 SU'!$P26+Fuel2ShrbyTech!P14/'Inputs 7&amp;8 SU'!$V26))</f>
        <v>1</v>
      </c>
      <c r="Q13" s="1253">
        <f>IF('Mkt Pen Veh-Mi'!Q13=0,1,1/((1-Fuel2ShrbyTech!Q14)/'Inputs 7&amp;8 SU'!$Q26+Fuel2ShrbyTech!Q14/'Inputs 7&amp;8 SU'!$W26))</f>
        <v>1</v>
      </c>
      <c r="R13" s="1253">
        <f>IF('Mkt Pen Veh-Mi'!R13=0,1,1/((1-Fuel2ShrbyTech!R14)/'Inputs 7&amp;8 SU'!$R26+Fuel2ShrbyTech!R14/'Inputs 7&amp;8 SU'!$X26))</f>
        <v>1</v>
      </c>
      <c r="S13" s="1254">
        <f>IF('Mkt Pen Veh-Mi'!S13=0,1,1/((1-Fuel2ShrbyTech!S14)/'Inputs 7&amp;8 SU'!$S26+Fuel2ShrbyTech!S14/'Inputs 7&amp;8 SU'!$Y26))</f>
        <v>1</v>
      </c>
      <c r="U13" s="1192">
        <f t="shared" si="13"/>
        <v>2011</v>
      </c>
      <c r="V13" s="1252">
        <f t="shared" si="14"/>
        <v>5.7697883792198921</v>
      </c>
      <c r="W13" s="1253">
        <f t="shared" si="15"/>
        <v>0</v>
      </c>
      <c r="X13" s="1253">
        <f t="shared" si="16"/>
        <v>0</v>
      </c>
      <c r="Y13" s="1253">
        <f t="shared" si="17"/>
        <v>0</v>
      </c>
      <c r="Z13" s="1253">
        <f t="shared" si="18"/>
        <v>0</v>
      </c>
      <c r="AA13" s="1254">
        <f t="shared" si="19"/>
        <v>0</v>
      </c>
      <c r="AB13" s="1252">
        <f t="shared" si="20"/>
        <v>5.6389131953913116</v>
      </c>
      <c r="AC13" s="1253">
        <f t="shared" si="21"/>
        <v>0</v>
      </c>
      <c r="AD13" s="1253">
        <f t="shared" si="22"/>
        <v>0</v>
      </c>
      <c r="AE13" s="1253">
        <f t="shared" si="23"/>
        <v>0</v>
      </c>
      <c r="AF13" s="1253">
        <f t="shared" si="24"/>
        <v>0</v>
      </c>
      <c r="AG13" s="1254">
        <f t="shared" si="25"/>
        <v>0</v>
      </c>
      <c r="AH13" s="1252">
        <f t="shared" si="26"/>
        <v>6.1303718963155642</v>
      </c>
      <c r="AI13" s="1253">
        <f t="shared" si="27"/>
        <v>0</v>
      </c>
      <c r="AJ13" s="1253">
        <f t="shared" si="28"/>
        <v>0</v>
      </c>
      <c r="AK13" s="1253">
        <f t="shared" si="29"/>
        <v>0</v>
      </c>
      <c r="AL13" s="1253">
        <f t="shared" si="30"/>
        <v>0</v>
      </c>
      <c r="AM13" s="1254">
        <f t="shared" si="31"/>
        <v>0</v>
      </c>
      <c r="AN13" s="1177">
        <v>2011</v>
      </c>
      <c r="AO13" s="1323">
        <f t="array" ref="AO13">1/SUMPRODUCT(IFERROR(1/V13:AA13,0),'Mkt Pen Veh-Mi'!B13:G13)</f>
        <v>5.7697883792198921</v>
      </c>
      <c r="AP13" s="1324">
        <f t="array" ref="AP13">1/SUMPRODUCT(IFERROR(1/AB13:AG13,0),'Mkt Pen Veh-Mi'!H13:M13)</f>
        <v>5.6389131953913116</v>
      </c>
      <c r="AQ13" s="1328">
        <f t="array" ref="AQ13">1/SUMPRODUCT(IFERROR(1/AH13:AM13,0),'Mkt Pen Veh-Mi'!N13:S13)</f>
        <v>6.1303718963155642</v>
      </c>
      <c r="AR13" s="1321">
        <v>2011</v>
      </c>
      <c r="AS13" s="1323">
        <f t="shared" si="32"/>
        <v>1</v>
      </c>
      <c r="AT13" s="1324">
        <f t="shared" si="33"/>
        <v>1</v>
      </c>
      <c r="AU13" s="1324">
        <f t="shared" si="34"/>
        <v>1</v>
      </c>
      <c r="AV13" s="1328">
        <v>1</v>
      </c>
    </row>
    <row r="14" spans="1:48" s="1177" customFormat="1" ht="15" x14ac:dyDescent="0.2">
      <c r="A14" s="1192">
        <v>2012</v>
      </c>
      <c r="B14" s="1246">
        <f>IF('Mkt Pen Veh-Mi'!B14=0,1,1/((1-Fuel2ShrbyTech!B15)/'Inputs 7&amp;8 Sleep'!$N27+Fuel2ShrbyTech!B15/'Inputs 7&amp;8 Sleep'!$T27))</f>
        <v>5.8156338758937807</v>
      </c>
      <c r="C14" s="1247">
        <f>IF('Mkt Pen Veh-Mi'!C14=0,1,1/((1-Fuel2ShrbyTech!C15)/'Inputs 7&amp;8 Sleep'!$O27+Fuel2ShrbyTech!C15/'Inputs 7&amp;8 Sleep'!$U27))</f>
        <v>1</v>
      </c>
      <c r="D14" s="1247">
        <f>IF('Mkt Pen Veh-Mi'!D14=0,1,1/((1-Fuel2ShrbyTech!D15)/'Inputs 7&amp;8 Sleep'!$P27+Fuel2ShrbyTech!D15/'Inputs 7&amp;8 Sleep'!$V27))</f>
        <v>1</v>
      </c>
      <c r="E14" s="1247">
        <f>IF('Mkt Pen Veh-Mi'!E14=0,1,1/((1-Fuel2ShrbyTech!E15)/'Inputs 7&amp;8 Sleep'!$Q27+Fuel2ShrbyTech!E15/'Inputs 7&amp;8 Sleep'!$W27))</f>
        <v>1</v>
      </c>
      <c r="F14" s="1247">
        <f>IF('Mkt Pen Veh-Mi'!F14=0,1,1/((1-Fuel2ShrbyTech!F15)/'Inputs 7&amp;8 Sleep'!$R27+Fuel2ShrbyTech!F15/'Inputs 7&amp;8 Sleep'!$X27))</f>
        <v>1</v>
      </c>
      <c r="G14" s="1248">
        <f>IF('Mkt Pen Veh-Mi'!G14=0,1,1/((1-Fuel2ShrbyTech!G15)/'Inputs 7&amp;8 Sleep'!$S27+Fuel2ShrbyTech!G15/'Inputs 7&amp;8 Sleep'!$Y27))</f>
        <v>1</v>
      </c>
      <c r="H14" s="1246">
        <f>IF('Mkt Pen Veh-Mi'!H14=0,1,1/((1-Fuel2ShrbyTech!H15)/'Inputs 7&amp;8 Day'!$N27+Fuel2ShrbyTech!H15/'Inputs 7&amp;8 Day'!$T27))</f>
        <v>5.6839701888518315</v>
      </c>
      <c r="I14" s="1247">
        <f>IF('Mkt Pen Veh-Mi'!I14=0,1,1/((1-Fuel2ShrbyTech!I15)/'Inputs 7&amp;8 Day'!$O27+Fuel2ShrbyTech!I15/'Inputs 7&amp;8 Day'!$U27))</f>
        <v>1</v>
      </c>
      <c r="J14" s="1247">
        <f>IF('Mkt Pen Veh-Mi'!J14=0,1,1/((1-Fuel2ShrbyTech!J15)/'Inputs 7&amp;8 Day'!$P27+Fuel2ShrbyTech!J15/'Inputs 7&amp;8 Day'!$V27))</f>
        <v>1</v>
      </c>
      <c r="K14" s="1247">
        <f>IF('Mkt Pen Veh-Mi'!K14=0,1,1/((1-Fuel2ShrbyTech!K15)/'Inputs 7&amp;8 Day'!$Q27+Fuel2ShrbyTech!K15/'Inputs 7&amp;8 Day'!$W27))</f>
        <v>1</v>
      </c>
      <c r="L14" s="1247">
        <f>IF('Mkt Pen Veh-Mi'!L14=0,1,1/((1-Fuel2ShrbyTech!L15)/'Inputs 7&amp;8 Day'!$R27+Fuel2ShrbyTech!L15/'Inputs 7&amp;8 Day'!$X27))</f>
        <v>1</v>
      </c>
      <c r="M14" s="1248">
        <f>IF('Mkt Pen Veh-Mi'!M14=0,1,1/((1-Fuel2ShrbyTech!M15)/'Inputs 7&amp;8 Day'!$S27+Fuel2ShrbyTech!M15/'Inputs 7&amp;8 Day'!$Y27))</f>
        <v>1</v>
      </c>
      <c r="N14" s="1246">
        <f>IF('Mkt Pen Veh-Mi'!N14=0,1,1/((1-Fuel2ShrbyTech!N15)/'Inputs 7&amp;8 SU'!$N27+Fuel2ShrbyTech!N15/'Inputs 7&amp;8 SU'!$T27))</f>
        <v>6.1630746462831913</v>
      </c>
      <c r="O14" s="1247">
        <f>IF('Mkt Pen Veh-Mi'!O14=0,1,1/((1-Fuel2ShrbyTech!O15)/'Inputs 7&amp;8 SU'!$O27+Fuel2ShrbyTech!O15/'Inputs 7&amp;8 SU'!$U27))</f>
        <v>1</v>
      </c>
      <c r="P14" s="1247">
        <f>IF('Mkt Pen Veh-Mi'!P14=0,1,1/((1-Fuel2ShrbyTech!P15)/'Inputs 7&amp;8 SU'!$P27+Fuel2ShrbyTech!P15/'Inputs 7&amp;8 SU'!$V27))</f>
        <v>1</v>
      </c>
      <c r="Q14" s="1247">
        <f>IF('Mkt Pen Veh-Mi'!Q14=0,1,1/((1-Fuel2ShrbyTech!Q15)/'Inputs 7&amp;8 SU'!$Q27+Fuel2ShrbyTech!Q15/'Inputs 7&amp;8 SU'!$W27))</f>
        <v>1</v>
      </c>
      <c r="R14" s="1247">
        <f>IF('Mkt Pen Veh-Mi'!R14=0,1,1/((1-Fuel2ShrbyTech!R15)/'Inputs 7&amp;8 SU'!$R27+Fuel2ShrbyTech!R15/'Inputs 7&amp;8 SU'!$X27))</f>
        <v>1</v>
      </c>
      <c r="S14" s="1248">
        <f>IF('Mkt Pen Veh-Mi'!S14=0,1,1/((1-Fuel2ShrbyTech!S15)/'Inputs 7&amp;8 SU'!$S27+Fuel2ShrbyTech!S15/'Inputs 7&amp;8 SU'!$Y27))</f>
        <v>1</v>
      </c>
      <c r="U14" s="1192">
        <f t="shared" si="13"/>
        <v>2012</v>
      </c>
      <c r="V14" s="1246">
        <f t="shared" si="14"/>
        <v>5.8156338758937807</v>
      </c>
      <c r="W14" s="1247">
        <f t="shared" si="15"/>
        <v>0</v>
      </c>
      <c r="X14" s="1247">
        <f t="shared" si="16"/>
        <v>0</v>
      </c>
      <c r="Y14" s="1247">
        <f t="shared" si="17"/>
        <v>0</v>
      </c>
      <c r="Z14" s="1247">
        <f t="shared" si="18"/>
        <v>0</v>
      </c>
      <c r="AA14" s="1248">
        <f t="shared" si="19"/>
        <v>0</v>
      </c>
      <c r="AB14" s="1246">
        <f t="shared" si="20"/>
        <v>5.6839701888518315</v>
      </c>
      <c r="AC14" s="1247">
        <f t="shared" si="21"/>
        <v>0</v>
      </c>
      <c r="AD14" s="1247">
        <f t="shared" si="22"/>
        <v>0</v>
      </c>
      <c r="AE14" s="1247">
        <f t="shared" si="23"/>
        <v>0</v>
      </c>
      <c r="AF14" s="1247">
        <f t="shared" si="24"/>
        <v>0</v>
      </c>
      <c r="AG14" s="1248">
        <f t="shared" si="25"/>
        <v>0</v>
      </c>
      <c r="AH14" s="1246">
        <f t="shared" si="26"/>
        <v>6.1630746462831913</v>
      </c>
      <c r="AI14" s="1247">
        <f t="shared" si="27"/>
        <v>0</v>
      </c>
      <c r="AJ14" s="1247">
        <f t="shared" si="28"/>
        <v>0</v>
      </c>
      <c r="AK14" s="1247">
        <f t="shared" si="29"/>
        <v>0</v>
      </c>
      <c r="AL14" s="1247">
        <f t="shared" si="30"/>
        <v>0</v>
      </c>
      <c r="AM14" s="1248">
        <f t="shared" si="31"/>
        <v>0</v>
      </c>
      <c r="AN14" s="1177">
        <v>2012</v>
      </c>
      <c r="AO14" s="1323">
        <f t="array" ref="AO14">1/SUMPRODUCT(IFERROR(1/V14:AA14,0),'Mkt Pen Veh-Mi'!B14:G14)</f>
        <v>5.8156338758937807</v>
      </c>
      <c r="AP14" s="1324">
        <f t="array" ref="AP14">1/SUMPRODUCT(IFERROR(1/AB14:AG14,0),'Mkt Pen Veh-Mi'!H14:M14)</f>
        <v>5.6839701888518315</v>
      </c>
      <c r="AQ14" s="1328">
        <f t="array" ref="AQ14">1/SUMPRODUCT(IFERROR(1/AH14:AM14,0),'Mkt Pen Veh-Mi'!N14:S14)</f>
        <v>6.1630746462831913</v>
      </c>
      <c r="AR14" s="1321">
        <v>2012</v>
      </c>
      <c r="AS14" s="1323">
        <f t="shared" si="32"/>
        <v>1</v>
      </c>
      <c r="AT14" s="1324">
        <f t="shared" si="33"/>
        <v>1</v>
      </c>
      <c r="AU14" s="1324">
        <f t="shared" si="34"/>
        <v>1</v>
      </c>
      <c r="AV14" s="1328">
        <v>1</v>
      </c>
    </row>
    <row r="15" spans="1:48" s="1177" customFormat="1" ht="15" x14ac:dyDescent="0.2">
      <c r="A15" s="1192">
        <v>2013</v>
      </c>
      <c r="B15" s="1246">
        <f>IF('Mkt Pen Veh-Mi'!B15=0,1,1/((1-Fuel2ShrbyTech!B16)/'Inputs 7&amp;8 Sleep'!$N28+Fuel2ShrbyTech!B16/'Inputs 7&amp;8 Sleep'!$T28))</f>
        <v>5.9244625288706905</v>
      </c>
      <c r="C15" s="1247">
        <f>IF('Mkt Pen Veh-Mi'!C15=0,1,1/((1-Fuel2ShrbyTech!C16)/'Inputs 7&amp;8 Sleep'!$O28+Fuel2ShrbyTech!C16/'Inputs 7&amp;8 Sleep'!$U28))</f>
        <v>1</v>
      </c>
      <c r="D15" s="1247">
        <f>IF('Mkt Pen Veh-Mi'!D15=0,1,1/((1-Fuel2ShrbyTech!D16)/'Inputs 7&amp;8 Sleep'!$P28+Fuel2ShrbyTech!D16/'Inputs 7&amp;8 Sleep'!$V28))</f>
        <v>1</v>
      </c>
      <c r="E15" s="1247">
        <f>IF('Mkt Pen Veh-Mi'!E15=0,1,1/((1-Fuel2ShrbyTech!E16)/'Inputs 7&amp;8 Sleep'!$Q28+Fuel2ShrbyTech!E16/'Inputs 7&amp;8 Sleep'!$W28))</f>
        <v>1</v>
      </c>
      <c r="F15" s="1247">
        <f>IF('Mkt Pen Veh-Mi'!F15=0,1,1/((1-Fuel2ShrbyTech!F16)/'Inputs 7&amp;8 Sleep'!$R28+Fuel2ShrbyTech!F16/'Inputs 7&amp;8 Sleep'!$X28))</f>
        <v>1</v>
      </c>
      <c r="G15" s="1248">
        <f>IF('Mkt Pen Veh-Mi'!G15=0,1,1/((1-Fuel2ShrbyTech!G16)/'Inputs 7&amp;8 Sleep'!$S28+Fuel2ShrbyTech!G16/'Inputs 7&amp;8 Sleep'!$Y28))</f>
        <v>1</v>
      </c>
      <c r="H15" s="1246">
        <f>IF('Mkt Pen Veh-Mi'!H15=0,1,1/((1-Fuel2ShrbyTech!H16)/'Inputs 7&amp;8 Day'!$N28+Fuel2ShrbyTech!H16/'Inputs 7&amp;8 Day'!$T28))</f>
        <v>5.7743160896809451</v>
      </c>
      <c r="I15" s="1247">
        <f>IF('Mkt Pen Veh-Mi'!I15=0,1,1/((1-Fuel2ShrbyTech!I16)/'Inputs 7&amp;8 Day'!$O28+Fuel2ShrbyTech!I16/'Inputs 7&amp;8 Day'!$U28))</f>
        <v>1</v>
      </c>
      <c r="J15" s="1247">
        <f>IF('Mkt Pen Veh-Mi'!J15=0,1,1/((1-Fuel2ShrbyTech!J16)/'Inputs 7&amp;8 Day'!$P28+Fuel2ShrbyTech!J16/'Inputs 7&amp;8 Day'!$V28))</f>
        <v>1</v>
      </c>
      <c r="K15" s="1247">
        <f>IF('Mkt Pen Veh-Mi'!K15=0,1,1/((1-Fuel2ShrbyTech!K16)/'Inputs 7&amp;8 Day'!$Q28+Fuel2ShrbyTech!K16/'Inputs 7&amp;8 Day'!$W28))</f>
        <v>1</v>
      </c>
      <c r="L15" s="1247">
        <f>IF('Mkt Pen Veh-Mi'!L15=0,1,1/((1-Fuel2ShrbyTech!L16)/'Inputs 7&amp;8 Day'!$R28+Fuel2ShrbyTech!L16/'Inputs 7&amp;8 Day'!$X28))</f>
        <v>1</v>
      </c>
      <c r="M15" s="1248">
        <f>IF('Mkt Pen Veh-Mi'!M15=0,1,1/((1-Fuel2ShrbyTech!M16)/'Inputs 7&amp;8 Day'!$S28+Fuel2ShrbyTech!M16/'Inputs 7&amp;8 Day'!$Y28))</f>
        <v>1</v>
      </c>
      <c r="N15" s="1246">
        <f>IF('Mkt Pen Veh-Mi'!N15=0,1,1/((1-Fuel2ShrbyTech!N16)/'Inputs 7&amp;8 SU'!$N28+Fuel2ShrbyTech!N16/'Inputs 7&amp;8 SU'!$T28))</f>
        <v>6.2217527283520475</v>
      </c>
      <c r="O15" s="1247">
        <f>IF('Mkt Pen Veh-Mi'!O15=0,1,1/((1-Fuel2ShrbyTech!O16)/'Inputs 7&amp;8 SU'!$O28+Fuel2ShrbyTech!O16/'Inputs 7&amp;8 SU'!$U28))</f>
        <v>1</v>
      </c>
      <c r="P15" s="1247">
        <f>IF('Mkt Pen Veh-Mi'!P15=0,1,1/((1-Fuel2ShrbyTech!P16)/'Inputs 7&amp;8 SU'!$P28+Fuel2ShrbyTech!P16/'Inputs 7&amp;8 SU'!$V28))</f>
        <v>1</v>
      </c>
      <c r="Q15" s="1247">
        <f>IF('Mkt Pen Veh-Mi'!Q15=0,1,1/((1-Fuel2ShrbyTech!Q16)/'Inputs 7&amp;8 SU'!$Q28+Fuel2ShrbyTech!Q16/'Inputs 7&amp;8 SU'!$W28))</f>
        <v>1</v>
      </c>
      <c r="R15" s="1247">
        <f>IF('Mkt Pen Veh-Mi'!R15=0,1,1/((1-Fuel2ShrbyTech!R16)/'Inputs 7&amp;8 SU'!$R28+Fuel2ShrbyTech!R16/'Inputs 7&amp;8 SU'!$X28))</f>
        <v>1</v>
      </c>
      <c r="S15" s="1248">
        <f>IF('Mkt Pen Veh-Mi'!S15=0,1,1/((1-Fuel2ShrbyTech!S16)/'Inputs 7&amp;8 SU'!$S28+Fuel2ShrbyTech!S16/'Inputs 7&amp;8 SU'!$Y28))</f>
        <v>1</v>
      </c>
      <c r="U15" s="1192">
        <f t="shared" si="13"/>
        <v>2013</v>
      </c>
      <c r="V15" s="1246">
        <f t="shared" si="14"/>
        <v>5.9244625288706905</v>
      </c>
      <c r="W15" s="1247">
        <f t="shared" si="15"/>
        <v>0</v>
      </c>
      <c r="X15" s="1247">
        <f t="shared" si="16"/>
        <v>0</v>
      </c>
      <c r="Y15" s="1247">
        <f t="shared" si="17"/>
        <v>0</v>
      </c>
      <c r="Z15" s="1247">
        <f t="shared" si="18"/>
        <v>0</v>
      </c>
      <c r="AA15" s="1248">
        <f t="shared" si="19"/>
        <v>0</v>
      </c>
      <c r="AB15" s="1246">
        <f t="shared" si="20"/>
        <v>5.7743160896809451</v>
      </c>
      <c r="AC15" s="1247">
        <f t="shared" si="21"/>
        <v>0</v>
      </c>
      <c r="AD15" s="1247">
        <f t="shared" si="22"/>
        <v>0</v>
      </c>
      <c r="AE15" s="1247">
        <f t="shared" si="23"/>
        <v>0</v>
      </c>
      <c r="AF15" s="1247">
        <f t="shared" si="24"/>
        <v>0</v>
      </c>
      <c r="AG15" s="1248">
        <f t="shared" si="25"/>
        <v>0</v>
      </c>
      <c r="AH15" s="1246">
        <f t="shared" si="26"/>
        <v>6.2217527283520475</v>
      </c>
      <c r="AI15" s="1247">
        <f t="shared" si="27"/>
        <v>0</v>
      </c>
      <c r="AJ15" s="1247">
        <f t="shared" si="28"/>
        <v>0</v>
      </c>
      <c r="AK15" s="1247">
        <f t="shared" si="29"/>
        <v>0</v>
      </c>
      <c r="AL15" s="1247">
        <f t="shared" si="30"/>
        <v>0</v>
      </c>
      <c r="AM15" s="1248">
        <f t="shared" si="31"/>
        <v>0</v>
      </c>
      <c r="AN15" s="1177">
        <v>2013</v>
      </c>
      <c r="AO15" s="1323">
        <f t="array" ref="AO15">1/SUMPRODUCT(IFERROR(1/V15:AA15,0),'Mkt Pen Veh-Mi'!B15:G15)</f>
        <v>5.9244625288706905</v>
      </c>
      <c r="AP15" s="1324">
        <f t="array" ref="AP15">1/SUMPRODUCT(IFERROR(1/AB15:AG15,0),'Mkt Pen Veh-Mi'!H15:M15)</f>
        <v>5.7743160896809451</v>
      </c>
      <c r="AQ15" s="1328">
        <f t="array" ref="AQ15">1/SUMPRODUCT(IFERROR(1/AH15:AM15,0),'Mkt Pen Veh-Mi'!N15:S15)</f>
        <v>6.2217527283520475</v>
      </c>
      <c r="AR15" s="1321">
        <v>2013</v>
      </c>
      <c r="AS15" s="1323">
        <f t="shared" si="32"/>
        <v>1</v>
      </c>
      <c r="AT15" s="1324">
        <f t="shared" si="33"/>
        <v>1</v>
      </c>
      <c r="AU15" s="1324">
        <f t="shared" si="34"/>
        <v>1</v>
      </c>
      <c r="AV15" s="1328">
        <v>1</v>
      </c>
    </row>
    <row r="16" spans="1:48" s="1177" customFormat="1" ht="15" x14ac:dyDescent="0.2">
      <c r="A16" s="1192">
        <v>2014</v>
      </c>
      <c r="B16" s="1246">
        <f>IF('Mkt Pen Veh-Mi'!B16=0,1,1/((1-Fuel2ShrbyTech!B17)/'Inputs 7&amp;8 Sleep'!$N29+Fuel2ShrbyTech!B17/'Inputs 7&amp;8 Sleep'!$T29))</f>
        <v>6.0583595281689906</v>
      </c>
      <c r="C16" s="1247">
        <f>IF('Mkt Pen Veh-Mi'!C16=0,1,1/((1-Fuel2ShrbyTech!C17)/'Inputs 7&amp;8 Sleep'!$O29+Fuel2ShrbyTech!C17/'Inputs 7&amp;8 Sleep'!$U29))</f>
        <v>1</v>
      </c>
      <c r="D16" s="1247">
        <f>IF('Mkt Pen Veh-Mi'!D16=0,1,1/((1-Fuel2ShrbyTech!D17)/'Inputs 7&amp;8 Sleep'!$P29+Fuel2ShrbyTech!D17/'Inputs 7&amp;8 Sleep'!$V29))</f>
        <v>1</v>
      </c>
      <c r="E16" s="1247">
        <f>IF('Mkt Pen Veh-Mi'!E16=0,1,1/((1-Fuel2ShrbyTech!E17)/'Inputs 7&amp;8 Sleep'!$Q29+Fuel2ShrbyTech!E17/'Inputs 7&amp;8 Sleep'!$W29))</f>
        <v>1</v>
      </c>
      <c r="F16" s="1247">
        <f>IF('Mkt Pen Veh-Mi'!F16=0,1,1/((1-Fuel2ShrbyTech!F17)/'Inputs 7&amp;8 Sleep'!$R29+Fuel2ShrbyTech!F17/'Inputs 7&amp;8 Sleep'!$X29))</f>
        <v>1</v>
      </c>
      <c r="G16" s="1248">
        <f>IF('Mkt Pen Veh-Mi'!G16=0,1,1/((1-Fuel2ShrbyTech!G17)/'Inputs 7&amp;8 Sleep'!$S29+Fuel2ShrbyTech!G17/'Inputs 7&amp;8 Sleep'!$Y29))</f>
        <v>1</v>
      </c>
      <c r="H16" s="1246">
        <f>IF('Mkt Pen Veh-Mi'!H16=0,1,1/((1-Fuel2ShrbyTech!H17)/'Inputs 7&amp;8 Day'!$N29+Fuel2ShrbyTech!H17/'Inputs 7&amp;8 Day'!$T29))</f>
        <v>5.8589396926631565</v>
      </c>
      <c r="I16" s="1247">
        <f>IF('Mkt Pen Veh-Mi'!I16=0,1,1/((1-Fuel2ShrbyTech!I17)/'Inputs 7&amp;8 Day'!$O29+Fuel2ShrbyTech!I17/'Inputs 7&amp;8 Day'!$U29))</f>
        <v>1</v>
      </c>
      <c r="J16" s="1247">
        <f>IF('Mkt Pen Veh-Mi'!J16=0,1,1/((1-Fuel2ShrbyTech!J17)/'Inputs 7&amp;8 Day'!$P29+Fuel2ShrbyTech!J17/'Inputs 7&amp;8 Day'!$V29))</f>
        <v>1</v>
      </c>
      <c r="K16" s="1247">
        <f>IF('Mkt Pen Veh-Mi'!K16=0,1,1/((1-Fuel2ShrbyTech!K17)/'Inputs 7&amp;8 Day'!$Q29+Fuel2ShrbyTech!K17/'Inputs 7&amp;8 Day'!$W29))</f>
        <v>1</v>
      </c>
      <c r="L16" s="1247">
        <f>IF('Mkt Pen Veh-Mi'!L16=0,1,1/((1-Fuel2ShrbyTech!L17)/'Inputs 7&amp;8 Day'!$R29+Fuel2ShrbyTech!L17/'Inputs 7&amp;8 Day'!$X29))</f>
        <v>1</v>
      </c>
      <c r="M16" s="1248">
        <f>IF('Mkt Pen Veh-Mi'!M16=0,1,1/((1-Fuel2ShrbyTech!M17)/'Inputs 7&amp;8 Day'!$S29+Fuel2ShrbyTech!M17/'Inputs 7&amp;8 Day'!$Y29))</f>
        <v>1</v>
      </c>
      <c r="N16" s="1246">
        <f>IF('Mkt Pen Veh-Mi'!N16=0,1,1/((1-Fuel2ShrbyTech!N17)/'Inputs 7&amp;8 SU'!$N29+Fuel2ShrbyTech!N17/'Inputs 7&amp;8 SU'!$T29))</f>
        <v>6.271565642860951</v>
      </c>
      <c r="O16" s="1247">
        <f>IF('Mkt Pen Veh-Mi'!O16=0,1,1/((1-Fuel2ShrbyTech!O17)/'Inputs 7&amp;8 SU'!$O29+Fuel2ShrbyTech!O17/'Inputs 7&amp;8 SU'!$U29))</f>
        <v>1</v>
      </c>
      <c r="P16" s="1247">
        <f>IF('Mkt Pen Veh-Mi'!P16=0,1,1/((1-Fuel2ShrbyTech!P17)/'Inputs 7&amp;8 SU'!$P29+Fuel2ShrbyTech!P17/'Inputs 7&amp;8 SU'!$V29))</f>
        <v>1</v>
      </c>
      <c r="Q16" s="1247">
        <f>IF('Mkt Pen Veh-Mi'!Q16=0,1,1/((1-Fuel2ShrbyTech!Q17)/'Inputs 7&amp;8 SU'!$Q29+Fuel2ShrbyTech!Q17/'Inputs 7&amp;8 SU'!$W29))</f>
        <v>1</v>
      </c>
      <c r="R16" s="1247">
        <f>IF('Mkt Pen Veh-Mi'!R16=0,1,1/((1-Fuel2ShrbyTech!R17)/'Inputs 7&amp;8 SU'!$R29+Fuel2ShrbyTech!R17/'Inputs 7&amp;8 SU'!$X29))</f>
        <v>1</v>
      </c>
      <c r="S16" s="1248">
        <f>IF('Mkt Pen Veh-Mi'!S16=0,1,1/((1-Fuel2ShrbyTech!S17)/'Inputs 7&amp;8 SU'!$S29+Fuel2ShrbyTech!S17/'Inputs 7&amp;8 SU'!$Y29))</f>
        <v>1</v>
      </c>
      <c r="U16" s="1192">
        <f t="shared" si="13"/>
        <v>2014</v>
      </c>
      <c r="V16" s="1246">
        <f t="shared" si="14"/>
        <v>6.0583595281689906</v>
      </c>
      <c r="W16" s="1247">
        <f t="shared" si="15"/>
        <v>0</v>
      </c>
      <c r="X16" s="1247">
        <f t="shared" si="16"/>
        <v>0</v>
      </c>
      <c r="Y16" s="1247">
        <f t="shared" si="17"/>
        <v>0</v>
      </c>
      <c r="Z16" s="1247">
        <f t="shared" si="18"/>
        <v>0</v>
      </c>
      <c r="AA16" s="1248">
        <f t="shared" si="19"/>
        <v>0</v>
      </c>
      <c r="AB16" s="1246">
        <f t="shared" si="20"/>
        <v>5.8589396926631565</v>
      </c>
      <c r="AC16" s="1247">
        <f t="shared" si="21"/>
        <v>0</v>
      </c>
      <c r="AD16" s="1247">
        <f t="shared" si="22"/>
        <v>0</v>
      </c>
      <c r="AE16" s="1247">
        <f t="shared" si="23"/>
        <v>0</v>
      </c>
      <c r="AF16" s="1247">
        <f t="shared" si="24"/>
        <v>0</v>
      </c>
      <c r="AG16" s="1248">
        <f t="shared" si="25"/>
        <v>0</v>
      </c>
      <c r="AH16" s="1246">
        <f t="shared" si="26"/>
        <v>6.271565642860951</v>
      </c>
      <c r="AI16" s="1247">
        <f t="shared" si="27"/>
        <v>0</v>
      </c>
      <c r="AJ16" s="1247">
        <f t="shared" si="28"/>
        <v>0</v>
      </c>
      <c r="AK16" s="1247">
        <f t="shared" si="29"/>
        <v>0</v>
      </c>
      <c r="AL16" s="1247">
        <f t="shared" si="30"/>
        <v>0</v>
      </c>
      <c r="AM16" s="1248">
        <f t="shared" si="31"/>
        <v>0</v>
      </c>
      <c r="AN16" s="1177">
        <v>2014</v>
      </c>
      <c r="AO16" s="1323">
        <f t="array" ref="AO16">1/SUMPRODUCT(IFERROR(1/V16:AA16,0),'Mkt Pen Veh-Mi'!B16:G16)</f>
        <v>6.0583595281689906</v>
      </c>
      <c r="AP16" s="1324">
        <f t="array" ref="AP16">1/SUMPRODUCT(IFERROR(1/AB16:AG16,0),'Mkt Pen Veh-Mi'!H16:M16)</f>
        <v>5.8589396926631565</v>
      </c>
      <c r="AQ16" s="1328">
        <f t="array" ref="AQ16">1/SUMPRODUCT(IFERROR(1/AH16:AM16,0),'Mkt Pen Veh-Mi'!N16:S16)</f>
        <v>6.271565642860951</v>
      </c>
      <c r="AR16" s="1321">
        <v>2014</v>
      </c>
      <c r="AS16" s="1323">
        <f t="shared" si="32"/>
        <v>1</v>
      </c>
      <c r="AT16" s="1324">
        <f t="shared" si="33"/>
        <v>1</v>
      </c>
      <c r="AU16" s="1324">
        <f t="shared" si="34"/>
        <v>1</v>
      </c>
      <c r="AV16" s="1328">
        <v>1</v>
      </c>
    </row>
    <row r="17" spans="1:48" s="1177" customFormat="1" ht="15" x14ac:dyDescent="0.2">
      <c r="A17" s="1198">
        <v>2015</v>
      </c>
      <c r="B17" s="1249">
        <f>IF('Mkt Pen Veh-Mi'!B17=0,1,1/((1-Fuel2ShrbyTech!B18)/'Inputs 7&amp;8 Sleep'!$N30+Fuel2ShrbyTech!B18/'Inputs 7&amp;8 Sleep'!$T30))</f>
        <v>6.1703756815216178</v>
      </c>
      <c r="C17" s="1250">
        <f>IF('Mkt Pen Veh-Mi'!C17=0,1,1/((1-Fuel2ShrbyTech!C18)/'Inputs 7&amp;8 Sleep'!$O30+Fuel2ShrbyTech!C18/'Inputs 7&amp;8 Sleep'!$U30))</f>
        <v>1</v>
      </c>
      <c r="D17" s="1250">
        <f>IF('Mkt Pen Veh-Mi'!D17=0,1,1/((1-Fuel2ShrbyTech!D18)/'Inputs 7&amp;8 Sleep'!$P30+Fuel2ShrbyTech!D18/'Inputs 7&amp;8 Sleep'!$V30))</f>
        <v>1</v>
      </c>
      <c r="E17" s="1250">
        <f>IF('Mkt Pen Veh-Mi'!E17=0,1,1/((1-Fuel2ShrbyTech!E18)/'Inputs 7&amp;8 Sleep'!$Q30+Fuel2ShrbyTech!E18/'Inputs 7&amp;8 Sleep'!$W30))</f>
        <v>1</v>
      </c>
      <c r="F17" s="1250">
        <f>IF('Mkt Pen Veh-Mi'!F17=0,1,1/((1-Fuel2ShrbyTech!F18)/'Inputs 7&amp;8 Sleep'!$R30+Fuel2ShrbyTech!F18/'Inputs 7&amp;8 Sleep'!$X30))</f>
        <v>1</v>
      </c>
      <c r="G17" s="1251">
        <f>IF('Mkt Pen Veh-Mi'!G17=0,1,1/((1-Fuel2ShrbyTech!G18)/'Inputs 7&amp;8 Sleep'!$S30+Fuel2ShrbyTech!G18/'Inputs 7&amp;8 Sleep'!$Y30))</f>
        <v>1</v>
      </c>
      <c r="H17" s="1249">
        <f>IF('Mkt Pen Veh-Mi'!H17=0,1,1/((1-Fuel2ShrbyTech!H18)/'Inputs 7&amp;8 Day'!$N30+Fuel2ShrbyTech!H18/'Inputs 7&amp;8 Day'!$T30))</f>
        <v>6.0069416599255572</v>
      </c>
      <c r="I17" s="1250">
        <f>IF('Mkt Pen Veh-Mi'!I17=0,1,1/((1-Fuel2ShrbyTech!I18)/'Inputs 7&amp;8 Day'!$O30+Fuel2ShrbyTech!I18/'Inputs 7&amp;8 Day'!$U30))</f>
        <v>1</v>
      </c>
      <c r="J17" s="1250">
        <f>IF('Mkt Pen Veh-Mi'!J17=0,1,1/((1-Fuel2ShrbyTech!J18)/'Inputs 7&amp;8 Day'!$P30+Fuel2ShrbyTech!J18/'Inputs 7&amp;8 Day'!$V30))</f>
        <v>1</v>
      </c>
      <c r="K17" s="1250">
        <f>IF('Mkt Pen Veh-Mi'!K17=0,1,1/((1-Fuel2ShrbyTech!K18)/'Inputs 7&amp;8 Day'!$Q30+Fuel2ShrbyTech!K18/'Inputs 7&amp;8 Day'!$W30))</f>
        <v>1</v>
      </c>
      <c r="L17" s="1250">
        <f>IF('Mkt Pen Veh-Mi'!L17=0,1,1/((1-Fuel2ShrbyTech!L18)/'Inputs 7&amp;8 Day'!$R30+Fuel2ShrbyTech!L18/'Inputs 7&amp;8 Day'!$X30))</f>
        <v>1</v>
      </c>
      <c r="M17" s="1251">
        <f>IF('Mkt Pen Veh-Mi'!M17=0,1,1/((1-Fuel2ShrbyTech!M18)/'Inputs 7&amp;8 Day'!$S30+Fuel2ShrbyTech!M18/'Inputs 7&amp;8 Day'!$Y30))</f>
        <v>1</v>
      </c>
      <c r="N17" s="1249">
        <f>IF('Mkt Pen Veh-Mi'!N17=0,1,1/((1-Fuel2ShrbyTech!N18)/'Inputs 7&amp;8 SU'!$N30+Fuel2ShrbyTech!N18/'Inputs 7&amp;8 SU'!$T30))</f>
        <v>6.3449696493508245</v>
      </c>
      <c r="O17" s="1250">
        <f>IF('Mkt Pen Veh-Mi'!O17=0,1,1/((1-Fuel2ShrbyTech!O18)/'Inputs 7&amp;8 SU'!$O30+Fuel2ShrbyTech!O18/'Inputs 7&amp;8 SU'!$U30))</f>
        <v>1</v>
      </c>
      <c r="P17" s="1250">
        <f>IF('Mkt Pen Veh-Mi'!P17=0,1,1/((1-Fuel2ShrbyTech!P18)/'Inputs 7&amp;8 SU'!$P30+Fuel2ShrbyTech!P18/'Inputs 7&amp;8 SU'!$V30))</f>
        <v>1</v>
      </c>
      <c r="Q17" s="1250">
        <f>IF('Mkt Pen Veh-Mi'!Q17=0,1,1/((1-Fuel2ShrbyTech!Q18)/'Inputs 7&amp;8 SU'!$Q30+Fuel2ShrbyTech!Q18/'Inputs 7&amp;8 SU'!$W30))</f>
        <v>1</v>
      </c>
      <c r="R17" s="1250">
        <f>IF('Mkt Pen Veh-Mi'!R17=0,1,1/((1-Fuel2ShrbyTech!R18)/'Inputs 7&amp;8 SU'!$R30+Fuel2ShrbyTech!R18/'Inputs 7&amp;8 SU'!$X30))</f>
        <v>1</v>
      </c>
      <c r="S17" s="1251">
        <f>IF('Mkt Pen Veh-Mi'!S17=0,1,1/((1-Fuel2ShrbyTech!S18)/'Inputs 7&amp;8 SU'!$S30+Fuel2ShrbyTech!S18/'Inputs 7&amp;8 SU'!$Y30))</f>
        <v>1</v>
      </c>
      <c r="U17" s="1198">
        <f t="shared" si="13"/>
        <v>2015</v>
      </c>
      <c r="V17" s="1249">
        <f t="shared" si="14"/>
        <v>6.1703756815216178</v>
      </c>
      <c r="W17" s="1250">
        <f t="shared" si="15"/>
        <v>0</v>
      </c>
      <c r="X17" s="1250">
        <f t="shared" si="16"/>
        <v>0</v>
      </c>
      <c r="Y17" s="1250">
        <f t="shared" si="17"/>
        <v>0</v>
      </c>
      <c r="Z17" s="1250">
        <f t="shared" si="18"/>
        <v>0</v>
      </c>
      <c r="AA17" s="1251">
        <f t="shared" si="19"/>
        <v>0</v>
      </c>
      <c r="AB17" s="1249">
        <f t="shared" si="20"/>
        <v>6.0069416599255572</v>
      </c>
      <c r="AC17" s="1250">
        <f t="shared" si="21"/>
        <v>0</v>
      </c>
      <c r="AD17" s="1250">
        <f t="shared" si="22"/>
        <v>0</v>
      </c>
      <c r="AE17" s="1250">
        <f t="shared" si="23"/>
        <v>0</v>
      </c>
      <c r="AF17" s="1250">
        <f t="shared" si="24"/>
        <v>0</v>
      </c>
      <c r="AG17" s="1251">
        <f t="shared" si="25"/>
        <v>0</v>
      </c>
      <c r="AH17" s="1249">
        <f t="shared" si="26"/>
        <v>6.3449696493508245</v>
      </c>
      <c r="AI17" s="1250">
        <f t="shared" si="27"/>
        <v>0</v>
      </c>
      <c r="AJ17" s="1250">
        <f t="shared" si="28"/>
        <v>0</v>
      </c>
      <c r="AK17" s="1250">
        <f t="shared" si="29"/>
        <v>0</v>
      </c>
      <c r="AL17" s="1250">
        <f t="shared" si="30"/>
        <v>0</v>
      </c>
      <c r="AM17" s="1251">
        <f t="shared" si="31"/>
        <v>0</v>
      </c>
      <c r="AN17" s="1177">
        <v>2015</v>
      </c>
      <c r="AO17" s="1323">
        <f t="array" ref="AO17">1/SUMPRODUCT(IFERROR(1/V17:AA17,0),'Mkt Pen Veh-Mi'!B17:G17)</f>
        <v>6.1703756815216178</v>
      </c>
      <c r="AP17" s="1324">
        <f t="array" ref="AP17">1/SUMPRODUCT(IFERROR(1/AB17:AG17,0),'Mkt Pen Veh-Mi'!H17:M17)</f>
        <v>6.0069416599255572</v>
      </c>
      <c r="AQ17" s="1328">
        <f t="array" ref="AQ17">1/SUMPRODUCT(IFERROR(1/AH17:AM17,0),'Mkt Pen Veh-Mi'!N17:S17)</f>
        <v>6.3449696493508245</v>
      </c>
      <c r="AR17" s="1321">
        <v>2015</v>
      </c>
      <c r="AS17" s="1323">
        <f t="shared" si="32"/>
        <v>1</v>
      </c>
      <c r="AT17" s="1324">
        <f t="shared" si="33"/>
        <v>1</v>
      </c>
      <c r="AU17" s="1324">
        <f t="shared" si="34"/>
        <v>1</v>
      </c>
      <c r="AV17" s="1328">
        <v>1</v>
      </c>
    </row>
    <row r="18" spans="1:48" s="1177" customFormat="1" ht="15" x14ac:dyDescent="0.2">
      <c r="A18" s="1192">
        <v>2016</v>
      </c>
      <c r="B18" s="1252">
        <f>IF('Mkt Pen Veh-Mi'!B18=0,1,1/((1-Fuel2ShrbyTech!B19)/'Inputs 7&amp;8 Sleep'!$N31+Fuel2ShrbyTech!B19/'Inputs 7&amp;8 Sleep'!$T31))</f>
        <v>6.2992037959414624</v>
      </c>
      <c r="C18" s="1253">
        <f>IF('Mkt Pen Veh-Mi'!C18=0,1,1/((1-Fuel2ShrbyTech!C19)/'Inputs 7&amp;8 Sleep'!$O31+Fuel2ShrbyTech!C19/'Inputs 7&amp;8 Sleep'!$U31))</f>
        <v>1</v>
      </c>
      <c r="D18" s="1253">
        <f>IF('Mkt Pen Veh-Mi'!D18=0,1,1/((1-Fuel2ShrbyTech!D19)/'Inputs 7&amp;8 Sleep'!$P31+Fuel2ShrbyTech!D19/'Inputs 7&amp;8 Sleep'!$V31))</f>
        <v>1</v>
      </c>
      <c r="E18" s="1253">
        <f>IF('Mkt Pen Veh-Mi'!E18=0,1,1/((1-Fuel2ShrbyTech!E19)/'Inputs 7&amp;8 Sleep'!$Q31+Fuel2ShrbyTech!E19/'Inputs 7&amp;8 Sleep'!$W31))</f>
        <v>1</v>
      </c>
      <c r="F18" s="1253">
        <f>IF('Mkt Pen Veh-Mi'!F18=0,1,1/((1-Fuel2ShrbyTech!F19)/'Inputs 7&amp;8 Sleep'!$R31+Fuel2ShrbyTech!F19/'Inputs 7&amp;8 Sleep'!$X31))</f>
        <v>1</v>
      </c>
      <c r="G18" s="1254">
        <f>IF('Mkt Pen Veh-Mi'!G18=0,1,1/((1-Fuel2ShrbyTech!G19)/'Inputs 7&amp;8 Sleep'!$S31+Fuel2ShrbyTech!G19/'Inputs 7&amp;8 Sleep'!$Y31))</f>
        <v>1</v>
      </c>
      <c r="H18" s="1252">
        <f>IF('Mkt Pen Veh-Mi'!H18=0,1,1/((1-Fuel2ShrbyTech!H19)/'Inputs 7&amp;8 Day'!$N31+Fuel2ShrbyTech!H19/'Inputs 7&amp;8 Day'!$T31))</f>
        <v>6.1360651716134793</v>
      </c>
      <c r="I18" s="1253">
        <f>IF('Mkt Pen Veh-Mi'!I18=0,1,1/((1-Fuel2ShrbyTech!I19)/'Inputs 7&amp;8 Day'!$O31+Fuel2ShrbyTech!I19/'Inputs 7&amp;8 Day'!$U31))</f>
        <v>1</v>
      </c>
      <c r="J18" s="1253">
        <f>IF('Mkt Pen Veh-Mi'!J18=0,1,1/((1-Fuel2ShrbyTech!J19)/'Inputs 7&amp;8 Day'!$P31+Fuel2ShrbyTech!J19/'Inputs 7&amp;8 Day'!$V31))</f>
        <v>1</v>
      </c>
      <c r="K18" s="1253">
        <f>IF('Mkt Pen Veh-Mi'!K18=0,1,1/((1-Fuel2ShrbyTech!K19)/'Inputs 7&amp;8 Day'!$Q31+Fuel2ShrbyTech!K19/'Inputs 7&amp;8 Day'!$W31))</f>
        <v>1</v>
      </c>
      <c r="L18" s="1253">
        <f>IF('Mkt Pen Veh-Mi'!L18=0,1,1/((1-Fuel2ShrbyTech!L19)/'Inputs 7&amp;8 Day'!$R31+Fuel2ShrbyTech!L19/'Inputs 7&amp;8 Day'!$X31))</f>
        <v>1</v>
      </c>
      <c r="M18" s="1254">
        <f>IF('Mkt Pen Veh-Mi'!M18=0,1,1/((1-Fuel2ShrbyTech!M19)/'Inputs 7&amp;8 Day'!$S31+Fuel2ShrbyTech!M19/'Inputs 7&amp;8 Day'!$Y31))</f>
        <v>1</v>
      </c>
      <c r="N18" s="1252">
        <f>IF('Mkt Pen Veh-Mi'!N18=0,1,1/((1-Fuel2ShrbyTech!N19)/'Inputs 7&amp;8 SU'!$N31+Fuel2ShrbyTech!N19/'Inputs 7&amp;8 SU'!$T31))</f>
        <v>6.4041892526830697</v>
      </c>
      <c r="O18" s="1253">
        <f>IF('Mkt Pen Veh-Mi'!O18=0,1,1/((1-Fuel2ShrbyTech!O19)/'Inputs 7&amp;8 SU'!$O31+Fuel2ShrbyTech!O19/'Inputs 7&amp;8 SU'!$U31))</f>
        <v>1</v>
      </c>
      <c r="P18" s="1253">
        <f>IF('Mkt Pen Veh-Mi'!P18=0,1,1/((1-Fuel2ShrbyTech!P19)/'Inputs 7&amp;8 SU'!$P31+Fuel2ShrbyTech!P19/'Inputs 7&amp;8 SU'!$V31))</f>
        <v>1</v>
      </c>
      <c r="Q18" s="1253">
        <f>IF('Mkt Pen Veh-Mi'!Q18=0,1,1/((1-Fuel2ShrbyTech!Q19)/'Inputs 7&amp;8 SU'!$Q31+Fuel2ShrbyTech!Q19/'Inputs 7&amp;8 SU'!$W31))</f>
        <v>1</v>
      </c>
      <c r="R18" s="1253">
        <f>IF('Mkt Pen Veh-Mi'!R18=0,1,1/((1-Fuel2ShrbyTech!R19)/'Inputs 7&amp;8 SU'!$R31+Fuel2ShrbyTech!R19/'Inputs 7&amp;8 SU'!$X31))</f>
        <v>1</v>
      </c>
      <c r="S18" s="1254">
        <f>IF('Mkt Pen Veh-Mi'!S18=0,1,1/((1-Fuel2ShrbyTech!S19)/'Inputs 7&amp;8 SU'!$S31+Fuel2ShrbyTech!S19/'Inputs 7&amp;8 SU'!$Y31))</f>
        <v>1</v>
      </c>
      <c r="U18" s="1192">
        <f t="shared" si="13"/>
        <v>2016</v>
      </c>
      <c r="V18" s="1252">
        <f t="shared" si="14"/>
        <v>6.2992037959414624</v>
      </c>
      <c r="W18" s="1253">
        <f t="shared" si="15"/>
        <v>0</v>
      </c>
      <c r="X18" s="1253">
        <f t="shared" si="16"/>
        <v>0</v>
      </c>
      <c r="Y18" s="1253">
        <f t="shared" si="17"/>
        <v>0</v>
      </c>
      <c r="Z18" s="1253">
        <f t="shared" si="18"/>
        <v>0</v>
      </c>
      <c r="AA18" s="1254">
        <f t="shared" si="19"/>
        <v>0</v>
      </c>
      <c r="AB18" s="1252">
        <f t="shared" si="20"/>
        <v>6.1360651716134793</v>
      </c>
      <c r="AC18" s="1253">
        <f t="shared" si="21"/>
        <v>0</v>
      </c>
      <c r="AD18" s="1253">
        <f t="shared" si="22"/>
        <v>0</v>
      </c>
      <c r="AE18" s="1253">
        <f t="shared" si="23"/>
        <v>0</v>
      </c>
      <c r="AF18" s="1253">
        <f t="shared" si="24"/>
        <v>0</v>
      </c>
      <c r="AG18" s="1254">
        <f t="shared" si="25"/>
        <v>0</v>
      </c>
      <c r="AH18" s="1252">
        <f t="shared" si="26"/>
        <v>6.4041892526830697</v>
      </c>
      <c r="AI18" s="1253">
        <f t="shared" si="27"/>
        <v>0</v>
      </c>
      <c r="AJ18" s="1253">
        <f t="shared" si="28"/>
        <v>0</v>
      </c>
      <c r="AK18" s="1253">
        <f t="shared" si="29"/>
        <v>0</v>
      </c>
      <c r="AL18" s="1253">
        <f t="shared" si="30"/>
        <v>0</v>
      </c>
      <c r="AM18" s="1254">
        <f t="shared" si="31"/>
        <v>0</v>
      </c>
      <c r="AN18" s="1177">
        <v>2016</v>
      </c>
      <c r="AO18" s="1323">
        <f t="array" ref="AO18">1/SUMPRODUCT(IFERROR(1/V18:AA18,0),'Mkt Pen Veh-Mi'!B18:G18)</f>
        <v>6.2992037959414624</v>
      </c>
      <c r="AP18" s="1324">
        <f t="array" ref="AP18">1/SUMPRODUCT(IFERROR(1/AB18:AG18,0),'Mkt Pen Veh-Mi'!H18:M18)</f>
        <v>6.1360651716134793</v>
      </c>
      <c r="AQ18" s="1328">
        <f t="array" ref="AQ18">1/SUMPRODUCT(IFERROR(1/AH18:AM18,0),'Mkt Pen Veh-Mi'!N18:S18)</f>
        <v>6.4041892526830697</v>
      </c>
      <c r="AR18" s="1321">
        <v>2016</v>
      </c>
      <c r="AS18" s="1323">
        <f t="shared" si="32"/>
        <v>1</v>
      </c>
      <c r="AT18" s="1324">
        <f t="shared" si="33"/>
        <v>1</v>
      </c>
      <c r="AU18" s="1324">
        <f t="shared" si="34"/>
        <v>1</v>
      </c>
      <c r="AV18" s="1328">
        <v>1</v>
      </c>
    </row>
    <row r="19" spans="1:48" s="1177" customFormat="1" ht="15" x14ac:dyDescent="0.2">
      <c r="A19" s="1192">
        <v>2017</v>
      </c>
      <c r="B19" s="1246">
        <f>IF('Mkt Pen Veh-Mi'!B19=0,1,1/((1-Fuel2ShrbyTech!B20)/'Inputs 7&amp;8 Sleep'!$N32+Fuel2ShrbyTech!B20/'Inputs 7&amp;8 Sleep'!$T32))</f>
        <v>6.429880170141046</v>
      </c>
      <c r="C19" s="1247">
        <f>IF('Mkt Pen Veh-Mi'!C19=0,1,1/((1-Fuel2ShrbyTech!C20)/'Inputs 7&amp;8 Sleep'!$O32+Fuel2ShrbyTech!C20/'Inputs 7&amp;8 Sleep'!$U32))</f>
        <v>1</v>
      </c>
      <c r="D19" s="1247">
        <f>IF('Mkt Pen Veh-Mi'!D19=0,1,1/((1-Fuel2ShrbyTech!D20)/'Inputs 7&amp;8 Sleep'!$P32+Fuel2ShrbyTech!D20/'Inputs 7&amp;8 Sleep'!$V32))</f>
        <v>1</v>
      </c>
      <c r="E19" s="1247">
        <f>IF('Mkt Pen Veh-Mi'!E19=0,1,1/((1-Fuel2ShrbyTech!E20)/'Inputs 7&amp;8 Sleep'!$Q32+Fuel2ShrbyTech!E20/'Inputs 7&amp;8 Sleep'!$W32))</f>
        <v>1</v>
      </c>
      <c r="F19" s="1247">
        <f>IF('Mkt Pen Veh-Mi'!F19=0,1,1/((1-Fuel2ShrbyTech!F20)/'Inputs 7&amp;8 Sleep'!$R32+Fuel2ShrbyTech!F20/'Inputs 7&amp;8 Sleep'!$X32))</f>
        <v>1</v>
      </c>
      <c r="G19" s="1248">
        <f>IF('Mkt Pen Veh-Mi'!G19=0,1,1/((1-Fuel2ShrbyTech!G20)/'Inputs 7&amp;8 Sleep'!$S32+Fuel2ShrbyTech!G20/'Inputs 7&amp;8 Sleep'!$Y32))</f>
        <v>1</v>
      </c>
      <c r="H19" s="1246">
        <f>IF('Mkt Pen Veh-Mi'!H19=0,1,1/((1-Fuel2ShrbyTech!H20)/'Inputs 7&amp;8 Day'!$N32+Fuel2ShrbyTech!H20/'Inputs 7&amp;8 Day'!$T32))</f>
        <v>6.3119238751035152</v>
      </c>
      <c r="I19" s="1247">
        <f>IF('Mkt Pen Veh-Mi'!I19=0,1,1/((1-Fuel2ShrbyTech!I20)/'Inputs 7&amp;8 Day'!$O32+Fuel2ShrbyTech!I20/'Inputs 7&amp;8 Day'!$U32))</f>
        <v>1</v>
      </c>
      <c r="J19" s="1247">
        <f>IF('Mkt Pen Veh-Mi'!J19=0,1,1/((1-Fuel2ShrbyTech!J20)/'Inputs 7&amp;8 Day'!$P32+Fuel2ShrbyTech!J20/'Inputs 7&amp;8 Day'!$V32))</f>
        <v>1</v>
      </c>
      <c r="K19" s="1247">
        <f>IF('Mkt Pen Veh-Mi'!K19=0,1,1/((1-Fuel2ShrbyTech!K20)/'Inputs 7&amp;8 Day'!$Q32+Fuel2ShrbyTech!K20/'Inputs 7&amp;8 Day'!$W32))</f>
        <v>1</v>
      </c>
      <c r="L19" s="1247">
        <f>IF('Mkt Pen Veh-Mi'!L19=0,1,1/((1-Fuel2ShrbyTech!L20)/'Inputs 7&amp;8 Day'!$R32+Fuel2ShrbyTech!L20/'Inputs 7&amp;8 Day'!$X32))</f>
        <v>1</v>
      </c>
      <c r="M19" s="1248">
        <f>IF('Mkt Pen Veh-Mi'!M19=0,1,1/((1-Fuel2ShrbyTech!M20)/'Inputs 7&amp;8 Day'!$S32+Fuel2ShrbyTech!M20/'Inputs 7&amp;8 Day'!$Y32))</f>
        <v>1</v>
      </c>
      <c r="N19" s="1246">
        <f>IF('Mkt Pen Veh-Mi'!N19=0,1,1/((1-Fuel2ShrbyTech!N20)/'Inputs 7&amp;8 SU'!$N32+Fuel2ShrbyTech!N20/'Inputs 7&amp;8 SU'!$T32))</f>
        <v>6.4980207200052877</v>
      </c>
      <c r="O19" s="1247">
        <f>IF('Mkt Pen Veh-Mi'!O19=0,1,1/((1-Fuel2ShrbyTech!O20)/'Inputs 7&amp;8 SU'!$O32+Fuel2ShrbyTech!O20/'Inputs 7&amp;8 SU'!$U32))</f>
        <v>1</v>
      </c>
      <c r="P19" s="1247">
        <f>IF('Mkt Pen Veh-Mi'!P19=0,1,1/((1-Fuel2ShrbyTech!P20)/'Inputs 7&amp;8 SU'!$P32+Fuel2ShrbyTech!P20/'Inputs 7&amp;8 SU'!$V32))</f>
        <v>1</v>
      </c>
      <c r="Q19" s="1247">
        <f>IF('Mkt Pen Veh-Mi'!Q19=0,1,1/((1-Fuel2ShrbyTech!Q20)/'Inputs 7&amp;8 SU'!$Q32+Fuel2ShrbyTech!Q20/'Inputs 7&amp;8 SU'!$W32))</f>
        <v>1</v>
      </c>
      <c r="R19" s="1247">
        <f>IF('Mkt Pen Veh-Mi'!R19=0,1,1/((1-Fuel2ShrbyTech!R20)/'Inputs 7&amp;8 SU'!$R32+Fuel2ShrbyTech!R20/'Inputs 7&amp;8 SU'!$X32))</f>
        <v>1</v>
      </c>
      <c r="S19" s="1248">
        <f>IF('Mkt Pen Veh-Mi'!S19=0,1,1/((1-Fuel2ShrbyTech!S20)/'Inputs 7&amp;8 SU'!$S32+Fuel2ShrbyTech!S20/'Inputs 7&amp;8 SU'!$Y32))</f>
        <v>1</v>
      </c>
      <c r="U19" s="1192">
        <f t="shared" si="13"/>
        <v>2017</v>
      </c>
      <c r="V19" s="1246">
        <f t="shared" si="14"/>
        <v>6.429880170141046</v>
      </c>
      <c r="W19" s="1247">
        <f t="shared" si="15"/>
        <v>0</v>
      </c>
      <c r="X19" s="1247">
        <f t="shared" si="16"/>
        <v>0</v>
      </c>
      <c r="Y19" s="1247">
        <f t="shared" si="17"/>
        <v>0</v>
      </c>
      <c r="Z19" s="1247">
        <f t="shared" si="18"/>
        <v>0</v>
      </c>
      <c r="AA19" s="1248">
        <f t="shared" si="19"/>
        <v>0</v>
      </c>
      <c r="AB19" s="1246">
        <f t="shared" si="20"/>
        <v>6.3119238751035152</v>
      </c>
      <c r="AC19" s="1247">
        <f t="shared" si="21"/>
        <v>0</v>
      </c>
      <c r="AD19" s="1247">
        <f t="shared" si="22"/>
        <v>0</v>
      </c>
      <c r="AE19" s="1247">
        <f t="shared" si="23"/>
        <v>0</v>
      </c>
      <c r="AF19" s="1247">
        <f t="shared" si="24"/>
        <v>0</v>
      </c>
      <c r="AG19" s="1248">
        <f t="shared" si="25"/>
        <v>0</v>
      </c>
      <c r="AH19" s="1246">
        <f t="shared" si="26"/>
        <v>6.4980207200052877</v>
      </c>
      <c r="AI19" s="1247">
        <f t="shared" si="27"/>
        <v>0</v>
      </c>
      <c r="AJ19" s="1247">
        <f t="shared" si="28"/>
        <v>0</v>
      </c>
      <c r="AK19" s="1247">
        <f t="shared" si="29"/>
        <v>0</v>
      </c>
      <c r="AL19" s="1247">
        <f t="shared" si="30"/>
        <v>0</v>
      </c>
      <c r="AM19" s="1248">
        <f t="shared" si="31"/>
        <v>0</v>
      </c>
      <c r="AN19" s="1177">
        <v>2017</v>
      </c>
      <c r="AO19" s="1323">
        <f t="array" ref="AO19">1/SUMPRODUCT(IFERROR(1/V19:AA19,0),'Mkt Pen Veh-Mi'!B19:G19)</f>
        <v>6.429880170141046</v>
      </c>
      <c r="AP19" s="1324">
        <f t="array" ref="AP19">1/SUMPRODUCT(IFERROR(1/AB19:AG19,0),'Mkt Pen Veh-Mi'!H19:M19)</f>
        <v>6.3119238751035152</v>
      </c>
      <c r="AQ19" s="1328">
        <f t="array" ref="AQ19">1/SUMPRODUCT(IFERROR(1/AH19:AM19,0),'Mkt Pen Veh-Mi'!N19:S19)</f>
        <v>6.4980207200052877</v>
      </c>
      <c r="AR19" s="1321">
        <v>2017</v>
      </c>
      <c r="AS19" s="1323">
        <f t="shared" si="32"/>
        <v>1</v>
      </c>
      <c r="AT19" s="1324">
        <f t="shared" si="33"/>
        <v>1</v>
      </c>
      <c r="AU19" s="1324">
        <f t="shared" si="34"/>
        <v>1</v>
      </c>
      <c r="AV19" s="1328">
        <v>1</v>
      </c>
    </row>
    <row r="20" spans="1:48" s="1177" customFormat="1" ht="15" x14ac:dyDescent="0.2">
      <c r="A20" s="1192">
        <v>2018</v>
      </c>
      <c r="B20" s="1246">
        <f>IF('Mkt Pen Veh-Mi'!B20=0,1,1/((1-Fuel2ShrbyTech!B21)/'Inputs 7&amp;8 Sleep'!$N33+Fuel2ShrbyTech!B21/'Inputs 7&amp;8 Sleep'!$T33))</f>
        <v>6.3927777584473002</v>
      </c>
      <c r="C20" s="1247">
        <f>IF('Mkt Pen Veh-Mi'!C20=0,1,1/((1-Fuel2ShrbyTech!C21)/'Inputs 7&amp;8 Sleep'!$O33+Fuel2ShrbyTech!C21/'Inputs 7&amp;8 Sleep'!$U33))</f>
        <v>1</v>
      </c>
      <c r="D20" s="1247">
        <f>IF('Mkt Pen Veh-Mi'!D20=0,1,1/((1-Fuel2ShrbyTech!D21)/'Inputs 7&amp;8 Sleep'!$P33+Fuel2ShrbyTech!D21/'Inputs 7&amp;8 Sleep'!$V33))</f>
        <v>1</v>
      </c>
      <c r="E20" s="1247">
        <f>IF('Mkt Pen Veh-Mi'!E20=0,1,1/((1-Fuel2ShrbyTech!E21)/'Inputs 7&amp;8 Sleep'!$Q33+Fuel2ShrbyTech!E21/'Inputs 7&amp;8 Sleep'!$W33))</f>
        <v>1</v>
      </c>
      <c r="F20" s="1247">
        <f>IF('Mkt Pen Veh-Mi'!F20=0,1,1/((1-Fuel2ShrbyTech!F21)/'Inputs 7&amp;8 Sleep'!$R33+Fuel2ShrbyTech!F21/'Inputs 7&amp;8 Sleep'!$X33))</f>
        <v>1</v>
      </c>
      <c r="G20" s="1248">
        <f>IF('Mkt Pen Veh-Mi'!G20=0,1,1/((1-Fuel2ShrbyTech!G21)/'Inputs 7&amp;8 Sleep'!$S33+Fuel2ShrbyTech!G21/'Inputs 7&amp;8 Sleep'!$Y33))</f>
        <v>1</v>
      </c>
      <c r="H20" s="1246">
        <f>IF('Mkt Pen Veh-Mi'!H20=0,1,1/((1-Fuel2ShrbyTech!H21)/'Inputs 7&amp;8 Day'!$N33+Fuel2ShrbyTech!H21/'Inputs 7&amp;8 Day'!$T33))</f>
        <v>6.490547110519385</v>
      </c>
      <c r="I20" s="1247">
        <f>IF('Mkt Pen Veh-Mi'!I20=0,1,1/((1-Fuel2ShrbyTech!I21)/'Inputs 7&amp;8 Day'!$O33+Fuel2ShrbyTech!I21/'Inputs 7&amp;8 Day'!$U33))</f>
        <v>1</v>
      </c>
      <c r="J20" s="1247">
        <f>IF('Mkt Pen Veh-Mi'!J20=0,1,1/((1-Fuel2ShrbyTech!J21)/'Inputs 7&amp;8 Day'!$P33+Fuel2ShrbyTech!J21/'Inputs 7&amp;8 Day'!$V33))</f>
        <v>1</v>
      </c>
      <c r="K20" s="1247">
        <f>IF('Mkt Pen Veh-Mi'!K20=0,1,1/((1-Fuel2ShrbyTech!K21)/'Inputs 7&amp;8 Day'!$Q33+Fuel2ShrbyTech!K21/'Inputs 7&amp;8 Day'!$W33))</f>
        <v>1</v>
      </c>
      <c r="L20" s="1247">
        <f>IF('Mkt Pen Veh-Mi'!L20=0,1,1/((1-Fuel2ShrbyTech!L21)/'Inputs 7&amp;8 Day'!$R33+Fuel2ShrbyTech!L21/'Inputs 7&amp;8 Day'!$X33))</f>
        <v>1</v>
      </c>
      <c r="M20" s="1248">
        <f>IF('Mkt Pen Veh-Mi'!M20=0,1,1/((1-Fuel2ShrbyTech!M21)/'Inputs 7&amp;8 Day'!$S33+Fuel2ShrbyTech!M21/'Inputs 7&amp;8 Day'!$Y33))</f>
        <v>1</v>
      </c>
      <c r="N20" s="1246">
        <f>IF('Mkt Pen Veh-Mi'!N20=0,1,1/((1-Fuel2ShrbyTech!N21)/'Inputs 7&amp;8 SU'!$N33+Fuel2ShrbyTech!N21/'Inputs 7&amp;8 SU'!$T33))</f>
        <v>6.7882707106377271</v>
      </c>
      <c r="O20" s="1247">
        <f>IF('Mkt Pen Veh-Mi'!O20=0,1,1/((1-Fuel2ShrbyTech!O21)/'Inputs 7&amp;8 SU'!$O33+Fuel2ShrbyTech!O21/'Inputs 7&amp;8 SU'!$U33))</f>
        <v>1</v>
      </c>
      <c r="P20" s="1247">
        <f>IF('Mkt Pen Veh-Mi'!P20=0,1,1/((1-Fuel2ShrbyTech!P21)/'Inputs 7&amp;8 SU'!$P33+Fuel2ShrbyTech!P21/'Inputs 7&amp;8 SU'!$V33))</f>
        <v>1</v>
      </c>
      <c r="Q20" s="1247">
        <f>IF('Mkt Pen Veh-Mi'!Q20=0,1,1/((1-Fuel2ShrbyTech!Q21)/'Inputs 7&amp;8 SU'!$Q33+Fuel2ShrbyTech!Q21/'Inputs 7&amp;8 SU'!$W33))</f>
        <v>1</v>
      </c>
      <c r="R20" s="1247">
        <f>IF('Mkt Pen Veh-Mi'!R20=0,1,1/((1-Fuel2ShrbyTech!R21)/'Inputs 7&amp;8 SU'!$R33+Fuel2ShrbyTech!R21/'Inputs 7&amp;8 SU'!$X33))</f>
        <v>1</v>
      </c>
      <c r="S20" s="1248">
        <f>IF('Mkt Pen Veh-Mi'!S20=0,1,1/((1-Fuel2ShrbyTech!S21)/'Inputs 7&amp;8 SU'!$S33+Fuel2ShrbyTech!S21/'Inputs 7&amp;8 SU'!$Y33))</f>
        <v>1</v>
      </c>
      <c r="U20" s="1192">
        <f t="shared" si="13"/>
        <v>2018</v>
      </c>
      <c r="V20" s="1246">
        <f t="shared" si="14"/>
        <v>6.3927777584473002</v>
      </c>
      <c r="W20" s="1247">
        <f t="shared" si="15"/>
        <v>0</v>
      </c>
      <c r="X20" s="1247">
        <f t="shared" si="16"/>
        <v>0</v>
      </c>
      <c r="Y20" s="1247">
        <f t="shared" si="17"/>
        <v>0</v>
      </c>
      <c r="Z20" s="1247">
        <f t="shared" si="18"/>
        <v>0</v>
      </c>
      <c r="AA20" s="1248">
        <f t="shared" si="19"/>
        <v>0</v>
      </c>
      <c r="AB20" s="1246">
        <f t="shared" si="20"/>
        <v>6.490547110519385</v>
      </c>
      <c r="AC20" s="1247">
        <f t="shared" si="21"/>
        <v>0</v>
      </c>
      <c r="AD20" s="1247">
        <f t="shared" si="22"/>
        <v>0</v>
      </c>
      <c r="AE20" s="1247">
        <f t="shared" si="23"/>
        <v>0</v>
      </c>
      <c r="AF20" s="1247">
        <f t="shared" si="24"/>
        <v>0</v>
      </c>
      <c r="AG20" s="1248">
        <f t="shared" si="25"/>
        <v>0</v>
      </c>
      <c r="AH20" s="1246">
        <f t="shared" si="26"/>
        <v>6.7882707106377271</v>
      </c>
      <c r="AI20" s="1247">
        <f t="shared" si="27"/>
        <v>0</v>
      </c>
      <c r="AJ20" s="1247">
        <f t="shared" si="28"/>
        <v>0</v>
      </c>
      <c r="AK20" s="1247">
        <f t="shared" si="29"/>
        <v>0</v>
      </c>
      <c r="AL20" s="1247">
        <f t="shared" si="30"/>
        <v>0</v>
      </c>
      <c r="AM20" s="1248">
        <f t="shared" si="31"/>
        <v>0</v>
      </c>
      <c r="AN20" s="1177">
        <v>2018</v>
      </c>
      <c r="AO20" s="1323">
        <f t="array" ref="AO20">1/SUMPRODUCT(IFERROR(1/V20:AA20,0),'Mkt Pen Veh-Mi'!B20:G20)</f>
        <v>6.3927777584473002</v>
      </c>
      <c r="AP20" s="1324">
        <f t="array" ref="AP20">1/SUMPRODUCT(IFERROR(1/AB20:AG20,0),'Mkt Pen Veh-Mi'!H20:M20)</f>
        <v>6.490547110519385</v>
      </c>
      <c r="AQ20" s="1328">
        <f t="array" ref="AQ20">1/SUMPRODUCT(IFERROR(1/AH20:AM20,0),'Mkt Pen Veh-Mi'!N20:S20)</f>
        <v>6.7882707106377271</v>
      </c>
      <c r="AR20" s="1321">
        <v>2018</v>
      </c>
      <c r="AS20" s="1323">
        <f t="shared" si="32"/>
        <v>1</v>
      </c>
      <c r="AT20" s="1324">
        <f t="shared" si="33"/>
        <v>1</v>
      </c>
      <c r="AU20" s="1324">
        <f t="shared" si="34"/>
        <v>1</v>
      </c>
      <c r="AV20" s="1328">
        <v>1</v>
      </c>
    </row>
    <row r="21" spans="1:48" s="1177" customFormat="1" ht="15" x14ac:dyDescent="0.2">
      <c r="A21" s="1192">
        <v>2019</v>
      </c>
      <c r="B21" s="1246">
        <f>IF('Mkt Pen Veh-Mi'!B21=0,1,1/((1-Fuel2ShrbyTech!B22)/'Inputs 7&amp;8 Sleep'!$N34+Fuel2ShrbyTech!B22/'Inputs 7&amp;8 Sleep'!$T34))</f>
        <v>6.433352026317448</v>
      </c>
      <c r="C21" s="1247">
        <f>IF('Mkt Pen Veh-Mi'!C21=0,1,1/((1-Fuel2ShrbyTech!C22)/'Inputs 7&amp;8 Sleep'!$O34+Fuel2ShrbyTech!C22/'Inputs 7&amp;8 Sleep'!$U34))</f>
        <v>1</v>
      </c>
      <c r="D21" s="1247">
        <f>IF('Mkt Pen Veh-Mi'!D21=0,1,1/((1-Fuel2ShrbyTech!D22)/'Inputs 7&amp;8 Sleep'!$P34+Fuel2ShrbyTech!D22/'Inputs 7&amp;8 Sleep'!$V34))</f>
        <v>1</v>
      </c>
      <c r="E21" s="1247">
        <f>IF('Mkt Pen Veh-Mi'!E21=0,1,1/((1-Fuel2ShrbyTech!E22)/'Inputs 7&amp;8 Sleep'!$Q34+Fuel2ShrbyTech!E22/'Inputs 7&amp;8 Sleep'!$W34))</f>
        <v>1</v>
      </c>
      <c r="F21" s="1247">
        <f>IF('Mkt Pen Veh-Mi'!F21=0,1,1/((1-Fuel2ShrbyTech!F22)/'Inputs 7&amp;8 Sleep'!$R34+Fuel2ShrbyTech!F22/'Inputs 7&amp;8 Sleep'!$X34))</f>
        <v>1</v>
      </c>
      <c r="G21" s="1248">
        <f>IF('Mkt Pen Veh-Mi'!G21=0,1,1/((1-Fuel2ShrbyTech!G22)/'Inputs 7&amp;8 Sleep'!$S34+Fuel2ShrbyTech!G22/'Inputs 7&amp;8 Sleep'!$Y34))</f>
        <v>1</v>
      </c>
      <c r="H21" s="1246">
        <f>IF('Mkt Pen Veh-Mi'!H21=0,1,1/((1-Fuel2ShrbyTech!H22)/'Inputs 7&amp;8 Day'!$N34+Fuel2ShrbyTech!H22/'Inputs 7&amp;8 Day'!$T34))</f>
        <v>6.5335250359747858</v>
      </c>
      <c r="I21" s="1247">
        <f>IF('Mkt Pen Veh-Mi'!I21=0,1,1/((1-Fuel2ShrbyTech!I22)/'Inputs 7&amp;8 Day'!$O34+Fuel2ShrbyTech!I22/'Inputs 7&amp;8 Day'!$U34))</f>
        <v>1</v>
      </c>
      <c r="J21" s="1247">
        <f>IF('Mkt Pen Veh-Mi'!J21=0,1,1/((1-Fuel2ShrbyTech!J22)/'Inputs 7&amp;8 Day'!$P34+Fuel2ShrbyTech!J22/'Inputs 7&amp;8 Day'!$V34))</f>
        <v>1</v>
      </c>
      <c r="K21" s="1247">
        <f>IF('Mkt Pen Veh-Mi'!K21=0,1,1/((1-Fuel2ShrbyTech!K22)/'Inputs 7&amp;8 Day'!$Q34+Fuel2ShrbyTech!K22/'Inputs 7&amp;8 Day'!$W34))</f>
        <v>1</v>
      </c>
      <c r="L21" s="1247">
        <f>IF('Mkt Pen Veh-Mi'!L21=0,1,1/((1-Fuel2ShrbyTech!L22)/'Inputs 7&amp;8 Day'!$R34+Fuel2ShrbyTech!L22/'Inputs 7&amp;8 Day'!$X34))</f>
        <v>1</v>
      </c>
      <c r="M21" s="1248">
        <f>IF('Mkt Pen Veh-Mi'!M21=0,1,1/((1-Fuel2ShrbyTech!M22)/'Inputs 7&amp;8 Day'!$S34+Fuel2ShrbyTech!M22/'Inputs 7&amp;8 Day'!$Y34))</f>
        <v>1</v>
      </c>
      <c r="N21" s="1246">
        <f>IF('Mkt Pen Veh-Mi'!N21=0,1,1/((1-Fuel2ShrbyTech!N22)/'Inputs 7&amp;8 SU'!$N34+Fuel2ShrbyTech!N22/'Inputs 7&amp;8 SU'!$T34))</f>
        <v>6.8198260867882974</v>
      </c>
      <c r="O21" s="1247">
        <f>IF('Mkt Pen Veh-Mi'!O21=0,1,1/((1-Fuel2ShrbyTech!O22)/'Inputs 7&amp;8 SU'!$O34+Fuel2ShrbyTech!O22/'Inputs 7&amp;8 SU'!$U34))</f>
        <v>1</v>
      </c>
      <c r="P21" s="1247">
        <f>IF('Mkt Pen Veh-Mi'!P21=0,1,1/((1-Fuel2ShrbyTech!P22)/'Inputs 7&amp;8 SU'!$P34+Fuel2ShrbyTech!P22/'Inputs 7&amp;8 SU'!$V34))</f>
        <v>1</v>
      </c>
      <c r="Q21" s="1247">
        <f>IF('Mkt Pen Veh-Mi'!Q21=0,1,1/((1-Fuel2ShrbyTech!Q22)/'Inputs 7&amp;8 SU'!$Q34+Fuel2ShrbyTech!Q22/'Inputs 7&amp;8 SU'!$W34))</f>
        <v>1</v>
      </c>
      <c r="R21" s="1247">
        <f>IF('Mkt Pen Veh-Mi'!R21=0,1,1/((1-Fuel2ShrbyTech!R22)/'Inputs 7&amp;8 SU'!$R34+Fuel2ShrbyTech!R22/'Inputs 7&amp;8 SU'!$X34))</f>
        <v>1</v>
      </c>
      <c r="S21" s="1248">
        <f>IF('Mkt Pen Veh-Mi'!S21=0,1,1/((1-Fuel2ShrbyTech!S22)/'Inputs 7&amp;8 SU'!$S34+Fuel2ShrbyTech!S22/'Inputs 7&amp;8 SU'!$Y34))</f>
        <v>1</v>
      </c>
      <c r="U21" s="1192">
        <f t="shared" si="13"/>
        <v>2019</v>
      </c>
      <c r="V21" s="1246">
        <f t="shared" si="14"/>
        <v>6.433352026317448</v>
      </c>
      <c r="W21" s="1247">
        <f t="shared" si="15"/>
        <v>0</v>
      </c>
      <c r="X21" s="1247">
        <f t="shared" si="16"/>
        <v>0</v>
      </c>
      <c r="Y21" s="1247">
        <f t="shared" si="17"/>
        <v>0</v>
      </c>
      <c r="Z21" s="1247">
        <f t="shared" si="18"/>
        <v>0</v>
      </c>
      <c r="AA21" s="1248">
        <f t="shared" si="19"/>
        <v>0</v>
      </c>
      <c r="AB21" s="1246">
        <f t="shared" si="20"/>
        <v>6.5335250359747858</v>
      </c>
      <c r="AC21" s="1247">
        <f t="shared" si="21"/>
        <v>0</v>
      </c>
      <c r="AD21" s="1247">
        <f t="shared" si="22"/>
        <v>0</v>
      </c>
      <c r="AE21" s="1247">
        <f t="shared" si="23"/>
        <v>0</v>
      </c>
      <c r="AF21" s="1247">
        <f t="shared" si="24"/>
        <v>0</v>
      </c>
      <c r="AG21" s="1248">
        <f t="shared" si="25"/>
        <v>0</v>
      </c>
      <c r="AH21" s="1246">
        <f t="shared" si="26"/>
        <v>6.8198260867882974</v>
      </c>
      <c r="AI21" s="1247">
        <f t="shared" si="27"/>
        <v>0</v>
      </c>
      <c r="AJ21" s="1247">
        <f t="shared" si="28"/>
        <v>0</v>
      </c>
      <c r="AK21" s="1247">
        <f t="shared" si="29"/>
        <v>0</v>
      </c>
      <c r="AL21" s="1247">
        <f t="shared" si="30"/>
        <v>0</v>
      </c>
      <c r="AM21" s="1248">
        <f t="shared" si="31"/>
        <v>0</v>
      </c>
      <c r="AN21" s="1177">
        <v>2019</v>
      </c>
      <c r="AO21" s="1323">
        <f t="array" ref="AO21">1/SUMPRODUCT(IFERROR(1/V21:AA21,0),'Mkt Pen Veh-Mi'!B21:G21)</f>
        <v>6.433352026317448</v>
      </c>
      <c r="AP21" s="1324">
        <f t="array" ref="AP21">1/SUMPRODUCT(IFERROR(1/AB21:AG21,0),'Mkt Pen Veh-Mi'!H21:M21)</f>
        <v>6.5335250359747858</v>
      </c>
      <c r="AQ21" s="1328">
        <f t="array" ref="AQ21">1/SUMPRODUCT(IFERROR(1/AH21:AM21,0),'Mkt Pen Veh-Mi'!N21:S21)</f>
        <v>6.8198260867882974</v>
      </c>
      <c r="AR21" s="1321">
        <v>2019</v>
      </c>
      <c r="AS21" s="1323">
        <f t="shared" si="32"/>
        <v>1</v>
      </c>
      <c r="AT21" s="1324">
        <f t="shared" si="33"/>
        <v>1</v>
      </c>
      <c r="AU21" s="1324">
        <f t="shared" si="34"/>
        <v>1</v>
      </c>
      <c r="AV21" s="1328">
        <v>1</v>
      </c>
    </row>
    <row r="22" spans="1:48" s="1177" customFormat="1" ht="15" x14ac:dyDescent="0.2">
      <c r="A22" s="1198">
        <v>2020</v>
      </c>
      <c r="B22" s="1249">
        <f>IF('Mkt Pen Veh-Mi'!B22=0,1,1/((1-Fuel2ShrbyTech!B23)/'Inputs 7&amp;8 Sleep'!$N35+Fuel2ShrbyTech!B23/'Inputs 7&amp;8 Sleep'!$T35))</f>
        <v>6.4864337636120455</v>
      </c>
      <c r="C22" s="1250">
        <f>IF('Mkt Pen Veh-Mi'!C22=0,1,1/((1-Fuel2ShrbyTech!C23)/'Inputs 7&amp;8 Sleep'!$O35+Fuel2ShrbyTech!C23/'Inputs 7&amp;8 Sleep'!$U35))</f>
        <v>1</v>
      </c>
      <c r="D22" s="1250">
        <f>IF('Mkt Pen Veh-Mi'!D22=0,1,1/((1-Fuel2ShrbyTech!D23)/'Inputs 7&amp;8 Sleep'!$P35+Fuel2ShrbyTech!D23/'Inputs 7&amp;8 Sleep'!$V35))</f>
        <v>1</v>
      </c>
      <c r="E22" s="1250">
        <f>IF('Mkt Pen Veh-Mi'!E22=0,1,1/((1-Fuel2ShrbyTech!E23)/'Inputs 7&amp;8 Sleep'!$Q35+Fuel2ShrbyTech!E23/'Inputs 7&amp;8 Sleep'!$W35))</f>
        <v>1</v>
      </c>
      <c r="F22" s="1250">
        <f>IF('Mkt Pen Veh-Mi'!F22=0,1,1/((1-Fuel2ShrbyTech!F23)/'Inputs 7&amp;8 Sleep'!$R35+Fuel2ShrbyTech!F23/'Inputs 7&amp;8 Sleep'!$X35))</f>
        <v>1</v>
      </c>
      <c r="G22" s="1251">
        <f>IF('Mkt Pen Veh-Mi'!G22=0,1,1/((1-Fuel2ShrbyTech!G23)/'Inputs 7&amp;8 Sleep'!$S35+Fuel2ShrbyTech!G23/'Inputs 7&amp;8 Sleep'!$Y35))</f>
        <v>1</v>
      </c>
      <c r="H22" s="1249">
        <f>IF('Mkt Pen Veh-Mi'!H22=0,1,1/((1-Fuel2ShrbyTech!H23)/'Inputs 7&amp;8 Day'!$N35+Fuel2ShrbyTech!H23/'Inputs 7&amp;8 Day'!$T35))</f>
        <v>6.5937589910582313</v>
      </c>
      <c r="I22" s="1250">
        <f>IF('Mkt Pen Veh-Mi'!I22=0,1,1/((1-Fuel2ShrbyTech!I23)/'Inputs 7&amp;8 Day'!$O35+Fuel2ShrbyTech!I23/'Inputs 7&amp;8 Day'!$U35))</f>
        <v>1</v>
      </c>
      <c r="J22" s="1250">
        <f>IF('Mkt Pen Veh-Mi'!J22=0,1,1/((1-Fuel2ShrbyTech!J23)/'Inputs 7&amp;8 Day'!$P35+Fuel2ShrbyTech!J23/'Inputs 7&amp;8 Day'!$V35))</f>
        <v>1</v>
      </c>
      <c r="K22" s="1250">
        <f>IF('Mkt Pen Veh-Mi'!K22=0,1,1/((1-Fuel2ShrbyTech!K23)/'Inputs 7&amp;8 Day'!$Q35+Fuel2ShrbyTech!K23/'Inputs 7&amp;8 Day'!$W35))</f>
        <v>1</v>
      </c>
      <c r="L22" s="1250">
        <f>IF('Mkt Pen Veh-Mi'!L22=0,1,1/((1-Fuel2ShrbyTech!L23)/'Inputs 7&amp;8 Day'!$R35+Fuel2ShrbyTech!L23/'Inputs 7&amp;8 Day'!$X35))</f>
        <v>1</v>
      </c>
      <c r="M22" s="1251">
        <f>IF('Mkt Pen Veh-Mi'!M22=0,1,1/((1-Fuel2ShrbyTech!M23)/'Inputs 7&amp;8 Day'!$S35+Fuel2ShrbyTech!M23/'Inputs 7&amp;8 Day'!$Y35))</f>
        <v>1</v>
      </c>
      <c r="N22" s="1249">
        <f>IF('Mkt Pen Veh-Mi'!N22=0,1,1/((1-Fuel2ShrbyTech!N23)/'Inputs 7&amp;8 SU'!$N35+Fuel2ShrbyTech!N23/'Inputs 7&amp;8 SU'!$T35))</f>
        <v>6.8652961720744159</v>
      </c>
      <c r="O22" s="1250">
        <f>IF('Mkt Pen Veh-Mi'!O22=0,1,1/((1-Fuel2ShrbyTech!O23)/'Inputs 7&amp;8 SU'!$O35+Fuel2ShrbyTech!O23/'Inputs 7&amp;8 SU'!$U35))</f>
        <v>1</v>
      </c>
      <c r="P22" s="1250">
        <f>IF('Mkt Pen Veh-Mi'!P22=0,1,1/((1-Fuel2ShrbyTech!P23)/'Inputs 7&amp;8 SU'!$P35+Fuel2ShrbyTech!P23/'Inputs 7&amp;8 SU'!$V35))</f>
        <v>1</v>
      </c>
      <c r="Q22" s="1250">
        <f>IF('Mkt Pen Veh-Mi'!Q22=0,1,1/((1-Fuel2ShrbyTech!Q23)/'Inputs 7&amp;8 SU'!$Q35+Fuel2ShrbyTech!Q23/'Inputs 7&amp;8 SU'!$W35))</f>
        <v>1</v>
      </c>
      <c r="R22" s="1250">
        <f>IF('Mkt Pen Veh-Mi'!R22=0,1,1/((1-Fuel2ShrbyTech!R23)/'Inputs 7&amp;8 SU'!$R35+Fuel2ShrbyTech!R23/'Inputs 7&amp;8 SU'!$X35))</f>
        <v>1</v>
      </c>
      <c r="S22" s="1251">
        <f>IF('Mkt Pen Veh-Mi'!S22=0,1,1/((1-Fuel2ShrbyTech!S23)/'Inputs 7&amp;8 SU'!$S35+Fuel2ShrbyTech!S23/'Inputs 7&amp;8 SU'!$Y35))</f>
        <v>1</v>
      </c>
      <c r="U22" s="1198">
        <f t="shared" si="13"/>
        <v>2020</v>
      </c>
      <c r="V22" s="1249">
        <f t="shared" si="14"/>
        <v>6.4864337636120455</v>
      </c>
      <c r="W22" s="1250">
        <f t="shared" si="15"/>
        <v>0</v>
      </c>
      <c r="X22" s="1250">
        <f t="shared" si="16"/>
        <v>0</v>
      </c>
      <c r="Y22" s="1250">
        <f t="shared" si="17"/>
        <v>0</v>
      </c>
      <c r="Z22" s="1250">
        <f t="shared" si="18"/>
        <v>0</v>
      </c>
      <c r="AA22" s="1251">
        <f t="shared" si="19"/>
        <v>0</v>
      </c>
      <c r="AB22" s="1249">
        <f t="shared" si="20"/>
        <v>6.5937589910582313</v>
      </c>
      <c r="AC22" s="1250">
        <f t="shared" si="21"/>
        <v>0</v>
      </c>
      <c r="AD22" s="1250">
        <f t="shared" si="22"/>
        <v>0</v>
      </c>
      <c r="AE22" s="1250">
        <f t="shared" si="23"/>
        <v>0</v>
      </c>
      <c r="AF22" s="1250">
        <f t="shared" si="24"/>
        <v>0</v>
      </c>
      <c r="AG22" s="1251">
        <f t="shared" si="25"/>
        <v>0</v>
      </c>
      <c r="AH22" s="1249">
        <f t="shared" si="26"/>
        <v>6.8652961720744159</v>
      </c>
      <c r="AI22" s="1250">
        <f t="shared" si="27"/>
        <v>0</v>
      </c>
      <c r="AJ22" s="1250">
        <f t="shared" si="28"/>
        <v>0</v>
      </c>
      <c r="AK22" s="1250">
        <f t="shared" si="29"/>
        <v>0</v>
      </c>
      <c r="AL22" s="1250">
        <f t="shared" si="30"/>
        <v>0</v>
      </c>
      <c r="AM22" s="1251">
        <f t="shared" si="31"/>
        <v>0</v>
      </c>
      <c r="AN22" s="1177">
        <v>2020</v>
      </c>
      <c r="AO22" s="1323">
        <f t="array" ref="AO22">1/SUMPRODUCT(IFERROR(1/V22:AA22,0),'Mkt Pen Veh-Mi'!B22:G22)</f>
        <v>6.4864337636120455</v>
      </c>
      <c r="AP22" s="1324">
        <f t="array" ref="AP22">1/SUMPRODUCT(IFERROR(1/AB22:AG22,0),'Mkt Pen Veh-Mi'!H22:M22)</f>
        <v>6.5937589910582313</v>
      </c>
      <c r="AQ22" s="1328">
        <f t="array" ref="AQ22">1/SUMPRODUCT(IFERROR(1/AH22:AM22,0),'Mkt Pen Veh-Mi'!N22:S22)</f>
        <v>6.8652961720744159</v>
      </c>
      <c r="AR22" s="1321">
        <v>2020</v>
      </c>
      <c r="AS22" s="1323">
        <f t="shared" si="32"/>
        <v>1</v>
      </c>
      <c r="AT22" s="1324">
        <f t="shared" si="33"/>
        <v>1</v>
      </c>
      <c r="AU22" s="1324">
        <f t="shared" si="34"/>
        <v>1</v>
      </c>
      <c r="AV22" s="1328">
        <v>1</v>
      </c>
    </row>
    <row r="23" spans="1:48" s="1177" customFormat="1" ht="15" x14ac:dyDescent="0.2">
      <c r="A23" s="1192">
        <v>2021</v>
      </c>
      <c r="B23" s="1252">
        <f>IF('Mkt Pen Veh-Mi'!B23=0,1,1/((1-Fuel2ShrbyTech!B24)/'Inputs 7&amp;8 Sleep'!$N36+Fuel2ShrbyTech!B24/'Inputs 7&amp;8 Sleep'!$T36))</f>
        <v>6.4888939494054592</v>
      </c>
      <c r="C23" s="1253">
        <f>IF('Mkt Pen Veh-Mi'!C23=0,1,1/((1-Fuel2ShrbyTech!C24)/'Inputs 7&amp;8 Sleep'!$O36+Fuel2ShrbyTech!C24/'Inputs 7&amp;8 Sleep'!$U36))</f>
        <v>1</v>
      </c>
      <c r="D23" s="1253">
        <f>IF('Mkt Pen Veh-Mi'!D23=0,1,1/((1-Fuel2ShrbyTech!D24)/'Inputs 7&amp;8 Sleep'!$P36+Fuel2ShrbyTech!D24/'Inputs 7&amp;8 Sleep'!$V36))</f>
        <v>1</v>
      </c>
      <c r="E23" s="1253">
        <f>IF('Mkt Pen Veh-Mi'!E23=0,1,1/((1-Fuel2ShrbyTech!E24)/'Inputs 7&amp;8 Sleep'!$Q36+Fuel2ShrbyTech!E24/'Inputs 7&amp;8 Sleep'!$W36))</f>
        <v>1</v>
      </c>
      <c r="F23" s="1253">
        <f>IF('Mkt Pen Veh-Mi'!F23=0,1,1/((1-Fuel2ShrbyTech!F24)/'Inputs 7&amp;8 Sleep'!$R36+Fuel2ShrbyTech!F24/'Inputs 7&amp;8 Sleep'!$X36))</f>
        <v>1</v>
      </c>
      <c r="G23" s="1254">
        <f>IF('Mkt Pen Veh-Mi'!G23=0,1,1/((1-Fuel2ShrbyTech!G24)/'Inputs 7&amp;8 Sleep'!$S36+Fuel2ShrbyTech!G24/'Inputs 7&amp;8 Sleep'!$Y36))</f>
        <v>1</v>
      </c>
      <c r="H23" s="1252">
        <f>IF('Mkt Pen Veh-Mi'!H23=0,1,1/((1-Fuel2ShrbyTech!H24)/'Inputs 7&amp;8 Day'!$N36+Fuel2ShrbyTech!H24/'Inputs 7&amp;8 Day'!$T36))</f>
        <v>6.610100853808035</v>
      </c>
      <c r="I23" s="1253">
        <f>IF('Mkt Pen Veh-Mi'!I23=0,1,1/((1-Fuel2ShrbyTech!I24)/'Inputs 7&amp;8 Day'!$O36+Fuel2ShrbyTech!I24/'Inputs 7&amp;8 Day'!$U36))</f>
        <v>6.7450424840493035</v>
      </c>
      <c r="J23" s="1253">
        <f>IF('Mkt Pen Veh-Mi'!J23=0,1,1/((1-Fuel2ShrbyTech!J24)/'Inputs 7&amp;8 Day'!$P36+Fuel2ShrbyTech!J24/'Inputs 7&amp;8 Day'!$V36))</f>
        <v>6.7496952407848143</v>
      </c>
      <c r="K23" s="1253">
        <f>IF('Mkt Pen Veh-Mi'!K23=0,1,1/((1-Fuel2ShrbyTech!K24)/'Inputs 7&amp;8 Day'!$Q36+Fuel2ShrbyTech!K24/'Inputs 7&amp;8 Day'!$W36))</f>
        <v>1</v>
      </c>
      <c r="L23" s="1253">
        <f>IF('Mkt Pen Veh-Mi'!L23=0,1,1/((1-Fuel2ShrbyTech!L24)/'Inputs 7&amp;8 Day'!$R36+Fuel2ShrbyTech!L24/'Inputs 7&amp;8 Day'!$X36))</f>
        <v>1</v>
      </c>
      <c r="M23" s="1254">
        <f>IF('Mkt Pen Veh-Mi'!M23=0,1,1/((1-Fuel2ShrbyTech!M24)/'Inputs 7&amp;8 Day'!$S36+Fuel2ShrbyTech!M24/'Inputs 7&amp;8 Day'!$Y36))</f>
        <v>1</v>
      </c>
      <c r="N23" s="1252">
        <f>IF('Mkt Pen Veh-Mi'!N23=0,1,1/((1-Fuel2ShrbyTech!N24)/'Inputs 7&amp;8 SU'!$N36+Fuel2ShrbyTech!N24/'Inputs 7&amp;8 SU'!$T36))</f>
        <v>7.1066946066856191</v>
      </c>
      <c r="O23" s="1253">
        <f>IF('Mkt Pen Veh-Mi'!O23=0,1,1/((1-Fuel2ShrbyTech!O24)/'Inputs 7&amp;8 SU'!$O36+Fuel2ShrbyTech!O24/'Inputs 7&amp;8 SU'!$U36))</f>
        <v>1</v>
      </c>
      <c r="P23" s="1253">
        <f>IF('Mkt Pen Veh-Mi'!P23=0,1,1/((1-Fuel2ShrbyTech!P24)/'Inputs 7&amp;8 SU'!$P36+Fuel2ShrbyTech!P24/'Inputs 7&amp;8 SU'!$V36))</f>
        <v>1</v>
      </c>
      <c r="Q23" s="1253">
        <f>IF('Mkt Pen Veh-Mi'!Q23=0,1,1/((1-Fuel2ShrbyTech!Q24)/'Inputs 7&amp;8 SU'!$Q36+Fuel2ShrbyTech!Q24/'Inputs 7&amp;8 SU'!$W36))</f>
        <v>1</v>
      </c>
      <c r="R23" s="1253">
        <f>IF('Mkt Pen Veh-Mi'!R23=0,1,1/((1-Fuel2ShrbyTech!R24)/'Inputs 7&amp;8 SU'!$R36+Fuel2ShrbyTech!R24/'Inputs 7&amp;8 SU'!$X36))</f>
        <v>1</v>
      </c>
      <c r="S23" s="1254">
        <f>IF('Mkt Pen Veh-Mi'!S23=0,1,1/((1-Fuel2ShrbyTech!S24)/'Inputs 7&amp;8 SU'!$S36+Fuel2ShrbyTech!S24/'Inputs 7&amp;8 SU'!$Y36))</f>
        <v>1</v>
      </c>
      <c r="U23" s="1192">
        <f t="shared" si="13"/>
        <v>2021</v>
      </c>
      <c r="V23" s="1252">
        <f t="shared" si="14"/>
        <v>6.4888939494054592</v>
      </c>
      <c r="W23" s="1253">
        <f t="shared" si="15"/>
        <v>0</v>
      </c>
      <c r="X23" s="1253">
        <f t="shared" si="16"/>
        <v>0</v>
      </c>
      <c r="Y23" s="1253">
        <f t="shared" si="17"/>
        <v>0</v>
      </c>
      <c r="Z23" s="1253">
        <f t="shared" si="18"/>
        <v>0</v>
      </c>
      <c r="AA23" s="1254">
        <f t="shared" si="19"/>
        <v>0</v>
      </c>
      <c r="AB23" s="1252">
        <f t="shared" si="20"/>
        <v>6.610100853808035</v>
      </c>
      <c r="AC23" s="1253">
        <f t="shared" si="21"/>
        <v>6.7450424840493035</v>
      </c>
      <c r="AD23" s="1253">
        <f t="shared" si="22"/>
        <v>6.7496952407848143</v>
      </c>
      <c r="AE23" s="1253">
        <f t="shared" si="23"/>
        <v>0</v>
      </c>
      <c r="AF23" s="1253">
        <f t="shared" si="24"/>
        <v>0</v>
      </c>
      <c r="AG23" s="1254">
        <f t="shared" si="25"/>
        <v>0</v>
      </c>
      <c r="AH23" s="1252">
        <f t="shared" si="26"/>
        <v>7.1066946066856191</v>
      </c>
      <c r="AI23" s="1253">
        <f t="shared" si="27"/>
        <v>0</v>
      </c>
      <c r="AJ23" s="1253">
        <f t="shared" si="28"/>
        <v>0</v>
      </c>
      <c r="AK23" s="1253">
        <f t="shared" si="29"/>
        <v>0</v>
      </c>
      <c r="AL23" s="1253">
        <f t="shared" si="30"/>
        <v>0</v>
      </c>
      <c r="AM23" s="1254">
        <f t="shared" si="31"/>
        <v>0</v>
      </c>
      <c r="AN23" s="1177">
        <v>2021</v>
      </c>
      <c r="AO23" s="1323">
        <f t="array" ref="AO23">1/SUMPRODUCT(IFERROR(1/V23:AA23,0),'Mkt Pen Veh-Mi'!B23:G23)</f>
        <v>6.4888939494054592</v>
      </c>
      <c r="AP23" s="1324">
        <f t="array" ref="AP23">1/SUMPRODUCT(IFERROR(1/AB23:AG23,0),'Mkt Pen Veh-Mi'!H23:M23)</f>
        <v>6.6148304297140808</v>
      </c>
      <c r="AQ23" s="1328">
        <f t="array" ref="AQ23">1/SUMPRODUCT(IFERROR(1/AH23:AM23,0),'Mkt Pen Veh-Mi'!N23:S23)</f>
        <v>7.1066946066856191</v>
      </c>
      <c r="AR23" s="1321">
        <v>2021</v>
      </c>
      <c r="AS23" s="1323">
        <f t="shared" si="32"/>
        <v>1</v>
      </c>
      <c r="AT23" s="1324">
        <f t="shared" si="33"/>
        <v>1.0007155073743423</v>
      </c>
      <c r="AU23" s="1324">
        <f t="shared" si="34"/>
        <v>1</v>
      </c>
      <c r="AV23" s="1328">
        <v>1.0014357770328348</v>
      </c>
    </row>
    <row r="24" spans="1:48" s="1177" customFormat="1" ht="15" x14ac:dyDescent="0.2">
      <c r="A24" s="1192">
        <v>2022</v>
      </c>
      <c r="B24" s="1246">
        <f>IF('Mkt Pen Veh-Mi'!B24=0,1,1/((1-Fuel2ShrbyTech!B25)/'Inputs 7&amp;8 Sleep'!$N37+Fuel2ShrbyTech!B25/'Inputs 7&amp;8 Sleep'!$T37))</f>
        <v>6.618661358461285</v>
      </c>
      <c r="C24" s="1247">
        <f>IF('Mkt Pen Veh-Mi'!C24=0,1,1/((1-Fuel2ShrbyTech!C25)/'Inputs 7&amp;8 Sleep'!$O37+Fuel2ShrbyTech!C25/'Inputs 7&amp;8 Sleep'!$U37))</f>
        <v>6.6684443795976591</v>
      </c>
      <c r="D24" s="1247">
        <f>IF('Mkt Pen Veh-Mi'!D24=0,1,1/((1-Fuel2ShrbyTech!D25)/'Inputs 7&amp;8 Sleep'!$P37+Fuel2ShrbyTech!D25/'Inputs 7&amp;8 Sleep'!$V37))</f>
        <v>7.1163350034027939</v>
      </c>
      <c r="E24" s="1247">
        <f>IF('Mkt Pen Veh-Mi'!E24=0,1,1/((1-Fuel2ShrbyTech!E25)/'Inputs 7&amp;8 Sleep'!$Q37+Fuel2ShrbyTech!E25/'Inputs 7&amp;8 Sleep'!$W37))</f>
        <v>1</v>
      </c>
      <c r="F24" s="1247">
        <f>IF('Mkt Pen Veh-Mi'!F24=0,1,1/((1-Fuel2ShrbyTech!F25)/'Inputs 7&amp;8 Sleep'!$R37+Fuel2ShrbyTech!F25/'Inputs 7&amp;8 Sleep'!$X37))</f>
        <v>1</v>
      </c>
      <c r="G24" s="1248">
        <f>IF('Mkt Pen Veh-Mi'!G24=0,1,1/((1-Fuel2ShrbyTech!G25)/'Inputs 7&amp;8 Sleep'!$S37+Fuel2ShrbyTech!G25/'Inputs 7&amp;8 Sleep'!$Y37))</f>
        <v>1</v>
      </c>
      <c r="H24" s="1246">
        <f>IF('Mkt Pen Veh-Mi'!H24=0,1,1/((1-Fuel2ShrbyTech!H25)/'Inputs 7&amp;8 Day'!$N37+Fuel2ShrbyTech!H25/'Inputs 7&amp;8 Day'!$T37))</f>
        <v>6.7005254493390005</v>
      </c>
      <c r="I24" s="1247">
        <f>IF('Mkt Pen Veh-Mi'!I24=0,1,1/((1-Fuel2ShrbyTech!I25)/'Inputs 7&amp;8 Day'!$O37+Fuel2ShrbyTech!I25/'Inputs 7&amp;8 Day'!$U37))</f>
        <v>6.9690689215323394</v>
      </c>
      <c r="J24" s="1247">
        <f>IF('Mkt Pen Veh-Mi'!J24=0,1,1/((1-Fuel2ShrbyTech!J25)/'Inputs 7&amp;8 Day'!$P37+Fuel2ShrbyTech!J25/'Inputs 7&amp;8 Day'!$V37))</f>
        <v>6.978762914555956</v>
      </c>
      <c r="K24" s="1247">
        <f>IF('Mkt Pen Veh-Mi'!K24=0,1,1/((1-Fuel2ShrbyTech!K25)/'Inputs 7&amp;8 Day'!$Q37+Fuel2ShrbyTech!K25/'Inputs 7&amp;8 Day'!$W37))</f>
        <v>1</v>
      </c>
      <c r="L24" s="1247">
        <f>IF('Mkt Pen Veh-Mi'!L24=0,1,1/((1-Fuel2ShrbyTech!L25)/'Inputs 7&amp;8 Day'!$R37+Fuel2ShrbyTech!L25/'Inputs 7&amp;8 Day'!$X37))</f>
        <v>1</v>
      </c>
      <c r="M24" s="1248">
        <f>IF('Mkt Pen Veh-Mi'!M24=0,1,1/((1-Fuel2ShrbyTech!M25)/'Inputs 7&amp;8 Day'!$S37+Fuel2ShrbyTech!M25/'Inputs 7&amp;8 Day'!$Y37))</f>
        <v>1</v>
      </c>
      <c r="N24" s="1246">
        <f>IF('Mkt Pen Veh-Mi'!N24=0,1,1/((1-Fuel2ShrbyTech!N25)/'Inputs 7&amp;8 SU'!$N37+Fuel2ShrbyTech!N25/'Inputs 7&amp;8 SU'!$T37))</f>
        <v>7.2549468572317179</v>
      </c>
      <c r="O24" s="1247">
        <f>IF('Mkt Pen Veh-Mi'!O24=0,1,1/((1-Fuel2ShrbyTech!O25)/'Inputs 7&amp;8 SU'!$O37+Fuel2ShrbyTech!O25/'Inputs 7&amp;8 SU'!$U37))</f>
        <v>7.5470263474657697</v>
      </c>
      <c r="P24" s="1247">
        <f>IF('Mkt Pen Veh-Mi'!P24=0,1,1/((1-Fuel2ShrbyTech!P25)/'Inputs 7&amp;8 SU'!$P37+Fuel2ShrbyTech!P25/'Inputs 7&amp;8 SU'!$V37))</f>
        <v>7.9604767491506099</v>
      </c>
      <c r="Q24" s="1247">
        <f>IF('Mkt Pen Veh-Mi'!Q24=0,1,1/((1-Fuel2ShrbyTech!Q25)/'Inputs 7&amp;8 SU'!$Q37+Fuel2ShrbyTech!Q25/'Inputs 7&amp;8 SU'!$W37))</f>
        <v>8.5867009582406837</v>
      </c>
      <c r="R24" s="1247">
        <f>IF('Mkt Pen Veh-Mi'!R24=0,1,1/((1-Fuel2ShrbyTech!R25)/'Inputs 7&amp;8 SU'!$R37+Fuel2ShrbyTech!R25/'Inputs 7&amp;8 SU'!$X37))</f>
        <v>1</v>
      </c>
      <c r="S24" s="1248">
        <f>IF('Mkt Pen Veh-Mi'!S24=0,1,1/((1-Fuel2ShrbyTech!S25)/'Inputs 7&amp;8 SU'!$S37+Fuel2ShrbyTech!S25/'Inputs 7&amp;8 SU'!$Y37))</f>
        <v>1</v>
      </c>
      <c r="U24" s="1192">
        <f t="shared" si="13"/>
        <v>2022</v>
      </c>
      <c r="V24" s="1246">
        <f t="shared" si="14"/>
        <v>6.618661358461285</v>
      </c>
      <c r="W24" s="1247">
        <f t="shared" si="15"/>
        <v>6.6684443795976591</v>
      </c>
      <c r="X24" s="1247">
        <f t="shared" si="16"/>
        <v>7.1163350034027939</v>
      </c>
      <c r="Y24" s="1247">
        <f t="shared" si="17"/>
        <v>0</v>
      </c>
      <c r="Z24" s="1247">
        <f t="shared" si="18"/>
        <v>0</v>
      </c>
      <c r="AA24" s="1248">
        <f t="shared" si="19"/>
        <v>0</v>
      </c>
      <c r="AB24" s="1246">
        <f t="shared" si="20"/>
        <v>6.7005254493390005</v>
      </c>
      <c r="AC24" s="1247">
        <f t="shared" si="21"/>
        <v>6.9690689215323394</v>
      </c>
      <c r="AD24" s="1247">
        <f t="shared" si="22"/>
        <v>6.978762914555956</v>
      </c>
      <c r="AE24" s="1247">
        <f t="shared" si="23"/>
        <v>0</v>
      </c>
      <c r="AF24" s="1247">
        <f t="shared" si="24"/>
        <v>0</v>
      </c>
      <c r="AG24" s="1248">
        <f t="shared" si="25"/>
        <v>0</v>
      </c>
      <c r="AH24" s="1246">
        <f t="shared" si="26"/>
        <v>7.2549468572317179</v>
      </c>
      <c r="AI24" s="1247">
        <f t="shared" si="27"/>
        <v>7.5470263474657697</v>
      </c>
      <c r="AJ24" s="1247">
        <f t="shared" si="28"/>
        <v>7.9604767491506099</v>
      </c>
      <c r="AK24" s="1247">
        <f t="shared" si="29"/>
        <v>8.5867009582406837</v>
      </c>
      <c r="AL24" s="1247">
        <f t="shared" si="30"/>
        <v>0</v>
      </c>
      <c r="AM24" s="1248">
        <f t="shared" si="31"/>
        <v>0</v>
      </c>
      <c r="AN24" s="1177">
        <v>2022</v>
      </c>
      <c r="AO24" s="1323">
        <f t="array" ref="AO24">1/SUMPRODUCT(IFERROR(1/V24:AA24,0),'Mkt Pen Veh-Mi'!B24:G24)</f>
        <v>6.6236503212522466</v>
      </c>
      <c r="AP24" s="1324">
        <f t="array" ref="AP24">1/SUMPRODUCT(IFERROR(1/AB24:AG24,0),'Mkt Pen Veh-Mi'!H24:M24)</f>
        <v>6.7232936644481311</v>
      </c>
      <c r="AQ24" s="1328">
        <f t="array" ref="AQ24">1/SUMPRODUCT(IFERROR(1/AH24:AM24,0),'Mkt Pen Veh-Mi'!N24:S24)</f>
        <v>7.2705715316883719</v>
      </c>
      <c r="AR24" s="1321">
        <v>2022</v>
      </c>
      <c r="AS24" s="1323">
        <f t="shared" si="32"/>
        <v>1.000753772178506</v>
      </c>
      <c r="AT24" s="1324">
        <f t="shared" si="33"/>
        <v>1.0033979745739756</v>
      </c>
      <c r="AU24" s="1324">
        <f t="shared" si="34"/>
        <v>1.0021536580162651</v>
      </c>
      <c r="AV24" s="1328">
        <v>1.0062505931411208</v>
      </c>
    </row>
    <row r="25" spans="1:48" s="1177" customFormat="1" ht="15" x14ac:dyDescent="0.2">
      <c r="A25" s="1192">
        <v>2023</v>
      </c>
      <c r="B25" s="1246">
        <f>IF('Mkt Pen Veh-Mi'!B25=0,1,1/((1-Fuel2ShrbyTech!B26)/'Inputs 7&amp;8 Sleep'!$N38+Fuel2ShrbyTech!B26/'Inputs 7&amp;8 Sleep'!$T38))</f>
        <v>6.7394727631646916</v>
      </c>
      <c r="C25" s="1247">
        <f>IF('Mkt Pen Veh-Mi'!C25=0,1,1/((1-Fuel2ShrbyTech!C26)/'Inputs 7&amp;8 Sleep'!$O38+Fuel2ShrbyTech!C26/'Inputs 7&amp;8 Sleep'!$U38))</f>
        <v>6.8191902701014895</v>
      </c>
      <c r="D25" s="1247">
        <f>IF('Mkt Pen Veh-Mi'!D25=0,1,1/((1-Fuel2ShrbyTech!D26)/'Inputs 7&amp;8 Sleep'!$P38+Fuel2ShrbyTech!D26/'Inputs 7&amp;8 Sleep'!$V38))</f>
        <v>7.2869078625014438</v>
      </c>
      <c r="E25" s="1247">
        <f>IF('Mkt Pen Veh-Mi'!E25=0,1,1/((1-Fuel2ShrbyTech!E26)/'Inputs 7&amp;8 Sleep'!$Q38+Fuel2ShrbyTech!E26/'Inputs 7&amp;8 Sleep'!$W38))</f>
        <v>1</v>
      </c>
      <c r="F25" s="1247">
        <f>IF('Mkt Pen Veh-Mi'!F25=0,1,1/((1-Fuel2ShrbyTech!F26)/'Inputs 7&amp;8 Sleep'!$R38+Fuel2ShrbyTech!F26/'Inputs 7&amp;8 Sleep'!$X38))</f>
        <v>1</v>
      </c>
      <c r="G25" s="1248">
        <f>IF('Mkt Pen Veh-Mi'!G25=0,1,1/((1-Fuel2ShrbyTech!G26)/'Inputs 7&amp;8 Sleep'!$S38+Fuel2ShrbyTech!G26/'Inputs 7&amp;8 Sleep'!$Y38))</f>
        <v>1</v>
      </c>
      <c r="H25" s="1246">
        <f>IF('Mkt Pen Veh-Mi'!H25=0,1,1/((1-Fuel2ShrbyTech!H26)/'Inputs 7&amp;8 Day'!$N38+Fuel2ShrbyTech!H26/'Inputs 7&amp;8 Day'!$T38))</f>
        <v>6.7836459413167711</v>
      </c>
      <c r="I25" s="1247">
        <f>IF('Mkt Pen Veh-Mi'!I25=0,1,1/((1-Fuel2ShrbyTech!I26)/'Inputs 7&amp;8 Day'!$O38+Fuel2ShrbyTech!I26/'Inputs 7&amp;8 Day'!$U38))</f>
        <v>7.1840928879382586</v>
      </c>
      <c r="J25" s="1247">
        <f>IF('Mkt Pen Veh-Mi'!J25=0,1,1/((1-Fuel2ShrbyTech!J26)/'Inputs 7&amp;8 Day'!$P38+Fuel2ShrbyTech!J26/'Inputs 7&amp;8 Day'!$V38))</f>
        <v>7.1987644467737528</v>
      </c>
      <c r="K25" s="1247">
        <f>IF('Mkt Pen Veh-Mi'!K25=0,1,1/((1-Fuel2ShrbyTech!K26)/'Inputs 7&amp;8 Day'!$Q38+Fuel2ShrbyTech!K26/'Inputs 7&amp;8 Day'!$W38))</f>
        <v>1</v>
      </c>
      <c r="L25" s="1247">
        <f>IF('Mkt Pen Veh-Mi'!L25=0,1,1/((1-Fuel2ShrbyTech!L26)/'Inputs 7&amp;8 Day'!$R38+Fuel2ShrbyTech!L26/'Inputs 7&amp;8 Day'!$X38))</f>
        <v>1</v>
      </c>
      <c r="M25" s="1248">
        <f>IF('Mkt Pen Veh-Mi'!M25=0,1,1/((1-Fuel2ShrbyTech!M26)/'Inputs 7&amp;8 Day'!$S38+Fuel2ShrbyTech!M26/'Inputs 7&amp;8 Day'!$Y38))</f>
        <v>1</v>
      </c>
      <c r="N25" s="1246">
        <f>IF('Mkt Pen Veh-Mi'!N25=0,1,1/((1-Fuel2ShrbyTech!N26)/'Inputs 7&amp;8 SU'!$N38+Fuel2ShrbyTech!N26/'Inputs 7&amp;8 SU'!$T38))</f>
        <v>7.3952245468405877</v>
      </c>
      <c r="O25" s="1247">
        <f>IF('Mkt Pen Veh-Mi'!O25=0,1,1/((1-Fuel2ShrbyTech!O26)/'Inputs 7&amp;8 SU'!$O38+Fuel2ShrbyTech!O26/'Inputs 7&amp;8 SU'!$U38))</f>
        <v>7.8365961510935715</v>
      </c>
      <c r="P25" s="1247">
        <f>IF('Mkt Pen Veh-Mi'!P25=0,1,1/((1-Fuel2ShrbyTech!P26)/'Inputs 7&amp;8 SU'!$P38+Fuel2ShrbyTech!P26/'Inputs 7&amp;8 SU'!$V38))</f>
        <v>8.2719688938604357</v>
      </c>
      <c r="Q25" s="1247">
        <f>IF('Mkt Pen Veh-Mi'!Q25=0,1,1/((1-Fuel2ShrbyTech!Q26)/'Inputs 7&amp;8 SU'!$Q38+Fuel2ShrbyTech!Q26/'Inputs 7&amp;8 SU'!$W38))</f>
        <v>8.9144503459649904</v>
      </c>
      <c r="R25" s="1247">
        <f>IF('Mkt Pen Veh-Mi'!R25=0,1,1/((1-Fuel2ShrbyTech!R26)/'Inputs 7&amp;8 SU'!$R38+Fuel2ShrbyTech!R26/'Inputs 7&amp;8 SU'!$X38))</f>
        <v>1</v>
      </c>
      <c r="S25" s="1248">
        <f>IF('Mkt Pen Veh-Mi'!S25=0,1,1/((1-Fuel2ShrbyTech!S26)/'Inputs 7&amp;8 SU'!$S38+Fuel2ShrbyTech!S26/'Inputs 7&amp;8 SU'!$Y38))</f>
        <v>1</v>
      </c>
      <c r="U25" s="1192">
        <f t="shared" si="13"/>
        <v>2023</v>
      </c>
      <c r="V25" s="1246">
        <f t="shared" si="14"/>
        <v>6.7394727631646916</v>
      </c>
      <c r="W25" s="1247">
        <f t="shared" si="15"/>
        <v>6.8191902701014895</v>
      </c>
      <c r="X25" s="1247">
        <f t="shared" si="16"/>
        <v>7.2869078625014438</v>
      </c>
      <c r="Y25" s="1247">
        <f t="shared" si="17"/>
        <v>0</v>
      </c>
      <c r="Z25" s="1247">
        <f t="shared" si="18"/>
        <v>0</v>
      </c>
      <c r="AA25" s="1248">
        <f t="shared" si="19"/>
        <v>0</v>
      </c>
      <c r="AB25" s="1246">
        <f t="shared" si="20"/>
        <v>6.7836459413167711</v>
      </c>
      <c r="AC25" s="1247">
        <f t="shared" si="21"/>
        <v>7.1840928879382586</v>
      </c>
      <c r="AD25" s="1247">
        <f t="shared" si="22"/>
        <v>7.1987644467737528</v>
      </c>
      <c r="AE25" s="1247">
        <f t="shared" si="23"/>
        <v>0</v>
      </c>
      <c r="AF25" s="1247">
        <f t="shared" si="24"/>
        <v>0</v>
      </c>
      <c r="AG25" s="1248">
        <f t="shared" si="25"/>
        <v>0</v>
      </c>
      <c r="AH25" s="1246">
        <f t="shared" si="26"/>
        <v>7.3952245468405877</v>
      </c>
      <c r="AI25" s="1247">
        <f t="shared" si="27"/>
        <v>7.8365961510935715</v>
      </c>
      <c r="AJ25" s="1247">
        <f t="shared" si="28"/>
        <v>8.2719688938604357</v>
      </c>
      <c r="AK25" s="1247">
        <f t="shared" si="29"/>
        <v>8.9144503459649904</v>
      </c>
      <c r="AL25" s="1247">
        <f t="shared" si="30"/>
        <v>0</v>
      </c>
      <c r="AM25" s="1248">
        <f t="shared" si="31"/>
        <v>0</v>
      </c>
      <c r="AN25" s="1177">
        <v>2023</v>
      </c>
      <c r="AO25" s="1323">
        <f t="array" ref="AO25">1/SUMPRODUCT(IFERROR(1/V25:AA25,0),'Mkt Pen Veh-Mi'!B25:G25)</f>
        <v>6.7556979252448688</v>
      </c>
      <c r="AP25" s="1324">
        <f t="array" ref="AP25">1/SUMPRODUCT(IFERROR(1/AB25:AG25,0),'Mkt Pen Veh-Mi'!H25:M25)</f>
        <v>6.8554073587917408</v>
      </c>
      <c r="AQ25" s="1328">
        <f t="array" ref="AQ25">1/SUMPRODUCT(IFERROR(1/AH25:AM25,0),'Mkt Pen Veh-Mi'!N25:S25)</f>
        <v>7.4438687481139461</v>
      </c>
      <c r="AR25" s="1321">
        <v>2023</v>
      </c>
      <c r="AS25" s="1323">
        <f t="shared" si="32"/>
        <v>1.0024074824026084</v>
      </c>
      <c r="AT25" s="1324">
        <f t="shared" si="33"/>
        <v>1.0105785912318768</v>
      </c>
      <c r="AU25" s="1324">
        <f t="shared" si="34"/>
        <v>1.0065777855648941</v>
      </c>
      <c r="AV25" s="1328">
        <v>1.0208046069018777</v>
      </c>
    </row>
    <row r="26" spans="1:48" s="1177" customFormat="1" ht="15" x14ac:dyDescent="0.2">
      <c r="A26" s="1192">
        <v>2024</v>
      </c>
      <c r="B26" s="1246">
        <f>IF('Mkt Pen Veh-Mi'!B26=0,1,1/((1-Fuel2ShrbyTech!B27)/'Inputs 7&amp;8 Sleep'!$N39+Fuel2ShrbyTech!B27/'Inputs 7&amp;8 Sleep'!$T39))</f>
        <v>6.8995357521942369</v>
      </c>
      <c r="C26" s="1247">
        <f>IF('Mkt Pen Veh-Mi'!C26=0,1,1/((1-Fuel2ShrbyTech!C27)/'Inputs 7&amp;8 Sleep'!$O39+Fuel2ShrbyTech!C27/'Inputs 7&amp;8 Sleep'!$U39))</f>
        <v>7.025378546928116</v>
      </c>
      <c r="D26" s="1247">
        <f>IF('Mkt Pen Veh-Mi'!D26=0,1,1/((1-Fuel2ShrbyTech!D27)/'Inputs 7&amp;8 Sleep'!$P39+Fuel2ShrbyTech!D27/'Inputs 7&amp;8 Sleep'!$V39))</f>
        <v>7.5202152102068736</v>
      </c>
      <c r="E26" s="1247">
        <f>IF('Mkt Pen Veh-Mi'!E26=0,1,1/((1-Fuel2ShrbyTech!E27)/'Inputs 7&amp;8 Sleep'!$Q39+Fuel2ShrbyTech!E27/'Inputs 7&amp;8 Sleep'!$W39))</f>
        <v>1</v>
      </c>
      <c r="F26" s="1247">
        <f>IF('Mkt Pen Veh-Mi'!F26=0,1,1/((1-Fuel2ShrbyTech!F27)/'Inputs 7&amp;8 Sleep'!$R39+Fuel2ShrbyTech!F27/'Inputs 7&amp;8 Sleep'!$X39))</f>
        <v>1</v>
      </c>
      <c r="G26" s="1248">
        <f>IF('Mkt Pen Veh-Mi'!G26=0,1,1/((1-Fuel2ShrbyTech!G27)/'Inputs 7&amp;8 Sleep'!$S39+Fuel2ShrbyTech!G27/'Inputs 7&amp;8 Sleep'!$Y39))</f>
        <v>1</v>
      </c>
      <c r="H26" s="1246">
        <f>IF('Mkt Pen Veh-Mi'!H26=0,1,1/((1-Fuel2ShrbyTech!H27)/'Inputs 7&amp;8 Day'!$N39+Fuel2ShrbyTech!H27/'Inputs 7&amp;8 Day'!$T39))</f>
        <v>6.8935028575399588</v>
      </c>
      <c r="I26" s="1247">
        <f>IF('Mkt Pen Veh-Mi'!I26=0,1,1/((1-Fuel2ShrbyTech!I27)/'Inputs 7&amp;8 Day'!$O39+Fuel2ShrbyTech!I27/'Inputs 7&amp;8 Day'!$U39))</f>
        <v>7.4264535186122629</v>
      </c>
      <c r="J26" s="1247">
        <f>IF('Mkt Pen Veh-Mi'!J26=0,1,1/((1-Fuel2ShrbyTech!J27)/'Inputs 7&amp;8 Day'!$P39+Fuel2ShrbyTech!J27/'Inputs 7&amp;8 Day'!$V39))</f>
        <v>7.4461235189702206</v>
      </c>
      <c r="K26" s="1247">
        <f>IF('Mkt Pen Veh-Mi'!K26=0,1,1/((1-Fuel2ShrbyTech!K27)/'Inputs 7&amp;8 Day'!$Q39+Fuel2ShrbyTech!K27/'Inputs 7&amp;8 Day'!$W39))</f>
        <v>1</v>
      </c>
      <c r="L26" s="1247">
        <f>IF('Mkt Pen Veh-Mi'!L26=0,1,1/((1-Fuel2ShrbyTech!L27)/'Inputs 7&amp;8 Day'!$R39+Fuel2ShrbyTech!L27/'Inputs 7&amp;8 Day'!$X39))</f>
        <v>1</v>
      </c>
      <c r="M26" s="1248">
        <f>IF('Mkt Pen Veh-Mi'!M26=0,1,1/((1-Fuel2ShrbyTech!M27)/'Inputs 7&amp;8 Day'!$S39+Fuel2ShrbyTech!M27/'Inputs 7&amp;8 Day'!$Y39))</f>
        <v>1</v>
      </c>
      <c r="N26" s="1246">
        <f>IF('Mkt Pen Veh-Mi'!N26=0,1,1/((1-Fuel2ShrbyTech!N27)/'Inputs 7&amp;8 SU'!$N39+Fuel2ShrbyTech!N27/'Inputs 7&amp;8 SU'!$T39))</f>
        <v>7.5444330920738185</v>
      </c>
      <c r="O26" s="1247">
        <f>IF('Mkt Pen Veh-Mi'!O26=0,1,1/((1-Fuel2ShrbyTech!O27)/'Inputs 7&amp;8 SU'!$O39+Fuel2ShrbyTech!O27/'Inputs 7&amp;8 SU'!$U39))</f>
        <v>8.1378673626194438</v>
      </c>
      <c r="P26" s="1247">
        <f>IF('Mkt Pen Veh-Mi'!P26=0,1,1/((1-Fuel2ShrbyTech!P27)/'Inputs 7&amp;8 SU'!$P39+Fuel2ShrbyTech!P27/'Inputs 7&amp;8 SU'!$V39))</f>
        <v>8.5959051807146825</v>
      </c>
      <c r="Q26" s="1247">
        <f>IF('Mkt Pen Veh-Mi'!Q26=0,1,1/((1-Fuel2ShrbyTech!Q27)/'Inputs 7&amp;8 SU'!$Q39+Fuel2ShrbyTech!Q27/'Inputs 7&amp;8 SU'!$W39))</f>
        <v>9.2554843966218385</v>
      </c>
      <c r="R26" s="1247">
        <f>IF('Mkt Pen Veh-Mi'!R26=0,1,1/((1-Fuel2ShrbyTech!R27)/'Inputs 7&amp;8 SU'!$R39+Fuel2ShrbyTech!R27/'Inputs 7&amp;8 SU'!$X39))</f>
        <v>1</v>
      </c>
      <c r="S26" s="1248">
        <f>IF('Mkt Pen Veh-Mi'!S26=0,1,1/((1-Fuel2ShrbyTech!S27)/'Inputs 7&amp;8 SU'!$S39+Fuel2ShrbyTech!S27/'Inputs 7&amp;8 SU'!$Y39))</f>
        <v>1</v>
      </c>
      <c r="U26" s="1192">
        <f t="shared" si="13"/>
        <v>2024</v>
      </c>
      <c r="V26" s="1246">
        <f t="shared" si="14"/>
        <v>6.8995357521942369</v>
      </c>
      <c r="W26" s="1247">
        <f t="shared" si="15"/>
        <v>7.025378546928116</v>
      </c>
      <c r="X26" s="1247">
        <f t="shared" si="16"/>
        <v>7.5202152102068736</v>
      </c>
      <c r="Y26" s="1247">
        <f t="shared" si="17"/>
        <v>0</v>
      </c>
      <c r="Z26" s="1247">
        <f t="shared" si="18"/>
        <v>0</v>
      </c>
      <c r="AA26" s="1248">
        <f t="shared" si="19"/>
        <v>0</v>
      </c>
      <c r="AB26" s="1246">
        <f t="shared" si="20"/>
        <v>6.8935028575399588</v>
      </c>
      <c r="AC26" s="1247">
        <f t="shared" si="21"/>
        <v>7.4264535186122629</v>
      </c>
      <c r="AD26" s="1247">
        <f t="shared" si="22"/>
        <v>7.4461235189702206</v>
      </c>
      <c r="AE26" s="1247">
        <f t="shared" si="23"/>
        <v>0</v>
      </c>
      <c r="AF26" s="1247">
        <f t="shared" si="24"/>
        <v>0</v>
      </c>
      <c r="AG26" s="1248">
        <f t="shared" si="25"/>
        <v>0</v>
      </c>
      <c r="AH26" s="1246">
        <f t="shared" si="26"/>
        <v>7.5444330920738185</v>
      </c>
      <c r="AI26" s="1247">
        <f t="shared" si="27"/>
        <v>8.1378673626194438</v>
      </c>
      <c r="AJ26" s="1247">
        <f t="shared" si="28"/>
        <v>8.5959051807146825</v>
      </c>
      <c r="AK26" s="1247">
        <f t="shared" si="29"/>
        <v>9.2554843966218385</v>
      </c>
      <c r="AL26" s="1247">
        <f t="shared" si="30"/>
        <v>0</v>
      </c>
      <c r="AM26" s="1248">
        <f t="shared" si="31"/>
        <v>0</v>
      </c>
      <c r="AN26" s="1177">
        <v>2024</v>
      </c>
      <c r="AO26" s="1323">
        <f t="array" ref="AO26">1/SUMPRODUCT(IFERROR(1/V26:AA26,0),'Mkt Pen Veh-Mi'!B26:G26)</f>
        <v>6.9490515280744933</v>
      </c>
      <c r="AP26" s="1324">
        <f t="array" ref="AP26">1/SUMPRODUCT(IFERROR(1/AB26:AG26,0),'Mkt Pen Veh-Mi'!H26:M26)</f>
        <v>7.0552527535054184</v>
      </c>
      <c r="AQ26" s="1328">
        <f t="array" ref="AQ26">1/SUMPRODUCT(IFERROR(1/AH26:AM26,0),'Mkt Pen Veh-Mi'!N26:S26)</f>
        <v>7.666925762742042</v>
      </c>
      <c r="AR26" s="1321">
        <v>2024</v>
      </c>
      <c r="AS26" s="1323">
        <f t="shared" si="32"/>
        <v>1.0071766822665582</v>
      </c>
      <c r="AT26" s="1324">
        <f t="shared" si="33"/>
        <v>1.0234641080606126</v>
      </c>
      <c r="AU26" s="1324">
        <f t="shared" si="34"/>
        <v>1.0162361663458734</v>
      </c>
      <c r="AV26" s="1328">
        <v>1.0542395624100738</v>
      </c>
    </row>
    <row r="27" spans="1:48" s="1177" customFormat="1" ht="15" x14ac:dyDescent="0.2">
      <c r="A27" s="1198">
        <v>2025</v>
      </c>
      <c r="B27" s="1249">
        <f>IF('Mkt Pen Veh-Mi'!B27=0,1,1/((1-Fuel2ShrbyTech!B28)/'Inputs 7&amp;8 Sleep'!$N40+Fuel2ShrbyTech!B28/'Inputs 7&amp;8 Sleep'!$T40))</f>
        <v>7.0826454244148485</v>
      </c>
      <c r="C27" s="1250">
        <f>IF('Mkt Pen Veh-Mi'!C27=0,1,1/((1-Fuel2ShrbyTech!C28)/'Inputs 7&amp;8 Sleep'!$O40+Fuel2ShrbyTech!C28/'Inputs 7&amp;8 Sleep'!$U40))</f>
        <v>7.2315668237547417</v>
      </c>
      <c r="D27" s="1250">
        <f>IF('Mkt Pen Veh-Mi'!D27=0,1,1/((1-Fuel2ShrbyTech!D28)/'Inputs 7&amp;8 Sleep'!$P40+Fuel2ShrbyTech!D28/'Inputs 7&amp;8 Sleep'!$V40))</f>
        <v>7.7535225579123006</v>
      </c>
      <c r="E27" s="1250">
        <f>IF('Mkt Pen Veh-Mi'!E27=0,1,1/((1-Fuel2ShrbyTech!E28)/'Inputs 7&amp;8 Sleep'!$Q40+Fuel2ShrbyTech!E28/'Inputs 7&amp;8 Sleep'!$W40))</f>
        <v>1</v>
      </c>
      <c r="F27" s="1250">
        <f>IF('Mkt Pen Veh-Mi'!F27=0,1,1/((1-Fuel2ShrbyTech!F28)/'Inputs 7&amp;8 Sleep'!$R40+Fuel2ShrbyTech!F28/'Inputs 7&amp;8 Sleep'!$X40))</f>
        <v>1</v>
      </c>
      <c r="G27" s="1251">
        <f>IF('Mkt Pen Veh-Mi'!G27=0,1,1/((1-Fuel2ShrbyTech!G28)/'Inputs 7&amp;8 Sleep'!$S40+Fuel2ShrbyTech!G28/'Inputs 7&amp;8 Sleep'!$Y40))</f>
        <v>1</v>
      </c>
      <c r="H27" s="1249">
        <f>IF('Mkt Pen Veh-Mi'!H27=0,1,1/((1-Fuel2ShrbyTech!H28)/'Inputs 7&amp;8 Day'!$N40+Fuel2ShrbyTech!H28/'Inputs 7&amp;8 Day'!$T40))</f>
        <v>7.0085428042454856</v>
      </c>
      <c r="I27" s="1250">
        <f>IF('Mkt Pen Veh-Mi'!I27=0,1,1/((1-Fuel2ShrbyTech!I28)/'Inputs 7&amp;8 Day'!$O40+Fuel2ShrbyTech!I28/'Inputs 7&amp;8 Day'!$U40))</f>
        <v>7.6740426808692392</v>
      </c>
      <c r="J27" s="1250">
        <f>IF('Mkt Pen Veh-Mi'!J27=0,1,1/((1-Fuel2ShrbyTech!J28)/'Inputs 7&amp;8 Day'!$P40+Fuel2ShrbyTech!J28/'Inputs 7&amp;8 Day'!$V40))</f>
        <v>7.6987124926565631</v>
      </c>
      <c r="K27" s="1250">
        <f>IF('Mkt Pen Veh-Mi'!K27=0,1,1/((1-Fuel2ShrbyTech!K28)/'Inputs 7&amp;8 Day'!$Q40+Fuel2ShrbyTech!K28/'Inputs 7&amp;8 Day'!$W40))</f>
        <v>1</v>
      </c>
      <c r="L27" s="1250">
        <f>IF('Mkt Pen Veh-Mi'!L27=0,1,1/((1-Fuel2ShrbyTech!L28)/'Inputs 7&amp;8 Day'!$R40+Fuel2ShrbyTech!L28/'Inputs 7&amp;8 Day'!$X40))</f>
        <v>1</v>
      </c>
      <c r="M27" s="1251">
        <f>IF('Mkt Pen Veh-Mi'!M27=0,1,1/((1-Fuel2ShrbyTech!M28)/'Inputs 7&amp;8 Day'!$S40+Fuel2ShrbyTech!M28/'Inputs 7&amp;8 Day'!$Y40))</f>
        <v>1</v>
      </c>
      <c r="N27" s="1249">
        <f>IF('Mkt Pen Veh-Mi'!N27=0,1,1/((1-Fuel2ShrbyTech!N28)/'Inputs 7&amp;8 SU'!$N40+Fuel2ShrbyTech!N28/'Inputs 7&amp;8 SU'!$T40))</f>
        <v>7.6904954072333691</v>
      </c>
      <c r="O27" s="1250">
        <f>IF('Mkt Pen Veh-Mi'!O27=0,1,1/((1-Fuel2ShrbyTech!O28)/'Inputs 7&amp;8 SU'!$O40+Fuel2ShrbyTech!O28/'Inputs 7&amp;8 SU'!$U40))</f>
        <v>8.438014936260716</v>
      </c>
      <c r="P27" s="1250">
        <f>IF('Mkt Pen Veh-Mi'!P27=0,1,1/((1-Fuel2ShrbyTech!P28)/'Inputs 7&amp;8 SU'!$P40+Fuel2ShrbyTech!P28/'Inputs 7&amp;8 SU'!$V40))</f>
        <v>8.9187469265359489</v>
      </c>
      <c r="Q27" s="1250">
        <f>IF('Mkt Pen Veh-Mi'!Q27=0,1,1/((1-Fuel2ShrbyTech!Q28)/'Inputs 7&amp;8 SU'!$Q40+Fuel2ShrbyTech!Q28/'Inputs 7&amp;8 SU'!$W40))</f>
        <v>9.5952144109461681</v>
      </c>
      <c r="R27" s="1250">
        <f>IF('Mkt Pen Veh-Mi'!R27=0,1,1/((1-Fuel2ShrbyTech!R28)/'Inputs 7&amp;8 SU'!$R40+Fuel2ShrbyTech!R28/'Inputs 7&amp;8 SU'!$X40))</f>
        <v>1</v>
      </c>
      <c r="S27" s="1251">
        <f>IF('Mkt Pen Veh-Mi'!S27=0,1,1/((1-Fuel2ShrbyTech!S28)/'Inputs 7&amp;8 SU'!$S40+Fuel2ShrbyTech!S28/'Inputs 7&amp;8 SU'!$Y40))</f>
        <v>1</v>
      </c>
      <c r="U27" s="1198">
        <f t="shared" si="13"/>
        <v>2025</v>
      </c>
      <c r="V27" s="1249">
        <f t="shared" si="14"/>
        <v>7.0826454244148485</v>
      </c>
      <c r="W27" s="1250">
        <f t="shared" si="15"/>
        <v>7.2315668237547417</v>
      </c>
      <c r="X27" s="1250">
        <f t="shared" si="16"/>
        <v>7.7535225579123006</v>
      </c>
      <c r="Y27" s="1250">
        <f t="shared" si="17"/>
        <v>0</v>
      </c>
      <c r="Z27" s="1250">
        <f t="shared" si="18"/>
        <v>0</v>
      </c>
      <c r="AA27" s="1251">
        <f t="shared" si="19"/>
        <v>0</v>
      </c>
      <c r="AB27" s="1249">
        <f t="shared" si="20"/>
        <v>7.0085428042454856</v>
      </c>
      <c r="AC27" s="1250">
        <f t="shared" si="21"/>
        <v>7.6740426808692392</v>
      </c>
      <c r="AD27" s="1250">
        <f t="shared" si="22"/>
        <v>7.6987124926565631</v>
      </c>
      <c r="AE27" s="1250">
        <f t="shared" si="23"/>
        <v>0</v>
      </c>
      <c r="AF27" s="1250">
        <f t="shared" si="24"/>
        <v>0</v>
      </c>
      <c r="AG27" s="1251">
        <f t="shared" si="25"/>
        <v>0</v>
      </c>
      <c r="AH27" s="1249">
        <f t="shared" si="26"/>
        <v>7.6904954072333691</v>
      </c>
      <c r="AI27" s="1250">
        <f t="shared" si="27"/>
        <v>8.438014936260716</v>
      </c>
      <c r="AJ27" s="1250">
        <f t="shared" si="28"/>
        <v>8.9187469265359489</v>
      </c>
      <c r="AK27" s="1250">
        <f t="shared" si="29"/>
        <v>9.5952144109461681</v>
      </c>
      <c r="AL27" s="1250">
        <f t="shared" si="30"/>
        <v>0</v>
      </c>
      <c r="AM27" s="1251">
        <f t="shared" si="31"/>
        <v>0</v>
      </c>
      <c r="AN27" s="1177">
        <v>2025</v>
      </c>
      <c r="AO27" s="1323">
        <f t="array" ref="AO27">1/SUMPRODUCT(IFERROR(1/V27:AA27,0),'Mkt Pen Veh-Mi'!B27:G27)</f>
        <v>7.1918666026161278</v>
      </c>
      <c r="AP27" s="1324">
        <f t="array" ref="AP27">1/SUMPRODUCT(IFERROR(1/AB27:AG27,0),'Mkt Pen Veh-Mi'!H27:M27)</f>
        <v>7.2917614436750346</v>
      </c>
      <c r="AQ27" s="1328">
        <f t="array" ref="AQ27">1/SUMPRODUCT(IFERROR(1/AH27:AM27,0),'Mkt Pen Veh-Mi'!N27:S27)</f>
        <v>7.9008084613602794</v>
      </c>
      <c r="AR27" s="1321">
        <v>2025</v>
      </c>
      <c r="AS27" s="1323">
        <f t="shared" si="32"/>
        <v>1.0154209580822413</v>
      </c>
      <c r="AT27" s="1324">
        <f t="shared" si="33"/>
        <v>1.0404104886479379</v>
      </c>
      <c r="AU27" s="1324">
        <f t="shared" si="34"/>
        <v>1.0273471399422589</v>
      </c>
      <c r="AV27" s="1328">
        <v>1.0972655221641847</v>
      </c>
    </row>
    <row r="28" spans="1:48" s="1177" customFormat="1" ht="15" x14ac:dyDescent="0.2">
      <c r="A28" s="1192">
        <v>2026</v>
      </c>
      <c r="B28" s="1252">
        <f>IF('Mkt Pen Veh-Mi'!B28=0,1,1/((1-Fuel2ShrbyTech!B29)/'Inputs 7&amp;8 Sleep'!$N41+Fuel2ShrbyTech!B29/'Inputs 7&amp;8 Sleep'!$T41))</f>
        <v>7.294435606504738</v>
      </c>
      <c r="C28" s="1253">
        <f>IF('Mkt Pen Veh-Mi'!C28=0,1,1/((1-Fuel2ShrbyTech!C29)/'Inputs 7&amp;8 Sleep'!$O41+Fuel2ShrbyTech!C29/'Inputs 7&amp;8 Sleep'!$U41))</f>
        <v>7.3823127142585721</v>
      </c>
      <c r="D28" s="1253">
        <f>IF('Mkt Pen Veh-Mi'!D28=0,1,1/((1-Fuel2ShrbyTech!D29)/'Inputs 7&amp;8 Sleep'!$P41+Fuel2ShrbyTech!D29/'Inputs 7&amp;8 Sleep'!$V41))</f>
        <v>7.924095417010955</v>
      </c>
      <c r="E28" s="1253">
        <f>IF('Mkt Pen Veh-Mi'!E28=0,1,1/((1-Fuel2ShrbyTech!E29)/'Inputs 7&amp;8 Sleep'!$Q41+Fuel2ShrbyTech!E29/'Inputs 7&amp;8 Sleep'!$W41))</f>
        <v>1</v>
      </c>
      <c r="F28" s="1253">
        <f>IF('Mkt Pen Veh-Mi'!F28=0,1,1/((1-Fuel2ShrbyTech!F29)/'Inputs 7&amp;8 Sleep'!$R41+Fuel2ShrbyTech!F29/'Inputs 7&amp;8 Sleep'!$X41))</f>
        <v>1</v>
      </c>
      <c r="G28" s="1254">
        <f>IF('Mkt Pen Veh-Mi'!G28=0,1,1/((1-Fuel2ShrbyTech!G29)/'Inputs 7&amp;8 Sleep'!$S41+Fuel2ShrbyTech!G29/'Inputs 7&amp;8 Sleep'!$Y41))</f>
        <v>1</v>
      </c>
      <c r="H28" s="1252">
        <f>IF('Mkt Pen Veh-Mi'!H28=0,1,1/((1-Fuel2ShrbyTech!H29)/'Inputs 7&amp;8 Day'!$N41+Fuel2ShrbyTech!H29/'Inputs 7&amp;8 Day'!$T41))</f>
        <v>7.1518705692126217</v>
      </c>
      <c r="I28" s="1253">
        <f>IF('Mkt Pen Veh-Mi'!I28=0,1,1/((1-Fuel2ShrbyTech!I29)/'Inputs 7&amp;8 Day'!$O41+Fuel2ShrbyTech!I29/'Inputs 7&amp;8 Day'!$U41))</f>
        <v>7.9528406682628203</v>
      </c>
      <c r="J28" s="1253">
        <f>IF('Mkt Pen Veh-Mi'!J28=0,1,1/((1-Fuel2ShrbyTech!J29)/'Inputs 7&amp;8 Day'!$P41+Fuel2ShrbyTech!J29/'Inputs 7&amp;8 Day'!$V41))</f>
        <v>7.9826187386488376</v>
      </c>
      <c r="K28" s="1253">
        <f>IF('Mkt Pen Veh-Mi'!K28=0,1,1/((1-Fuel2ShrbyTech!K29)/'Inputs 7&amp;8 Day'!$Q41+Fuel2ShrbyTech!K29/'Inputs 7&amp;8 Day'!$W41))</f>
        <v>1</v>
      </c>
      <c r="L28" s="1253">
        <f>IF('Mkt Pen Veh-Mi'!L28=0,1,1/((1-Fuel2ShrbyTech!L29)/'Inputs 7&amp;8 Day'!$R41+Fuel2ShrbyTech!L29/'Inputs 7&amp;8 Day'!$X41))</f>
        <v>1</v>
      </c>
      <c r="M28" s="1254">
        <f>IF('Mkt Pen Veh-Mi'!M28=0,1,1/((1-Fuel2ShrbyTech!M29)/'Inputs 7&amp;8 Day'!$S41+Fuel2ShrbyTech!M29/'Inputs 7&amp;8 Day'!$Y41))</f>
        <v>1</v>
      </c>
      <c r="N28" s="1252">
        <f>IF('Mkt Pen Veh-Mi'!N28=0,1,1/((1-Fuel2ShrbyTech!N29)/'Inputs 7&amp;8 SU'!$N41+Fuel2ShrbyTech!N29/'Inputs 7&amp;8 SU'!$T41))</f>
        <v>7.8796174660298446</v>
      </c>
      <c r="O28" s="1253">
        <f>IF('Mkt Pen Veh-Mi'!O28=0,1,1/((1-Fuel2ShrbyTech!O29)/'Inputs 7&amp;8 SU'!$O41+Fuel2ShrbyTech!O29/'Inputs 7&amp;8 SU'!$U41))</f>
        <v>8.7883235625922929</v>
      </c>
      <c r="P28" s="1253">
        <f>IF('Mkt Pen Veh-Mi'!P28=0,1,1/((1-Fuel2ShrbyTech!P29)/'Inputs 7&amp;8 SU'!$P41+Fuel2ShrbyTech!P29/'Inputs 7&amp;8 SU'!$V41))</f>
        <v>9.2947241149660904</v>
      </c>
      <c r="Q28" s="1253">
        <f>IF('Mkt Pen Veh-Mi'!Q28=0,1,1/((1-Fuel2ShrbyTech!Q29)/'Inputs 7&amp;8 SU'!$Q41+Fuel2ShrbyTech!Q29/'Inputs 7&amp;8 SU'!$W41))</f>
        <v>9.9919516873462335</v>
      </c>
      <c r="R28" s="1253">
        <f>IF('Mkt Pen Veh-Mi'!R28=0,1,1/((1-Fuel2ShrbyTech!R29)/'Inputs 7&amp;8 SU'!$R41+Fuel2ShrbyTech!R29/'Inputs 7&amp;8 SU'!$X41))</f>
        <v>10.567937467867896</v>
      </c>
      <c r="S28" s="1254">
        <f>IF('Mkt Pen Veh-Mi'!S28=0,1,1/((1-Fuel2ShrbyTech!S29)/'Inputs 7&amp;8 SU'!$S41+Fuel2ShrbyTech!S29/'Inputs 7&amp;8 SU'!$Y41))</f>
        <v>1</v>
      </c>
      <c r="U28" s="1192">
        <f t="shared" si="13"/>
        <v>2026</v>
      </c>
      <c r="V28" s="1252">
        <f t="shared" si="14"/>
        <v>7.294435606504738</v>
      </c>
      <c r="W28" s="1253">
        <f t="shared" si="15"/>
        <v>7.3823127142585721</v>
      </c>
      <c r="X28" s="1253">
        <f t="shared" si="16"/>
        <v>7.924095417010955</v>
      </c>
      <c r="Y28" s="1253">
        <f t="shared" si="17"/>
        <v>0</v>
      </c>
      <c r="Z28" s="1253">
        <f t="shared" si="18"/>
        <v>0</v>
      </c>
      <c r="AA28" s="1254">
        <f t="shared" si="19"/>
        <v>0</v>
      </c>
      <c r="AB28" s="1252">
        <f t="shared" si="20"/>
        <v>7.1518705692126217</v>
      </c>
      <c r="AC28" s="1253">
        <f t="shared" si="21"/>
        <v>7.9528406682628203</v>
      </c>
      <c r="AD28" s="1253">
        <f t="shared" si="22"/>
        <v>7.9826187386488376</v>
      </c>
      <c r="AE28" s="1253">
        <f t="shared" si="23"/>
        <v>0</v>
      </c>
      <c r="AF28" s="1253">
        <f t="shared" si="24"/>
        <v>0</v>
      </c>
      <c r="AG28" s="1254">
        <f t="shared" si="25"/>
        <v>0</v>
      </c>
      <c r="AH28" s="1252">
        <f t="shared" si="26"/>
        <v>7.8796174660298446</v>
      </c>
      <c r="AI28" s="1253">
        <f t="shared" si="27"/>
        <v>8.7883235625922929</v>
      </c>
      <c r="AJ28" s="1253">
        <f t="shared" si="28"/>
        <v>9.2947241149660904</v>
      </c>
      <c r="AK28" s="1253">
        <f t="shared" si="29"/>
        <v>9.9919516873462335</v>
      </c>
      <c r="AL28" s="1253">
        <f t="shared" si="30"/>
        <v>10.567937467867896</v>
      </c>
      <c r="AM28" s="1254">
        <f t="shared" si="31"/>
        <v>0</v>
      </c>
      <c r="AN28" s="1177">
        <v>2026</v>
      </c>
      <c r="AO28" s="1323">
        <f t="array" ref="AO28">1/SUMPRODUCT(IFERROR(1/V28:AA28,0),'Mkt Pen Veh-Mi'!B28:G28)</f>
        <v>7.4182308267845931</v>
      </c>
      <c r="AP28" s="1324">
        <f t="array" ref="AP28">1/SUMPRODUCT(IFERROR(1/AB28:AG28,0),'Mkt Pen Veh-Mi'!H28:M28)</f>
        <v>7.6017532660426292</v>
      </c>
      <c r="AQ28" s="1328">
        <f t="array" ref="AQ28">1/SUMPRODUCT(IFERROR(1/AH28:AM28,0),'Mkt Pen Veh-Mi'!N28:S28)</f>
        <v>8.2594283794158105</v>
      </c>
      <c r="AR28" s="1321">
        <v>2026</v>
      </c>
      <c r="AS28" s="1323">
        <f t="shared" si="32"/>
        <v>1.0169711855663599</v>
      </c>
      <c r="AT28" s="1324">
        <f t="shared" si="33"/>
        <v>1.06290420002379</v>
      </c>
      <c r="AU28" s="1324">
        <f t="shared" si="34"/>
        <v>1.0482016944380086</v>
      </c>
      <c r="AV28" s="1328">
        <v>1.1088315108256861</v>
      </c>
    </row>
    <row r="29" spans="1:48" s="1177" customFormat="1" ht="15" x14ac:dyDescent="0.2">
      <c r="A29" s="1192">
        <v>2027</v>
      </c>
      <c r="B29" s="1246">
        <f>IF('Mkt Pen Veh-Mi'!B29=0,1,1/((1-Fuel2ShrbyTech!B30)/'Inputs 7&amp;8 Sleep'!$N42+Fuel2ShrbyTech!B30/'Inputs 7&amp;8 Sleep'!$T42))</f>
        <v>7.5037759176853553</v>
      </c>
      <c r="C29" s="1247">
        <f>IF('Mkt Pen Veh-Mi'!C29=0,1,1/((1-Fuel2ShrbyTech!C30)/'Inputs 7&amp;8 Sleep'!$O42+Fuel2ShrbyTech!C30/'Inputs 7&amp;8 Sleep'!$U42))</f>
        <v>7.548541609021707</v>
      </c>
      <c r="D29" s="1247">
        <f>IF('Mkt Pen Veh-Mi'!D29=0,1,1/((1-Fuel2ShrbyTech!D30)/'Inputs 7&amp;8 Sleep'!$P42+Fuel2ShrbyTech!D30/'Inputs 7&amp;8 Sleep'!$V42))</f>
        <v>8.1121876943512508</v>
      </c>
      <c r="E29" s="1247">
        <f>IF('Mkt Pen Veh-Mi'!E29=0,1,1/((1-Fuel2ShrbyTech!E30)/'Inputs 7&amp;8 Sleep'!$Q42+Fuel2ShrbyTech!E30/'Inputs 7&amp;8 Sleep'!$W42))</f>
        <v>1</v>
      </c>
      <c r="F29" s="1247">
        <f>IF('Mkt Pen Veh-Mi'!F29=0,1,1/((1-Fuel2ShrbyTech!F30)/'Inputs 7&amp;8 Sleep'!$R42+Fuel2ShrbyTech!F30/'Inputs 7&amp;8 Sleep'!$X42))</f>
        <v>1</v>
      </c>
      <c r="G29" s="1248">
        <f>IF('Mkt Pen Veh-Mi'!G29=0,1,1/((1-Fuel2ShrbyTech!G30)/'Inputs 7&amp;8 Sleep'!$S42+Fuel2ShrbyTech!G30/'Inputs 7&amp;8 Sleep'!$Y42))</f>
        <v>1</v>
      </c>
      <c r="H29" s="1246">
        <f>IF('Mkt Pen Veh-Mi'!H29=0,1,1/((1-Fuel2ShrbyTech!H30)/'Inputs 7&amp;8 Day'!$N42+Fuel2ShrbyTech!H30/'Inputs 7&amp;8 Day'!$T42))</f>
        <v>7.285737346405269</v>
      </c>
      <c r="I29" s="1247">
        <f>IF('Mkt Pen Veh-Mi'!I29=0,1,1/((1-Fuel2ShrbyTech!I30)/'Inputs 7&amp;8 Day'!$O42+Fuel2ShrbyTech!I30/'Inputs 7&amp;8 Day'!$U42))</f>
        <v>8.2216592425265489</v>
      </c>
      <c r="J29" s="1247">
        <f>IF('Mkt Pen Veh-Mi'!J29=0,1,1/((1-Fuel2ShrbyTech!J30)/'Inputs 7&amp;8 Day'!$P42+Fuel2ShrbyTech!J30/'Inputs 7&amp;8 Day'!$V42))</f>
        <v>8.2565266231786616</v>
      </c>
      <c r="K29" s="1247">
        <f>IF('Mkt Pen Veh-Mi'!K29=0,1,1/((1-Fuel2ShrbyTech!K30)/'Inputs 7&amp;8 Day'!$Q42+Fuel2ShrbyTech!K30/'Inputs 7&amp;8 Day'!$W42))</f>
        <v>1</v>
      </c>
      <c r="L29" s="1247">
        <f>IF('Mkt Pen Veh-Mi'!L29=0,1,1/((1-Fuel2ShrbyTech!L30)/'Inputs 7&amp;8 Day'!$R42+Fuel2ShrbyTech!L30/'Inputs 7&amp;8 Day'!$X42))</f>
        <v>1</v>
      </c>
      <c r="M29" s="1248">
        <f>IF('Mkt Pen Veh-Mi'!M29=0,1,1/((1-Fuel2ShrbyTech!M30)/'Inputs 7&amp;8 Day'!$S42+Fuel2ShrbyTech!M30/'Inputs 7&amp;8 Day'!$Y42))</f>
        <v>1</v>
      </c>
      <c r="N29" s="1246">
        <f>IF('Mkt Pen Veh-Mi'!N29=0,1,1/((1-Fuel2ShrbyTech!N30)/'Inputs 7&amp;8 SU'!$N42+Fuel2ShrbyTech!N30/'Inputs 7&amp;8 SU'!$T42))</f>
        <v>8.0838815874836101</v>
      </c>
      <c r="O29" s="1247">
        <f>IF('Mkt Pen Veh-Mi'!O29=0,1,1/((1-Fuel2ShrbyTech!O30)/'Inputs 7&amp;8 SU'!$O42+Fuel2ShrbyTech!O30/'Inputs 7&amp;8 SU'!$U42))</f>
        <v>9.1593786749555619</v>
      </c>
      <c r="P29" s="1247">
        <f>IF('Mkt Pen Veh-Mi'!P29=0,1,1/((1-Fuel2ShrbyTech!P30)/'Inputs 7&amp;8 SU'!$P42+Fuel2ShrbyTech!P30/'Inputs 7&amp;8 SU'!$V42))</f>
        <v>9.6927950245681878</v>
      </c>
      <c r="Q29" s="1247">
        <f>IF('Mkt Pen Veh-Mi'!Q29=0,1,1/((1-Fuel2ShrbyTech!Q30)/'Inputs 7&amp;8 SU'!$Q42+Fuel2ShrbyTech!Q30/'Inputs 7&amp;8 SU'!$W42))</f>
        <v>10.412233966282747</v>
      </c>
      <c r="R29" s="1247">
        <f>IF('Mkt Pen Veh-Mi'!R29=0,1,1/((1-Fuel2ShrbyTech!R30)/'Inputs 7&amp;8 SU'!$R42+Fuel2ShrbyTech!R30/'Inputs 7&amp;8 SU'!$X42))</f>
        <v>11.191734509578923</v>
      </c>
      <c r="S29" s="1248">
        <f>IF('Mkt Pen Veh-Mi'!S29=0,1,1/((1-Fuel2ShrbyTech!S30)/'Inputs 7&amp;8 SU'!$S42+Fuel2ShrbyTech!S30/'Inputs 7&amp;8 SU'!$Y42))</f>
        <v>1</v>
      </c>
      <c r="U29" s="1192">
        <f t="shared" si="13"/>
        <v>2027</v>
      </c>
      <c r="V29" s="1246">
        <f t="shared" si="14"/>
        <v>7.5037759176853553</v>
      </c>
      <c r="W29" s="1247">
        <f t="shared" si="15"/>
        <v>7.548541609021707</v>
      </c>
      <c r="X29" s="1247">
        <f t="shared" si="16"/>
        <v>8.1121876943512508</v>
      </c>
      <c r="Y29" s="1247">
        <f t="shared" si="17"/>
        <v>0</v>
      </c>
      <c r="Z29" s="1247">
        <f t="shared" si="18"/>
        <v>0</v>
      </c>
      <c r="AA29" s="1248">
        <f t="shared" si="19"/>
        <v>0</v>
      </c>
      <c r="AB29" s="1246">
        <f t="shared" si="20"/>
        <v>7.285737346405269</v>
      </c>
      <c r="AC29" s="1247">
        <f t="shared" si="21"/>
        <v>8.2216592425265489</v>
      </c>
      <c r="AD29" s="1247">
        <f t="shared" si="22"/>
        <v>8.2565266231786616</v>
      </c>
      <c r="AE29" s="1247">
        <f t="shared" si="23"/>
        <v>0</v>
      </c>
      <c r="AF29" s="1247">
        <f t="shared" si="24"/>
        <v>0</v>
      </c>
      <c r="AG29" s="1248">
        <f t="shared" si="25"/>
        <v>0</v>
      </c>
      <c r="AH29" s="1246">
        <f t="shared" si="26"/>
        <v>8.0838815874836101</v>
      </c>
      <c r="AI29" s="1247">
        <f t="shared" si="27"/>
        <v>9.1593786749555619</v>
      </c>
      <c r="AJ29" s="1247">
        <f t="shared" si="28"/>
        <v>9.6927950245681878</v>
      </c>
      <c r="AK29" s="1247">
        <f t="shared" si="29"/>
        <v>10.412233966282747</v>
      </c>
      <c r="AL29" s="1247">
        <f t="shared" si="30"/>
        <v>11.191734509578923</v>
      </c>
      <c r="AM29" s="1248">
        <f t="shared" si="31"/>
        <v>0</v>
      </c>
      <c r="AN29" s="1177">
        <v>2027</v>
      </c>
      <c r="AO29" s="1323">
        <f t="array" ref="AO29">1/SUMPRODUCT(IFERROR(1/V29:AA29,0),'Mkt Pen Veh-Mi'!B29:G29)</f>
        <v>7.627460494779541</v>
      </c>
      <c r="AP29" s="1324">
        <f t="array" ref="AP29">1/SUMPRODUCT(IFERROR(1/AB29:AG29,0),'Mkt Pen Veh-Mi'!H29:M29)</f>
        <v>7.8845573880592523</v>
      </c>
      <c r="AQ29" s="1328">
        <f t="array" ref="AQ29">1/SUMPRODUCT(IFERROR(1/AH29:AM29,0),'Mkt Pen Veh-Mi'!N29:S29)</f>
        <v>8.62542733421426</v>
      </c>
      <c r="AR29" s="1321">
        <v>2027</v>
      </c>
      <c r="AS29" s="1323">
        <f t="shared" si="32"/>
        <v>1.0164829784965563</v>
      </c>
      <c r="AT29" s="1324">
        <f t="shared" si="33"/>
        <v>1.0821907259598695</v>
      </c>
      <c r="AU29" s="1324">
        <f t="shared" si="34"/>
        <v>1.0669908064424314</v>
      </c>
      <c r="AV29" s="1328">
        <v>1.1157356459109145</v>
      </c>
    </row>
    <row r="30" spans="1:48" s="1177" customFormat="1" ht="15" x14ac:dyDescent="0.2">
      <c r="A30" s="1192">
        <v>2028</v>
      </c>
      <c r="B30" s="1246">
        <f>IF('Mkt Pen Veh-Mi'!B30=0,1,1/((1-Fuel2ShrbyTech!B31)/'Inputs 7&amp;8 Sleep'!$N43+Fuel2ShrbyTech!B31/'Inputs 7&amp;8 Sleep'!$T43))</f>
        <v>7.6179189540571537</v>
      </c>
      <c r="C30" s="1247">
        <f>IF('Mkt Pen Veh-Mi'!C30=0,1,1/((1-Fuel2ShrbyTech!C31)/'Inputs 7&amp;8 Sleep'!$O43+Fuel2ShrbyTech!C31/'Inputs 7&amp;8 Sleep'!$U43))</f>
        <v>7.6973841760217185</v>
      </c>
      <c r="D30" s="1247">
        <f>IF('Mkt Pen Veh-Mi'!D30=0,1,1/((1-Fuel2ShrbyTech!D31)/'Inputs 7&amp;8 Sleep'!$P43+Fuel2ShrbyTech!D31/'Inputs 7&amp;8 Sleep'!$V43))</f>
        <v>8.2884736204744751</v>
      </c>
      <c r="E30" s="1247">
        <f>IF('Mkt Pen Veh-Mi'!E30=0,1,1/((1-Fuel2ShrbyTech!E31)/'Inputs 7&amp;8 Sleep'!$Q43+Fuel2ShrbyTech!E31/'Inputs 7&amp;8 Sleep'!$W43))</f>
        <v>1</v>
      </c>
      <c r="F30" s="1247">
        <f>IF('Mkt Pen Veh-Mi'!F30=0,1,1/((1-Fuel2ShrbyTech!F31)/'Inputs 7&amp;8 Sleep'!$R43+Fuel2ShrbyTech!F31/'Inputs 7&amp;8 Sleep'!$X43))</f>
        <v>1</v>
      </c>
      <c r="G30" s="1248">
        <f>IF('Mkt Pen Veh-Mi'!G30=0,1,1/((1-Fuel2ShrbyTech!G31)/'Inputs 7&amp;8 Sleep'!$S43+Fuel2ShrbyTech!G31/'Inputs 7&amp;8 Sleep'!$Y43))</f>
        <v>1</v>
      </c>
      <c r="H30" s="1246">
        <f>IF('Mkt Pen Veh-Mi'!H30=0,1,1/((1-Fuel2ShrbyTech!H31)/'Inputs 7&amp;8 Day'!$N43+Fuel2ShrbyTech!H31/'Inputs 7&amp;8 Day'!$T43))</f>
        <v>7.3498347364013634</v>
      </c>
      <c r="I30" s="1247">
        <f>IF('Mkt Pen Veh-Mi'!I30=0,1,1/((1-Fuel2ShrbyTech!I31)/'Inputs 7&amp;8 Day'!$O43+Fuel2ShrbyTech!I31/'Inputs 7&amp;8 Day'!$U43))</f>
        <v>8.4109962645064513</v>
      </c>
      <c r="J30" s="1247">
        <f>IF('Mkt Pen Veh-Mi'!J30=0,1,1/((1-Fuel2ShrbyTech!J31)/'Inputs 7&amp;8 Day'!$P43+Fuel2ShrbyTech!J31/'Inputs 7&amp;8 Day'!$V43))</f>
        <v>8.4505907397396012</v>
      </c>
      <c r="K30" s="1247">
        <f>IF('Mkt Pen Veh-Mi'!K30=0,1,1/((1-Fuel2ShrbyTech!K31)/'Inputs 7&amp;8 Day'!$Q43+Fuel2ShrbyTech!K31/'Inputs 7&amp;8 Day'!$W43))</f>
        <v>1</v>
      </c>
      <c r="L30" s="1247">
        <f>IF('Mkt Pen Veh-Mi'!L30=0,1,1/((1-Fuel2ShrbyTech!L31)/'Inputs 7&amp;8 Day'!$R43+Fuel2ShrbyTech!L31/'Inputs 7&amp;8 Day'!$X43))</f>
        <v>1</v>
      </c>
      <c r="M30" s="1248">
        <f>IF('Mkt Pen Veh-Mi'!M30=0,1,1/((1-Fuel2ShrbyTech!M31)/'Inputs 7&amp;8 Day'!$S43+Fuel2ShrbyTech!M31/'Inputs 7&amp;8 Day'!$Y43))</f>
        <v>1</v>
      </c>
      <c r="N30" s="1246">
        <f>IF('Mkt Pen Veh-Mi'!N30=0,1,1/((1-Fuel2ShrbyTech!N31)/'Inputs 7&amp;8 SU'!$N43+Fuel2ShrbyTech!N31/'Inputs 7&amp;8 SU'!$T43))</f>
        <v>8.1579983898762283</v>
      </c>
      <c r="O30" s="1247">
        <f>IF('Mkt Pen Veh-Mi'!O30=0,1,1/((1-Fuel2ShrbyTech!O31)/'Inputs 7&amp;8 SU'!$O43+Fuel2ShrbyTech!O31/'Inputs 7&amp;8 SU'!$U43))</f>
        <v>9.3847120142735569</v>
      </c>
      <c r="P30" s="1247">
        <f>IF('Mkt Pen Veh-Mi'!P30=0,1,1/((1-Fuel2ShrbyTech!P31)/'Inputs 7&amp;8 SU'!$P43+Fuel2ShrbyTech!P31/'Inputs 7&amp;8 SU'!$V43))</f>
        <v>9.9367251422608067</v>
      </c>
      <c r="Q30" s="1247">
        <f>IF('Mkt Pen Veh-Mi'!Q30=0,1,1/((1-Fuel2ShrbyTech!Q31)/'Inputs 7&amp;8 SU'!$Q43+Fuel2ShrbyTech!Q31/'Inputs 7&amp;8 SU'!$W43))</f>
        <v>10.666843043707351</v>
      </c>
      <c r="R30" s="1247">
        <f>IF('Mkt Pen Veh-Mi'!R30=0,1,1/((1-Fuel2ShrbyTech!R31)/'Inputs 7&amp;8 SU'!$R43+Fuel2ShrbyTech!R31/'Inputs 7&amp;8 SU'!$X43))</f>
        <v>11.749467542371907</v>
      </c>
      <c r="S30" s="1248">
        <f>IF('Mkt Pen Veh-Mi'!S30=0,1,1/((1-Fuel2ShrbyTech!S31)/'Inputs 7&amp;8 SU'!$S43+Fuel2ShrbyTech!S31/'Inputs 7&amp;8 SU'!$Y43))</f>
        <v>1</v>
      </c>
      <c r="U30" s="1192">
        <f t="shared" si="13"/>
        <v>2028</v>
      </c>
      <c r="V30" s="1246">
        <f t="shared" si="14"/>
        <v>7.6179189540571537</v>
      </c>
      <c r="W30" s="1247">
        <f t="shared" si="15"/>
        <v>7.6973841760217185</v>
      </c>
      <c r="X30" s="1247">
        <f t="shared" si="16"/>
        <v>8.2884736204744751</v>
      </c>
      <c r="Y30" s="1247">
        <f t="shared" si="17"/>
        <v>0</v>
      </c>
      <c r="Z30" s="1247">
        <f t="shared" si="18"/>
        <v>0</v>
      </c>
      <c r="AA30" s="1248">
        <f t="shared" si="19"/>
        <v>0</v>
      </c>
      <c r="AB30" s="1246">
        <f t="shared" si="20"/>
        <v>7.3498347364013634</v>
      </c>
      <c r="AC30" s="1247">
        <f t="shared" si="21"/>
        <v>8.4109962645064513</v>
      </c>
      <c r="AD30" s="1247">
        <f t="shared" si="22"/>
        <v>8.4505907397396012</v>
      </c>
      <c r="AE30" s="1247">
        <f t="shared" si="23"/>
        <v>0</v>
      </c>
      <c r="AF30" s="1247">
        <f t="shared" si="24"/>
        <v>0</v>
      </c>
      <c r="AG30" s="1248">
        <f t="shared" si="25"/>
        <v>0</v>
      </c>
      <c r="AH30" s="1246">
        <f t="shared" si="26"/>
        <v>8.1579983898762283</v>
      </c>
      <c r="AI30" s="1247">
        <f t="shared" si="27"/>
        <v>9.3847120142735569</v>
      </c>
      <c r="AJ30" s="1247">
        <f t="shared" si="28"/>
        <v>9.9367251422608067</v>
      </c>
      <c r="AK30" s="1247">
        <f t="shared" si="29"/>
        <v>10.666843043707351</v>
      </c>
      <c r="AL30" s="1247">
        <f t="shared" si="30"/>
        <v>11.749467542371907</v>
      </c>
      <c r="AM30" s="1248">
        <f t="shared" si="31"/>
        <v>0</v>
      </c>
      <c r="AN30" s="1177">
        <v>2028</v>
      </c>
      <c r="AO30" s="1323">
        <f t="array" ref="AO30">1/SUMPRODUCT(IFERROR(1/V30:AA30,0),'Mkt Pen Veh-Mi'!B30:G30)</f>
        <v>7.7849132625318669</v>
      </c>
      <c r="AP30" s="1324">
        <f t="array" ref="AP30">1/SUMPRODUCT(IFERROR(1/AB30:AG30,0),'Mkt Pen Veh-Mi'!H30:M30)</f>
        <v>8.0884351442820552</v>
      </c>
      <c r="AQ30" s="1328">
        <f t="array" ref="AQ30">1/SUMPRODUCT(IFERROR(1/AH30:AM30,0),'Mkt Pen Veh-Mi'!N30:S30)</f>
        <v>8.8428258912891362</v>
      </c>
      <c r="AR30" s="1321">
        <v>2028</v>
      </c>
      <c r="AS30" s="1323">
        <f t="shared" si="32"/>
        <v>1.0219212503417059</v>
      </c>
      <c r="AT30" s="1324">
        <f t="shared" si="33"/>
        <v>1.1004921109617121</v>
      </c>
      <c r="AU30" s="1324">
        <f t="shared" si="34"/>
        <v>1.0839455303475853</v>
      </c>
      <c r="AV30" s="1328">
        <v>1.128298781955815</v>
      </c>
    </row>
    <row r="31" spans="1:48" s="1177" customFormat="1" ht="15" x14ac:dyDescent="0.2">
      <c r="A31" s="1192">
        <v>2029</v>
      </c>
      <c r="B31" s="1246">
        <f>IF('Mkt Pen Veh-Mi'!B31=0,1,1/((1-Fuel2ShrbyTech!B32)/'Inputs 7&amp;8 Sleep'!$N44+Fuel2ShrbyTech!B32/'Inputs 7&amp;8 Sleep'!$T44))</f>
        <v>7.7555629328580205</v>
      </c>
      <c r="C31" s="1247">
        <f>IF('Mkt Pen Veh-Mi'!C31=0,1,1/((1-Fuel2ShrbyTech!C32)/'Inputs 7&amp;8 Sleep'!$O44+Fuel2ShrbyTech!C32/'Inputs 7&amp;8 Sleep'!$U44))</f>
        <v>7.8101934152198593</v>
      </c>
      <c r="D31" s="1247">
        <f>IF('Mkt Pen Veh-Mi'!D31=0,1,1/((1-Fuel2ShrbyTech!D32)/'Inputs 7&amp;8 Sleep'!$P44+Fuel2ShrbyTech!D32/'Inputs 7&amp;8 Sleep'!$V44))</f>
        <v>8.4220824503147877</v>
      </c>
      <c r="E31" s="1247">
        <f>IF('Mkt Pen Veh-Mi'!E31=0,1,1/((1-Fuel2ShrbyTech!E32)/'Inputs 7&amp;8 Sleep'!$Q44+Fuel2ShrbyTech!E32/'Inputs 7&amp;8 Sleep'!$W44))</f>
        <v>1</v>
      </c>
      <c r="F31" s="1247">
        <f>IF('Mkt Pen Veh-Mi'!F31=0,1,1/((1-Fuel2ShrbyTech!F32)/'Inputs 7&amp;8 Sleep'!$R44+Fuel2ShrbyTech!F32/'Inputs 7&amp;8 Sleep'!$X44))</f>
        <v>1</v>
      </c>
      <c r="G31" s="1248">
        <f>IF('Mkt Pen Veh-Mi'!G31=0,1,1/((1-Fuel2ShrbyTech!G32)/'Inputs 7&amp;8 Sleep'!$S44+Fuel2ShrbyTech!G32/'Inputs 7&amp;8 Sleep'!$Y44))</f>
        <v>1</v>
      </c>
      <c r="H31" s="1246">
        <f>IF('Mkt Pen Veh-Mi'!H31=0,1,1/((1-Fuel2ShrbyTech!H32)/'Inputs 7&amp;8 Day'!$N44+Fuel2ShrbyTech!H32/'Inputs 7&amp;8 Day'!$T44))</f>
        <v>7.4265021351464533</v>
      </c>
      <c r="I31" s="1247">
        <f>IF('Mkt Pen Veh-Mi'!I31=0,1,1/((1-Fuel2ShrbyTech!I32)/'Inputs 7&amp;8 Day'!$O44+Fuel2ShrbyTech!I32/'Inputs 7&amp;8 Day'!$U44))</f>
        <v>8.6131061487827569</v>
      </c>
      <c r="J31" s="1247">
        <f>IF('Mkt Pen Veh-Mi'!J31=0,1,1/((1-Fuel2ShrbyTech!J32)/'Inputs 7&amp;8 Day'!$P44+Fuel2ShrbyTech!J32/'Inputs 7&amp;8 Day'!$V44))</f>
        <v>8.657434535593751</v>
      </c>
      <c r="K31" s="1247">
        <f>IF('Mkt Pen Veh-Mi'!K31=0,1,1/((1-Fuel2ShrbyTech!K32)/'Inputs 7&amp;8 Day'!$Q44+Fuel2ShrbyTech!K32/'Inputs 7&amp;8 Day'!$W44))</f>
        <v>1</v>
      </c>
      <c r="L31" s="1247">
        <f>IF('Mkt Pen Veh-Mi'!L31=0,1,1/((1-Fuel2ShrbyTech!L32)/'Inputs 7&amp;8 Day'!$R44+Fuel2ShrbyTech!L32/'Inputs 7&amp;8 Day'!$X44))</f>
        <v>1</v>
      </c>
      <c r="M31" s="1248">
        <f>IF('Mkt Pen Veh-Mi'!M31=0,1,1/((1-Fuel2ShrbyTech!M32)/'Inputs 7&amp;8 Day'!$S44+Fuel2ShrbyTech!M32/'Inputs 7&amp;8 Day'!$Y44))</f>
        <v>1</v>
      </c>
      <c r="N31" s="1246">
        <f>IF('Mkt Pen Veh-Mi'!N31=0,1,1/((1-Fuel2ShrbyTech!N32)/'Inputs 7&amp;8 SU'!$N44+Fuel2ShrbyTech!N32/'Inputs 7&amp;8 SU'!$T44))</f>
        <v>8.3204018705413638</v>
      </c>
      <c r="O31" s="1247">
        <f>IF('Mkt Pen Veh-Mi'!O31=0,1,1/((1-Fuel2ShrbyTech!O32)/'Inputs 7&amp;8 SU'!$O44+Fuel2ShrbyTech!O32/'Inputs 7&amp;8 SU'!$U44))</f>
        <v>9.7125571365681882</v>
      </c>
      <c r="P31" s="1247">
        <f>IF('Mkt Pen Veh-Mi'!P31=0,1,1/((1-Fuel2ShrbyTech!P32)/'Inputs 7&amp;8 SU'!$P44+Fuel2ShrbyTech!P32/'Inputs 7&amp;8 SU'!$V44))</f>
        <v>10.289233048717541</v>
      </c>
      <c r="Q31" s="1247">
        <f>IF('Mkt Pen Veh-Mi'!Q31=0,1,1/((1-Fuel2ShrbyTech!Q32)/'Inputs 7&amp;8 SU'!$Q44+Fuel2ShrbyTech!Q32/'Inputs 7&amp;8 SU'!$W44))</f>
        <v>11.037958743380047</v>
      </c>
      <c r="R31" s="1247">
        <f>IF('Mkt Pen Veh-Mi'!R31=0,1,1/((1-Fuel2ShrbyTech!R32)/'Inputs 7&amp;8 SU'!$R44+Fuel2ShrbyTech!R32/'Inputs 7&amp;8 SU'!$X44))</f>
        <v>12.462489299703211</v>
      </c>
      <c r="S31" s="1248">
        <f>IF('Mkt Pen Veh-Mi'!S31=0,1,1/((1-Fuel2ShrbyTech!S32)/'Inputs 7&amp;8 SU'!$S44+Fuel2ShrbyTech!S32/'Inputs 7&amp;8 SU'!$Y44))</f>
        <v>1</v>
      </c>
      <c r="U31" s="1192">
        <f t="shared" si="13"/>
        <v>2029</v>
      </c>
      <c r="V31" s="1246">
        <f t="shared" si="14"/>
        <v>7.7555629328580205</v>
      </c>
      <c r="W31" s="1247">
        <f t="shared" si="15"/>
        <v>7.8101934152198593</v>
      </c>
      <c r="X31" s="1247">
        <f t="shared" si="16"/>
        <v>8.4220824503147877</v>
      </c>
      <c r="Y31" s="1247">
        <f t="shared" si="17"/>
        <v>0</v>
      </c>
      <c r="Z31" s="1247">
        <f t="shared" si="18"/>
        <v>0</v>
      </c>
      <c r="AA31" s="1248">
        <f t="shared" si="19"/>
        <v>0</v>
      </c>
      <c r="AB31" s="1246">
        <f t="shared" si="20"/>
        <v>7.4265021351464533</v>
      </c>
      <c r="AC31" s="1247">
        <f t="shared" si="21"/>
        <v>8.6131061487827569</v>
      </c>
      <c r="AD31" s="1247">
        <f t="shared" si="22"/>
        <v>8.657434535593751</v>
      </c>
      <c r="AE31" s="1247">
        <f t="shared" si="23"/>
        <v>0</v>
      </c>
      <c r="AF31" s="1247">
        <f t="shared" si="24"/>
        <v>0</v>
      </c>
      <c r="AG31" s="1248">
        <f t="shared" si="25"/>
        <v>0</v>
      </c>
      <c r="AH31" s="1246">
        <f t="shared" si="26"/>
        <v>8.3204018705413638</v>
      </c>
      <c r="AI31" s="1247">
        <f t="shared" si="27"/>
        <v>9.7125571365681882</v>
      </c>
      <c r="AJ31" s="1247">
        <f t="shared" si="28"/>
        <v>10.289233048717541</v>
      </c>
      <c r="AK31" s="1247">
        <f t="shared" si="29"/>
        <v>11.037958743380047</v>
      </c>
      <c r="AL31" s="1247">
        <f t="shared" si="30"/>
        <v>12.462489299703211</v>
      </c>
      <c r="AM31" s="1248">
        <f t="shared" si="31"/>
        <v>0</v>
      </c>
      <c r="AN31" s="1177">
        <v>2029</v>
      </c>
      <c r="AO31" s="1323">
        <f t="array" ref="AO31">1/SUMPRODUCT(IFERROR(1/V31:AA31,0),'Mkt Pen Veh-Mi'!B31:G31)</f>
        <v>7.9097339683000989</v>
      </c>
      <c r="AP31" s="1324">
        <f t="array" ref="AP31">1/SUMPRODUCT(IFERROR(1/AB31:AG31,0),'Mkt Pen Veh-Mi'!H31:M31)</f>
        <v>8.2829353500228589</v>
      </c>
      <c r="AQ31" s="1328">
        <f t="array" ref="AQ31">1/SUMPRODUCT(IFERROR(1/AH31:AM31,0),'Mkt Pen Veh-Mi'!N31:S31)</f>
        <v>9.1168174773956192</v>
      </c>
      <c r="AR31" s="1321">
        <v>2029</v>
      </c>
      <c r="AS31" s="1323">
        <f t="shared" si="32"/>
        <v>1.0198787678956096</v>
      </c>
      <c r="AT31" s="1324">
        <f t="shared" si="33"/>
        <v>1.1153212103479071</v>
      </c>
      <c r="AU31" s="1324">
        <f t="shared" si="34"/>
        <v>1.0957184063036653</v>
      </c>
      <c r="AV31" s="1328">
        <v>1.1453205018890817</v>
      </c>
    </row>
    <row r="32" spans="1:48" s="1177" customFormat="1" ht="15" x14ac:dyDescent="0.2">
      <c r="A32" s="1198">
        <v>2030</v>
      </c>
      <c r="B32" s="1249">
        <f>IF('Mkt Pen Veh-Mi'!B32=0,1,1/((1-Fuel2ShrbyTech!B33)/'Inputs 7&amp;8 Sleep'!$N45+Fuel2ShrbyTech!B33/'Inputs 7&amp;8 Sleep'!$T45))</f>
        <v>7.8652683559393761</v>
      </c>
      <c r="C32" s="1250">
        <f>IF('Mkt Pen Veh-Mi'!C32=0,1,1/((1-Fuel2ShrbyTech!C33)/'Inputs 7&amp;8 Sleep'!$O45+Fuel2ShrbyTech!C33/'Inputs 7&amp;8 Sleep'!$U45))</f>
        <v>7.9387092750945323</v>
      </c>
      <c r="D32" s="1250">
        <f>IF('Mkt Pen Veh-Mi'!D32=0,1,1/((1-Fuel2ShrbyTech!D33)/'Inputs 7&amp;8 Sleep'!$P45+Fuel2ShrbyTech!D33/'Inputs 7&amp;8 Sleep'!$V45))</f>
        <v>8.5742938629245078</v>
      </c>
      <c r="E32" s="1250">
        <f>IF('Mkt Pen Veh-Mi'!E32=0,1,1/((1-Fuel2ShrbyTech!E33)/'Inputs 7&amp;8 Sleep'!$Q45+Fuel2ShrbyTech!E33/'Inputs 7&amp;8 Sleep'!$W45))</f>
        <v>1</v>
      </c>
      <c r="F32" s="1250">
        <f>IF('Mkt Pen Veh-Mi'!F32=0,1,1/((1-Fuel2ShrbyTech!F33)/'Inputs 7&amp;8 Sleep'!$R45+Fuel2ShrbyTech!F33/'Inputs 7&amp;8 Sleep'!$X45))</f>
        <v>1</v>
      </c>
      <c r="G32" s="1251">
        <f>IF('Mkt Pen Veh-Mi'!G32=0,1,1/((1-Fuel2ShrbyTech!G33)/'Inputs 7&amp;8 Sleep'!$S45+Fuel2ShrbyTech!G33/'Inputs 7&amp;8 Sleep'!$Y45))</f>
        <v>1</v>
      </c>
      <c r="H32" s="1249">
        <f>IF('Mkt Pen Veh-Mi'!H32=0,1,1/((1-Fuel2ShrbyTech!H33)/'Inputs 7&amp;8 Day'!$N45+Fuel2ShrbyTech!H33/'Inputs 7&amp;8 Day'!$T45))</f>
        <v>7.4306901675713188</v>
      </c>
      <c r="I32" s="1250">
        <f>IF('Mkt Pen Veh-Mi'!I32=0,1,1/((1-Fuel2ShrbyTech!I33)/'Inputs 7&amp;8 Day'!$O45+Fuel2ShrbyTech!I33/'Inputs 7&amp;8 Day'!$U45))</f>
        <v>8.7287315275043209</v>
      </c>
      <c r="J32" s="1250">
        <f>IF('Mkt Pen Veh-Mi'!J32=0,1,1/((1-Fuel2ShrbyTech!J33)/'Inputs 7&amp;8 Day'!$P45+Fuel2ShrbyTech!J33/'Inputs 7&amp;8 Day'!$V45))</f>
        <v>8.7772696090206512</v>
      </c>
      <c r="K32" s="1250">
        <f>IF('Mkt Pen Veh-Mi'!K32=0,1,1/((1-Fuel2ShrbyTech!K33)/'Inputs 7&amp;8 Day'!$Q45+Fuel2ShrbyTech!K33/'Inputs 7&amp;8 Day'!$W45))</f>
        <v>1</v>
      </c>
      <c r="L32" s="1250">
        <f>IF('Mkt Pen Veh-Mi'!L32=0,1,1/((1-Fuel2ShrbyTech!L33)/'Inputs 7&amp;8 Day'!$R45+Fuel2ShrbyTech!L33/'Inputs 7&amp;8 Day'!$X45))</f>
        <v>1</v>
      </c>
      <c r="M32" s="1251">
        <f>IF('Mkt Pen Veh-Mi'!M32=0,1,1/((1-Fuel2ShrbyTech!M33)/'Inputs 7&amp;8 Day'!$S45+Fuel2ShrbyTech!M33/'Inputs 7&amp;8 Day'!$Y45))</f>
        <v>1</v>
      </c>
      <c r="N32" s="1249">
        <f>IF('Mkt Pen Veh-Mi'!N32=0,1,1/((1-Fuel2ShrbyTech!N33)/'Inputs 7&amp;8 SU'!$N45+Fuel2ShrbyTech!N33/'Inputs 7&amp;8 SU'!$T45))</f>
        <v>8.4596513418802797</v>
      </c>
      <c r="O32" s="1250">
        <f>IF('Mkt Pen Veh-Mi'!O32=0,1,1/((1-Fuel2ShrbyTech!O33)/'Inputs 7&amp;8 SU'!$O45+Fuel2ShrbyTech!O33/'Inputs 7&amp;8 SU'!$U45))</f>
        <v>10.015389114320127</v>
      </c>
      <c r="P32" s="1250">
        <f>IF('Mkt Pen Veh-Mi'!P32=0,1,1/((1-Fuel2ShrbyTech!P33)/'Inputs 7&amp;8 SU'!$P45+Fuel2ShrbyTech!P33/'Inputs 7&amp;8 SU'!$V45))</f>
        <v>10.615318411461462</v>
      </c>
      <c r="Q32" s="1250">
        <f>IF('Mkt Pen Veh-Mi'!Q32=0,1,1/((1-Fuel2ShrbyTech!Q33)/'Inputs 7&amp;8 SU'!$Q45+Fuel2ShrbyTech!Q33/'Inputs 7&amp;8 SU'!$W45))</f>
        <v>11.380626544197902</v>
      </c>
      <c r="R32" s="1250">
        <f>IF('Mkt Pen Veh-Mi'!R32=0,1,1/((1-Fuel2ShrbyTech!R33)/'Inputs 7&amp;8 SU'!$R45+Fuel2ShrbyTech!R33/'Inputs 7&amp;8 SU'!$X45))</f>
        <v>13.151087297915454</v>
      </c>
      <c r="S32" s="1251">
        <f>IF('Mkt Pen Veh-Mi'!S32=0,1,1/((1-Fuel2ShrbyTech!S33)/'Inputs 7&amp;8 SU'!$S45+Fuel2ShrbyTech!S33/'Inputs 7&amp;8 SU'!$Y45))</f>
        <v>1</v>
      </c>
      <c r="U32" s="1198">
        <f t="shared" si="13"/>
        <v>2030</v>
      </c>
      <c r="V32" s="1249">
        <f t="shared" si="14"/>
        <v>7.8652683559393761</v>
      </c>
      <c r="W32" s="1250">
        <f t="shared" si="15"/>
        <v>7.9387092750945323</v>
      </c>
      <c r="X32" s="1250">
        <f t="shared" si="16"/>
        <v>8.5742938629245078</v>
      </c>
      <c r="Y32" s="1250">
        <f t="shared" si="17"/>
        <v>0</v>
      </c>
      <c r="Z32" s="1250">
        <f t="shared" si="18"/>
        <v>0</v>
      </c>
      <c r="AA32" s="1251">
        <f t="shared" si="19"/>
        <v>0</v>
      </c>
      <c r="AB32" s="1249">
        <f t="shared" si="20"/>
        <v>7.4306901675713188</v>
      </c>
      <c r="AC32" s="1250">
        <f t="shared" si="21"/>
        <v>8.7287315275043209</v>
      </c>
      <c r="AD32" s="1250">
        <f t="shared" si="22"/>
        <v>8.7772696090206512</v>
      </c>
      <c r="AE32" s="1250">
        <f t="shared" si="23"/>
        <v>0</v>
      </c>
      <c r="AF32" s="1250">
        <f t="shared" si="24"/>
        <v>0</v>
      </c>
      <c r="AG32" s="1251">
        <f t="shared" si="25"/>
        <v>0</v>
      </c>
      <c r="AH32" s="1249">
        <f t="shared" si="26"/>
        <v>8.4596513418802797</v>
      </c>
      <c r="AI32" s="1250">
        <f t="shared" si="27"/>
        <v>10.015389114320127</v>
      </c>
      <c r="AJ32" s="1250">
        <f t="shared" si="28"/>
        <v>10.615318411461462</v>
      </c>
      <c r="AK32" s="1250">
        <f t="shared" si="29"/>
        <v>11.380626544197902</v>
      </c>
      <c r="AL32" s="1250">
        <f t="shared" si="30"/>
        <v>13.151087297915454</v>
      </c>
      <c r="AM32" s="1251">
        <f t="shared" si="31"/>
        <v>0</v>
      </c>
      <c r="AN32" s="1177">
        <v>2030</v>
      </c>
      <c r="AO32" s="1323">
        <f t="array" ref="AO32">1/SUMPRODUCT(IFERROR(1/V32:AA32,0),'Mkt Pen Veh-Mi'!B32:G32)</f>
        <v>8.0432836432137833</v>
      </c>
      <c r="AP32" s="1324">
        <f t="array" ref="AP32">1/SUMPRODUCT(IFERROR(1/AB32:AG32,0),'Mkt Pen Veh-Mi'!H32:M32)</f>
        <v>8.4043677713430185</v>
      </c>
      <c r="AQ32" s="1328">
        <f t="array" ref="AQ32">1/SUMPRODUCT(IFERROR(1/AH32:AM32,0),'Mkt Pen Veh-Mi'!N32:S32)</f>
        <v>9.372548991735087</v>
      </c>
      <c r="AR32" s="1321">
        <v>2030</v>
      </c>
      <c r="AS32" s="1323">
        <f t="shared" si="32"/>
        <v>1.0226330850033847</v>
      </c>
      <c r="AT32" s="1324">
        <f t="shared" si="33"/>
        <v>1.1310346121038635</v>
      </c>
      <c r="AU32" s="1324">
        <f t="shared" si="34"/>
        <v>1.1079119709503185</v>
      </c>
      <c r="AV32" s="1328">
        <v>1.1812981817033279</v>
      </c>
    </row>
    <row r="33" spans="1:48" s="1177" customFormat="1" ht="15" x14ac:dyDescent="0.2">
      <c r="A33" s="1192">
        <v>2031</v>
      </c>
      <c r="B33" s="1252">
        <f>IF('Mkt Pen Veh-Mi'!B33=0,1,1/((1-Fuel2ShrbyTech!B34)/'Inputs 7&amp;8 Sleep'!$N46+Fuel2ShrbyTech!B34/'Inputs 7&amp;8 Sleep'!$T46))</f>
        <v>7.9599764527524544</v>
      </c>
      <c r="C33" s="1253">
        <f>IF('Mkt Pen Veh-Mi'!C33=0,1,1/((1-Fuel2ShrbyTech!C34)/'Inputs 7&amp;8 Sleep'!$O46+Fuel2ShrbyTech!C34/'Inputs 7&amp;8 Sleep'!$U46))</f>
        <v>8.0445986979996231</v>
      </c>
      <c r="D33" s="1253">
        <f>IF('Mkt Pen Veh-Mi'!D33=0,1,1/((1-Fuel2ShrbyTech!D34)/'Inputs 7&amp;8 Sleep'!$P46+Fuel2ShrbyTech!D34/'Inputs 7&amp;8 Sleep'!$V46))</f>
        <v>8.6997070115937056</v>
      </c>
      <c r="E33" s="1253">
        <f>IF('Mkt Pen Veh-Mi'!E33=0,1,1/((1-Fuel2ShrbyTech!E34)/'Inputs 7&amp;8 Sleep'!$Q46+Fuel2ShrbyTech!E34/'Inputs 7&amp;8 Sleep'!$W46))</f>
        <v>1</v>
      </c>
      <c r="F33" s="1253">
        <f>IF('Mkt Pen Veh-Mi'!F33=0,1,1/((1-Fuel2ShrbyTech!F34)/'Inputs 7&amp;8 Sleep'!$R46+Fuel2ShrbyTech!F34/'Inputs 7&amp;8 Sleep'!$X46))</f>
        <v>1</v>
      </c>
      <c r="G33" s="1254">
        <f>IF('Mkt Pen Veh-Mi'!G33=0,1,1/((1-Fuel2ShrbyTech!G34)/'Inputs 7&amp;8 Sleep'!$S46+Fuel2ShrbyTech!G34/'Inputs 7&amp;8 Sleep'!$Y46))</f>
        <v>1</v>
      </c>
      <c r="H33" s="1252">
        <f>IF('Mkt Pen Veh-Mi'!H33=0,1,1/((1-Fuel2ShrbyTech!H34)/'Inputs 7&amp;8 Day'!$N46+Fuel2ShrbyTech!H34/'Inputs 7&amp;8 Day'!$T46))</f>
        <v>7.4348781999961817</v>
      </c>
      <c r="I33" s="1253">
        <f>IF('Mkt Pen Veh-Mi'!I33=0,1,1/((1-Fuel2ShrbyTech!I34)/'Inputs 7&amp;8 Day'!$O46+Fuel2ShrbyTech!I34/'Inputs 7&amp;8 Day'!$U46))</f>
        <v>8.7336511527128469</v>
      </c>
      <c r="J33" s="1253">
        <f>IF('Mkt Pen Veh-Mi'!J33=0,1,1/((1-Fuel2ShrbyTech!J34)/'Inputs 7&amp;8 Day'!$P46+Fuel2ShrbyTech!J34/'Inputs 7&amp;8 Day'!$V46))</f>
        <v>8.782216590915386</v>
      </c>
      <c r="K33" s="1253">
        <f>IF('Mkt Pen Veh-Mi'!K33=0,1,1/((1-Fuel2ShrbyTech!K34)/'Inputs 7&amp;8 Day'!$Q46+Fuel2ShrbyTech!K34/'Inputs 7&amp;8 Day'!$W46))</f>
        <v>9.0537193688056607</v>
      </c>
      <c r="L33" s="1253">
        <f>IF('Mkt Pen Veh-Mi'!L33=0,1,1/((1-Fuel2ShrbyTech!L34)/'Inputs 7&amp;8 Day'!$R46+Fuel2ShrbyTech!L34/'Inputs 7&amp;8 Day'!$X46))</f>
        <v>1</v>
      </c>
      <c r="M33" s="1254">
        <f>IF('Mkt Pen Veh-Mi'!M33=0,1,1/((1-Fuel2ShrbyTech!M34)/'Inputs 7&amp;8 Day'!$S46+Fuel2ShrbyTech!M34/'Inputs 7&amp;8 Day'!$Y46))</f>
        <v>1</v>
      </c>
      <c r="N33" s="1252">
        <f>IF('Mkt Pen Veh-Mi'!N33=0,1,1/((1-Fuel2ShrbyTech!N34)/'Inputs 7&amp;8 SU'!$N46+Fuel2ShrbyTech!N34/'Inputs 7&amp;8 SU'!$T46))</f>
        <v>8.4765855799556995</v>
      </c>
      <c r="O33" s="1253">
        <f>IF('Mkt Pen Veh-Mi'!O33=0,1,1/((1-Fuel2ShrbyTech!O34)/'Inputs 7&amp;8 SU'!$O46+Fuel2ShrbyTech!O34/'Inputs 7&amp;8 SU'!$U46))</f>
        <v>10.035437574572883</v>
      </c>
      <c r="P33" s="1253">
        <f>IF('Mkt Pen Veh-Mi'!P33=0,1,1/((1-Fuel2ShrbyTech!P34)/'Inputs 7&amp;8 SU'!$P46+Fuel2ShrbyTech!P34/'Inputs 7&amp;8 SU'!$V46))</f>
        <v>10.636567789474968</v>
      </c>
      <c r="Q33" s="1253">
        <f>IF('Mkt Pen Veh-Mi'!Q33=0,1,1/((1-Fuel2ShrbyTech!Q34)/'Inputs 7&amp;8 SU'!$Q46+Fuel2ShrbyTech!Q34/'Inputs 7&amp;8 SU'!$W46))</f>
        <v>11.517968900373031</v>
      </c>
      <c r="R33" s="1253">
        <f>IF('Mkt Pen Veh-Mi'!R33=0,1,1/((1-Fuel2ShrbyTech!R34)/'Inputs 7&amp;8 SU'!$R46+Fuel2ShrbyTech!R34/'Inputs 7&amp;8 SU'!$X46))</f>
        <v>13.478319997767674</v>
      </c>
      <c r="S33" s="1254">
        <f>IF('Mkt Pen Veh-Mi'!S33=0,1,1/((1-Fuel2ShrbyTech!S34)/'Inputs 7&amp;8 SU'!$S46+Fuel2ShrbyTech!S34/'Inputs 7&amp;8 SU'!$Y46))</f>
        <v>1</v>
      </c>
      <c r="U33" s="1192">
        <f t="shared" si="13"/>
        <v>2031</v>
      </c>
      <c r="V33" s="1252">
        <f t="shared" si="14"/>
        <v>7.9599764527524544</v>
      </c>
      <c r="W33" s="1253">
        <f t="shared" si="15"/>
        <v>8.0445986979996231</v>
      </c>
      <c r="X33" s="1253">
        <f t="shared" si="16"/>
        <v>8.6997070115937056</v>
      </c>
      <c r="Y33" s="1253">
        <f t="shared" si="17"/>
        <v>0</v>
      </c>
      <c r="Z33" s="1253">
        <f t="shared" si="18"/>
        <v>0</v>
      </c>
      <c r="AA33" s="1254">
        <f t="shared" si="19"/>
        <v>0</v>
      </c>
      <c r="AB33" s="1252">
        <f t="shared" si="20"/>
        <v>7.4348781999961817</v>
      </c>
      <c r="AC33" s="1253">
        <f t="shared" si="21"/>
        <v>8.7336511527128469</v>
      </c>
      <c r="AD33" s="1253">
        <f t="shared" si="22"/>
        <v>8.782216590915386</v>
      </c>
      <c r="AE33" s="1253">
        <f t="shared" si="23"/>
        <v>9.0537193688056607</v>
      </c>
      <c r="AF33" s="1253">
        <f t="shared" si="24"/>
        <v>0</v>
      </c>
      <c r="AG33" s="1254">
        <f t="shared" si="25"/>
        <v>0</v>
      </c>
      <c r="AH33" s="1252">
        <f t="shared" si="26"/>
        <v>8.4765855799556995</v>
      </c>
      <c r="AI33" s="1253">
        <f t="shared" si="27"/>
        <v>10.035437574572883</v>
      </c>
      <c r="AJ33" s="1253">
        <f t="shared" si="28"/>
        <v>10.636567789474968</v>
      </c>
      <c r="AK33" s="1253">
        <f t="shared" si="29"/>
        <v>11.517968900373031</v>
      </c>
      <c r="AL33" s="1253">
        <f t="shared" si="30"/>
        <v>13.478319997767674</v>
      </c>
      <c r="AM33" s="1254">
        <f t="shared" si="31"/>
        <v>0</v>
      </c>
      <c r="AN33" s="1177">
        <v>2031</v>
      </c>
      <c r="AO33" s="1323">
        <f t="array" ref="AO33">1/SUMPRODUCT(IFERROR(1/V33:AA33,0),'Mkt Pen Veh-Mi'!B33:G33)</f>
        <v>8.150804892796879</v>
      </c>
      <c r="AP33" s="1324">
        <f t="array" ref="AP33">1/SUMPRODUCT(IFERROR(1/AB33:AG33,0),'Mkt Pen Veh-Mi'!H33:M33)</f>
        <v>8.4115962918566201</v>
      </c>
      <c r="AQ33" s="1328">
        <f t="array" ref="AQ33">1/SUMPRODUCT(IFERROR(1/AH33:AM33,0),'Mkt Pen Veh-Mi'!N33:S33)</f>
        <v>9.4069568924091644</v>
      </c>
      <c r="AR33" s="1321">
        <v>2031</v>
      </c>
      <c r="AS33" s="1323">
        <f t="shared" si="32"/>
        <v>1.0239734930344473</v>
      </c>
      <c r="AT33" s="1324">
        <f t="shared" si="33"/>
        <v>1.1313697501945545</v>
      </c>
      <c r="AU33" s="1324">
        <f t="shared" si="34"/>
        <v>1.1097577914689474</v>
      </c>
      <c r="AV33" s="1328">
        <v>1.2181775878152028</v>
      </c>
    </row>
    <row r="34" spans="1:48" s="1177" customFormat="1" ht="15" x14ac:dyDescent="0.2">
      <c r="A34" s="1192">
        <v>2032</v>
      </c>
      <c r="B34" s="1246">
        <f>IF('Mkt Pen Veh-Mi'!B34=0,1,1/((1-Fuel2ShrbyTech!B35)/'Inputs 7&amp;8 Sleep'!$N47+Fuel2ShrbyTech!B35/'Inputs 7&amp;8 Sleep'!$T47))</f>
        <v>8.0214709255018093</v>
      </c>
      <c r="C34" s="1247">
        <f>IF('Mkt Pen Veh-Mi'!C34=0,1,1/((1-Fuel2ShrbyTech!C35)/'Inputs 7&amp;8 Sleep'!$O47+Fuel2ShrbyTech!C35/'Inputs 7&amp;8 Sleep'!$U47))</f>
        <v>8.1109312229509865</v>
      </c>
      <c r="D34" s="1247">
        <f>IF('Mkt Pen Veh-Mi'!D34=0,1,1/((1-Fuel2ShrbyTech!D35)/'Inputs 7&amp;8 Sleep'!$P47+Fuel2ShrbyTech!D35/'Inputs 7&amp;8 Sleep'!$V47))</f>
        <v>8.7782698234883831</v>
      </c>
      <c r="E34" s="1247">
        <f>IF('Mkt Pen Veh-Mi'!E34=0,1,1/((1-Fuel2ShrbyTech!E35)/'Inputs 7&amp;8 Sleep'!$Q47+Fuel2ShrbyTech!E35/'Inputs 7&amp;8 Sleep'!$W47))</f>
        <v>1</v>
      </c>
      <c r="F34" s="1247">
        <f>IF('Mkt Pen Veh-Mi'!F34=0,1,1/((1-Fuel2ShrbyTech!F35)/'Inputs 7&amp;8 Sleep'!$R47+Fuel2ShrbyTech!F35/'Inputs 7&amp;8 Sleep'!$X47))</f>
        <v>1</v>
      </c>
      <c r="G34" s="1248">
        <f>IF('Mkt Pen Veh-Mi'!G34=0,1,1/((1-Fuel2ShrbyTech!G35)/'Inputs 7&amp;8 Sleep'!$S47+Fuel2ShrbyTech!G35/'Inputs 7&amp;8 Sleep'!$Y47))</f>
        <v>1</v>
      </c>
      <c r="H34" s="1246">
        <f>IF('Mkt Pen Veh-Mi'!H34=0,1,1/((1-Fuel2ShrbyTech!H35)/'Inputs 7&amp;8 Day'!$N47+Fuel2ShrbyTech!H35/'Inputs 7&amp;8 Day'!$T47))</f>
        <v>7.4390662324210455</v>
      </c>
      <c r="I34" s="1247">
        <f>IF('Mkt Pen Veh-Mi'!I34=0,1,1/((1-Fuel2ShrbyTech!I35)/'Inputs 7&amp;8 Day'!$O47+Fuel2ShrbyTech!I35/'Inputs 7&amp;8 Day'!$U47))</f>
        <v>8.738570777921371</v>
      </c>
      <c r="J34" s="1247">
        <f>IF('Mkt Pen Veh-Mi'!J34=0,1,1/((1-Fuel2ShrbyTech!J35)/'Inputs 7&amp;8 Day'!$P47+Fuel2ShrbyTech!J35/'Inputs 7&amp;8 Day'!$V47))</f>
        <v>8.7871635728101189</v>
      </c>
      <c r="K34" s="1247">
        <f>IF('Mkt Pen Veh-Mi'!K34=0,1,1/((1-Fuel2ShrbyTech!K35)/'Inputs 7&amp;8 Day'!$Q47+Fuel2ShrbyTech!K35/'Inputs 7&amp;8 Day'!$W47))</f>
        <v>9.2437016969730283</v>
      </c>
      <c r="L34" s="1247">
        <f>IF('Mkt Pen Veh-Mi'!L34=0,1,1/((1-Fuel2ShrbyTech!L35)/'Inputs 7&amp;8 Day'!$R47+Fuel2ShrbyTech!L35/'Inputs 7&amp;8 Day'!$X47))</f>
        <v>1</v>
      </c>
      <c r="M34" s="1248">
        <f>IF('Mkt Pen Veh-Mi'!M34=0,1,1/((1-Fuel2ShrbyTech!M35)/'Inputs 7&amp;8 Day'!$S47+Fuel2ShrbyTech!M35/'Inputs 7&amp;8 Day'!$Y47))</f>
        <v>1</v>
      </c>
      <c r="N34" s="1246">
        <f>IF('Mkt Pen Veh-Mi'!N34=0,1,1/((1-Fuel2ShrbyTech!N35)/'Inputs 7&amp;8 SU'!$N47+Fuel2ShrbyTech!N35/'Inputs 7&amp;8 SU'!$T47))</f>
        <v>8.4935198180311193</v>
      </c>
      <c r="O34" s="1247">
        <f>IF('Mkt Pen Veh-Mi'!O34=0,1,1/((1-Fuel2ShrbyTech!O35)/'Inputs 7&amp;8 SU'!$O47+Fuel2ShrbyTech!O35/'Inputs 7&amp;8 SU'!$U47))</f>
        <v>10.055486034825639</v>
      </c>
      <c r="P34" s="1247">
        <f>IF('Mkt Pen Veh-Mi'!P34=0,1,1/((1-Fuel2ShrbyTech!P35)/'Inputs 7&amp;8 SU'!$P47+Fuel2ShrbyTech!P35/'Inputs 7&amp;8 SU'!$V47))</f>
        <v>10.657817167488474</v>
      </c>
      <c r="Q34" s="1247">
        <f>IF('Mkt Pen Veh-Mi'!Q34=0,1,1/((1-Fuel2ShrbyTech!Q35)/'Inputs 7&amp;8 SU'!$Q47+Fuel2ShrbyTech!Q35/'Inputs 7&amp;8 SU'!$W47))</f>
        <v>11.655768988830102</v>
      </c>
      <c r="R34" s="1247">
        <f>IF('Mkt Pen Veh-Mi'!R34=0,1,1/((1-Fuel2ShrbyTech!R35)/'Inputs 7&amp;8 SU'!$R47+Fuel2ShrbyTech!R35/'Inputs 7&amp;8 SU'!$X47))</f>
        <v>13.79413027275765</v>
      </c>
      <c r="S34" s="1248">
        <f>IF('Mkt Pen Veh-Mi'!S34=0,1,1/((1-Fuel2ShrbyTech!S35)/'Inputs 7&amp;8 SU'!$S47+Fuel2ShrbyTech!S35/'Inputs 7&amp;8 SU'!$Y47))</f>
        <v>1</v>
      </c>
      <c r="U34" s="1192">
        <f t="shared" si="13"/>
        <v>2032</v>
      </c>
      <c r="V34" s="1246">
        <f t="shared" si="14"/>
        <v>8.0214709255018093</v>
      </c>
      <c r="W34" s="1247">
        <f t="shared" si="15"/>
        <v>8.1109312229509865</v>
      </c>
      <c r="X34" s="1247">
        <f t="shared" si="16"/>
        <v>8.7782698234883831</v>
      </c>
      <c r="Y34" s="1247">
        <f t="shared" si="17"/>
        <v>0</v>
      </c>
      <c r="Z34" s="1247">
        <f t="shared" si="18"/>
        <v>0</v>
      </c>
      <c r="AA34" s="1248">
        <f t="shared" si="19"/>
        <v>0</v>
      </c>
      <c r="AB34" s="1246">
        <f t="shared" si="20"/>
        <v>7.4390662324210455</v>
      </c>
      <c r="AC34" s="1247">
        <f t="shared" si="21"/>
        <v>8.738570777921371</v>
      </c>
      <c r="AD34" s="1247">
        <f t="shared" si="22"/>
        <v>8.7871635728101189</v>
      </c>
      <c r="AE34" s="1247">
        <f t="shared" si="23"/>
        <v>9.2437016969730283</v>
      </c>
      <c r="AF34" s="1247">
        <f t="shared" si="24"/>
        <v>0</v>
      </c>
      <c r="AG34" s="1248">
        <f t="shared" si="25"/>
        <v>0</v>
      </c>
      <c r="AH34" s="1246">
        <f t="shared" si="26"/>
        <v>8.4935198180311193</v>
      </c>
      <c r="AI34" s="1247">
        <f t="shared" si="27"/>
        <v>10.055486034825639</v>
      </c>
      <c r="AJ34" s="1247">
        <f t="shared" si="28"/>
        <v>10.657817167488474</v>
      </c>
      <c r="AK34" s="1247">
        <f t="shared" si="29"/>
        <v>11.655768988830102</v>
      </c>
      <c r="AL34" s="1247">
        <f t="shared" si="30"/>
        <v>13.79413027275765</v>
      </c>
      <c r="AM34" s="1248">
        <f t="shared" si="31"/>
        <v>0</v>
      </c>
      <c r="AN34" s="1177">
        <v>2032</v>
      </c>
      <c r="AO34" s="1323">
        <f t="array" ref="AO34">1/SUMPRODUCT(IFERROR(1/V34:AA34,0),'Mkt Pen Veh-Mi'!B34:G34)</f>
        <v>8.2182485887815933</v>
      </c>
      <c r="AP34" s="1324">
        <f t="array" ref="AP34">1/SUMPRODUCT(IFERROR(1/AB34:AG34,0),'Mkt Pen Veh-Mi'!H34:M34)</f>
        <v>8.4267246188976213</v>
      </c>
      <c r="AQ34" s="1328">
        <f t="array" ref="AQ34">1/SUMPRODUCT(IFERROR(1/AH34:AM34,0),'Mkt Pen Veh-Mi'!N34:S34)</f>
        <v>9.4561325389515769</v>
      </c>
      <c r="AR34" s="1321">
        <v>2032</v>
      </c>
      <c r="AS34" s="1323">
        <f t="shared" si="32"/>
        <v>1.024531369010413</v>
      </c>
      <c r="AT34" s="1324">
        <f t="shared" si="33"/>
        <v>1.13276644616661</v>
      </c>
      <c r="AU34" s="1324">
        <f t="shared" si="34"/>
        <v>1.113334959068077</v>
      </c>
      <c r="AV34" s="1328">
        <v>1.2746723773692126</v>
      </c>
    </row>
    <row r="35" spans="1:48" s="1177" customFormat="1" ht="15" x14ac:dyDescent="0.2">
      <c r="A35" s="1192">
        <v>2033</v>
      </c>
      <c r="B35" s="1246">
        <f>IF('Mkt Pen Veh-Mi'!B35=0,1,1/((1-Fuel2ShrbyTech!B36)/'Inputs 7&amp;8 Sleep'!$N48+Fuel2ShrbyTech!B36/'Inputs 7&amp;8 Sleep'!$T48))</f>
        <v>8.0395269119106274</v>
      </c>
      <c r="C35" s="1247">
        <f>IF('Mkt Pen Veh-Mi'!C35=0,1,1/((1-Fuel2ShrbyTech!C36)/'Inputs 7&amp;8 Sleep'!$O48+Fuel2ShrbyTech!C36/'Inputs 7&amp;8 Sleep'!$U48))</f>
        <v>8.1456306157943317</v>
      </c>
      <c r="D35" s="1247">
        <f>IF('Mkt Pen Veh-Mi'!D35=0,1,1/((1-Fuel2ShrbyTech!D36)/'Inputs 7&amp;8 Sleep'!$P48+Fuel2ShrbyTech!D36/'Inputs 7&amp;8 Sleep'!$V48))</f>
        <v>8.8193670359766774</v>
      </c>
      <c r="E35" s="1247">
        <f>IF('Mkt Pen Veh-Mi'!E35=0,1,1/((1-Fuel2ShrbyTech!E36)/'Inputs 7&amp;8 Sleep'!$Q48+Fuel2ShrbyTech!E36/'Inputs 7&amp;8 Sleep'!$W48))</f>
        <v>1</v>
      </c>
      <c r="F35" s="1247">
        <f>IF('Mkt Pen Veh-Mi'!F35=0,1,1/((1-Fuel2ShrbyTech!F36)/'Inputs 7&amp;8 Sleep'!$R48+Fuel2ShrbyTech!F36/'Inputs 7&amp;8 Sleep'!$X48))</f>
        <v>1</v>
      </c>
      <c r="G35" s="1248">
        <f>IF('Mkt Pen Veh-Mi'!G35=0,1,1/((1-Fuel2ShrbyTech!G36)/'Inputs 7&amp;8 Sleep'!$S48+Fuel2ShrbyTech!G36/'Inputs 7&amp;8 Sleep'!$Y48))</f>
        <v>1</v>
      </c>
      <c r="H35" s="1246">
        <f>IF('Mkt Pen Veh-Mi'!H35=0,1,1/((1-Fuel2ShrbyTech!H36)/'Inputs 7&amp;8 Day'!$N48+Fuel2ShrbyTech!H36/'Inputs 7&amp;8 Day'!$T48))</f>
        <v>7.4432542648459084</v>
      </c>
      <c r="I35" s="1247">
        <f>IF('Mkt Pen Veh-Mi'!I35=0,1,1/((1-Fuel2ShrbyTech!I36)/'Inputs 7&amp;8 Day'!$O48+Fuel2ShrbyTech!I36/'Inputs 7&amp;8 Day'!$U48))</f>
        <v>8.7434904031298952</v>
      </c>
      <c r="J35" s="1247">
        <f>IF('Mkt Pen Veh-Mi'!J35=0,1,1/((1-Fuel2ShrbyTech!J36)/'Inputs 7&amp;8 Day'!$P48+Fuel2ShrbyTech!J36/'Inputs 7&amp;8 Day'!$V48))</f>
        <v>8.7921105547048519</v>
      </c>
      <c r="K35" s="1247">
        <f>IF('Mkt Pen Veh-Mi'!K35=0,1,1/((1-Fuel2ShrbyTech!K36)/'Inputs 7&amp;8 Day'!$Q48+Fuel2ShrbyTech!K36/'Inputs 7&amp;8 Day'!$W48))</f>
        <v>9.4628516236880476</v>
      </c>
      <c r="L35" s="1247">
        <f>IF('Mkt Pen Veh-Mi'!L35=0,1,1/((1-Fuel2ShrbyTech!L36)/'Inputs 7&amp;8 Day'!$R48+Fuel2ShrbyTech!L36/'Inputs 7&amp;8 Day'!$X48))</f>
        <v>1</v>
      </c>
      <c r="M35" s="1248">
        <f>IF('Mkt Pen Veh-Mi'!M35=0,1,1/((1-Fuel2ShrbyTech!M36)/'Inputs 7&amp;8 Day'!$S48+Fuel2ShrbyTech!M36/'Inputs 7&amp;8 Day'!$Y48))</f>
        <v>1</v>
      </c>
      <c r="N35" s="1246">
        <f>IF('Mkt Pen Veh-Mi'!N35=0,1,1/((1-Fuel2ShrbyTech!N36)/'Inputs 7&amp;8 SU'!$N48+Fuel2ShrbyTech!N36/'Inputs 7&amp;8 SU'!$T48))</f>
        <v>8.5104540561065392</v>
      </c>
      <c r="O35" s="1247">
        <f>IF('Mkt Pen Veh-Mi'!O35=0,1,1/((1-Fuel2ShrbyTech!O36)/'Inputs 7&amp;8 SU'!$O48+Fuel2ShrbyTech!O36/'Inputs 7&amp;8 SU'!$U48))</f>
        <v>10.075534495078395</v>
      </c>
      <c r="P35" s="1247">
        <f>IF('Mkt Pen Veh-Mi'!P35=0,1,1/((1-Fuel2ShrbyTech!P36)/'Inputs 7&amp;8 SU'!$P48+Fuel2ShrbyTech!P36/'Inputs 7&amp;8 SU'!$V48))</f>
        <v>10.67906654550198</v>
      </c>
      <c r="Q35" s="1247">
        <f>IF('Mkt Pen Veh-Mi'!Q35=0,1,1/((1-Fuel2ShrbyTech!Q36)/'Inputs 7&amp;8 SU'!$Q48+Fuel2ShrbyTech!Q36/'Inputs 7&amp;8 SU'!$W48))</f>
        <v>11.794026809569115</v>
      </c>
      <c r="R35" s="1247">
        <f>IF('Mkt Pen Veh-Mi'!R35=0,1,1/((1-Fuel2ShrbyTech!R36)/'Inputs 7&amp;8 SU'!$R48+Fuel2ShrbyTech!R36/'Inputs 7&amp;8 SU'!$X48))</f>
        <v>14.135844348734301</v>
      </c>
      <c r="S35" s="1248">
        <f>IF('Mkt Pen Veh-Mi'!S35=0,1,1/((1-Fuel2ShrbyTech!S36)/'Inputs 7&amp;8 SU'!$S48+Fuel2ShrbyTech!S36/'Inputs 7&amp;8 SU'!$Y48))</f>
        <v>1</v>
      </c>
      <c r="U35" s="1192">
        <f t="shared" si="13"/>
        <v>2033</v>
      </c>
      <c r="V35" s="1246">
        <f t="shared" si="14"/>
        <v>8.0395269119106274</v>
      </c>
      <c r="W35" s="1247">
        <f t="shared" si="15"/>
        <v>8.1456306157943317</v>
      </c>
      <c r="X35" s="1247">
        <f t="shared" si="16"/>
        <v>8.8193670359766774</v>
      </c>
      <c r="Y35" s="1247">
        <f t="shared" si="17"/>
        <v>0</v>
      </c>
      <c r="Z35" s="1247">
        <f t="shared" si="18"/>
        <v>0</v>
      </c>
      <c r="AA35" s="1248">
        <f t="shared" si="19"/>
        <v>0</v>
      </c>
      <c r="AB35" s="1246">
        <f t="shared" si="20"/>
        <v>7.4432542648459084</v>
      </c>
      <c r="AC35" s="1247">
        <f t="shared" si="21"/>
        <v>8.7434904031298952</v>
      </c>
      <c r="AD35" s="1247">
        <f t="shared" si="22"/>
        <v>8.7921105547048519</v>
      </c>
      <c r="AE35" s="1247">
        <f t="shared" si="23"/>
        <v>9.4628516236880476</v>
      </c>
      <c r="AF35" s="1247">
        <f t="shared" si="24"/>
        <v>0</v>
      </c>
      <c r="AG35" s="1248">
        <f t="shared" si="25"/>
        <v>0</v>
      </c>
      <c r="AH35" s="1246">
        <f t="shared" si="26"/>
        <v>8.5104540561065392</v>
      </c>
      <c r="AI35" s="1247">
        <f t="shared" si="27"/>
        <v>10.075534495078395</v>
      </c>
      <c r="AJ35" s="1247">
        <f t="shared" si="28"/>
        <v>10.67906654550198</v>
      </c>
      <c r="AK35" s="1247">
        <f t="shared" si="29"/>
        <v>11.794026809569115</v>
      </c>
      <c r="AL35" s="1247">
        <f t="shared" si="30"/>
        <v>14.135844348734301</v>
      </c>
      <c r="AM35" s="1248">
        <f t="shared" si="31"/>
        <v>0</v>
      </c>
      <c r="AN35" s="1177">
        <v>2033</v>
      </c>
      <c r="AO35" s="1323">
        <f t="array" ref="AO35">1/SUMPRODUCT(IFERROR(1/V35:AA35,0),'Mkt Pen Veh-Mi'!B35:G35)</f>
        <v>8.2641306964222281</v>
      </c>
      <c r="AP35" s="1324">
        <f t="array" ref="AP35">1/SUMPRODUCT(IFERROR(1/AB35:AG35,0),'Mkt Pen Veh-Mi'!H35:M35)</f>
        <v>8.4438050358821624</v>
      </c>
      <c r="AQ35" s="1328">
        <f t="array" ref="AQ35">1/SUMPRODUCT(IFERROR(1/AH35:AM35,0),'Mkt Pen Veh-Mi'!N35:S35)</f>
        <v>9.5004293693888844</v>
      </c>
      <c r="AR35" s="1321">
        <v>2033</v>
      </c>
      <c r="AS35" s="1323">
        <f t="shared" si="32"/>
        <v>1.0279374379826813</v>
      </c>
      <c r="AT35" s="1324">
        <f t="shared" si="33"/>
        <v>1.1344238333710837</v>
      </c>
      <c r="AU35" s="1324">
        <f t="shared" si="34"/>
        <v>1.1163246175533965</v>
      </c>
      <c r="AV35" s="1328">
        <v>1.3942553676087848</v>
      </c>
    </row>
    <row r="36" spans="1:48" s="1177" customFormat="1" ht="15" x14ac:dyDescent="0.2">
      <c r="A36" s="1192">
        <v>2034</v>
      </c>
      <c r="B36" s="1246">
        <f>IF('Mkt Pen Veh-Mi'!B36=0,1,1/((1-Fuel2ShrbyTech!B37)/'Inputs 7&amp;8 Sleep'!$N49+Fuel2ShrbyTech!B37/'Inputs 7&amp;8 Sleep'!$T49))</f>
        <v>8.0572116034836725</v>
      </c>
      <c r="C36" s="1247">
        <f>IF('Mkt Pen Veh-Mi'!C36=0,1,1/((1-Fuel2ShrbyTech!C37)/'Inputs 7&amp;8 Sleep'!$O49+Fuel2ShrbyTech!C37/'Inputs 7&amp;8 Sleep'!$U49))</f>
        <v>8.1620825149627976</v>
      </c>
      <c r="D36" s="1247">
        <f>IF('Mkt Pen Veh-Mi'!D36=0,1,1/((1-Fuel2ShrbyTech!D37)/'Inputs 7&amp;8 Sleep'!$P49+Fuel2ShrbyTech!D37/'Inputs 7&amp;8 Sleep'!$V49))</f>
        <v>8.8388523105177885</v>
      </c>
      <c r="E36" s="1247">
        <f>IF('Mkt Pen Veh-Mi'!E36=0,1,1/((1-Fuel2ShrbyTech!E37)/'Inputs 7&amp;8 Sleep'!$Q49+Fuel2ShrbyTech!E37/'Inputs 7&amp;8 Sleep'!$W49))</f>
        <v>1</v>
      </c>
      <c r="F36" s="1247">
        <f>IF('Mkt Pen Veh-Mi'!F36=0,1,1/((1-Fuel2ShrbyTech!F37)/'Inputs 7&amp;8 Sleep'!$R49+Fuel2ShrbyTech!F37/'Inputs 7&amp;8 Sleep'!$X49))</f>
        <v>1</v>
      </c>
      <c r="G36" s="1248">
        <f>IF('Mkt Pen Veh-Mi'!G36=0,1,1/((1-Fuel2ShrbyTech!G37)/'Inputs 7&amp;8 Sleep'!$S49+Fuel2ShrbyTech!G37/'Inputs 7&amp;8 Sleep'!$Y49))</f>
        <v>1</v>
      </c>
      <c r="H36" s="1246">
        <f>IF('Mkt Pen Veh-Mi'!H36=0,1,1/((1-Fuel2ShrbyTech!H37)/'Inputs 7&amp;8 Day'!$N49+Fuel2ShrbyTech!H37/'Inputs 7&amp;8 Day'!$T49))</f>
        <v>7.4474422972707748</v>
      </c>
      <c r="I36" s="1247">
        <f>IF('Mkt Pen Veh-Mi'!I36=0,1,1/((1-Fuel2ShrbyTech!I37)/'Inputs 7&amp;8 Day'!$O49+Fuel2ShrbyTech!I37/'Inputs 7&amp;8 Day'!$U49))</f>
        <v>8.7484100283384194</v>
      </c>
      <c r="J36" s="1247">
        <f>IF('Mkt Pen Veh-Mi'!J36=0,1,1/((1-Fuel2ShrbyTech!J37)/'Inputs 7&amp;8 Day'!$P49+Fuel2ShrbyTech!J37/'Inputs 7&amp;8 Day'!$V49))</f>
        <v>8.7970575365995849</v>
      </c>
      <c r="K36" s="1247">
        <f>IF('Mkt Pen Veh-Mi'!K36=0,1,1/((1-Fuel2ShrbyTech!K37)/'Inputs 7&amp;8 Day'!$Q49+Fuel2ShrbyTech!K37/'Inputs 7&amp;8 Day'!$W49))</f>
        <v>9.730230286192965</v>
      </c>
      <c r="L36" s="1247">
        <f>IF('Mkt Pen Veh-Mi'!L36=0,1,1/((1-Fuel2ShrbyTech!L37)/'Inputs 7&amp;8 Day'!$R49+Fuel2ShrbyTech!L37/'Inputs 7&amp;8 Day'!$X49))</f>
        <v>1</v>
      </c>
      <c r="M36" s="1248">
        <f>IF('Mkt Pen Veh-Mi'!M36=0,1,1/((1-Fuel2ShrbyTech!M37)/'Inputs 7&amp;8 Day'!$S49+Fuel2ShrbyTech!M37/'Inputs 7&amp;8 Day'!$Y49))</f>
        <v>1</v>
      </c>
      <c r="N36" s="1246">
        <f>IF('Mkt Pen Veh-Mi'!N36=0,1,1/((1-Fuel2ShrbyTech!N37)/'Inputs 7&amp;8 SU'!$N49+Fuel2ShrbyTech!N37/'Inputs 7&amp;8 SU'!$T49))</f>
        <v>8.5273882941819608</v>
      </c>
      <c r="O36" s="1247">
        <f>IF('Mkt Pen Veh-Mi'!O36=0,1,1/((1-Fuel2ShrbyTech!O37)/'Inputs 7&amp;8 SU'!$O49+Fuel2ShrbyTech!O37/'Inputs 7&amp;8 SU'!$U49))</f>
        <v>10.095582955331153</v>
      </c>
      <c r="P36" s="1247">
        <f>IF('Mkt Pen Veh-Mi'!P36=0,1,1/((1-Fuel2ShrbyTech!P37)/'Inputs 7&amp;8 SU'!$P49+Fuel2ShrbyTech!P37/'Inputs 7&amp;8 SU'!$V49))</f>
        <v>10.700315923515488</v>
      </c>
      <c r="Q36" s="1247">
        <f>IF('Mkt Pen Veh-Mi'!Q36=0,1,1/((1-Fuel2ShrbyTech!Q37)/'Inputs 7&amp;8 SU'!$Q49+Fuel2ShrbyTech!Q37/'Inputs 7&amp;8 SU'!$W49))</f>
        <v>11.932742362590075</v>
      </c>
      <c r="R36" s="1247">
        <f>IF('Mkt Pen Veh-Mi'!R36=0,1,1/((1-Fuel2ShrbyTech!R37)/'Inputs 7&amp;8 SU'!$R49+Fuel2ShrbyTech!R37/'Inputs 7&amp;8 SU'!$X49))</f>
        <v>14.524222633932677</v>
      </c>
      <c r="S36" s="1248">
        <f>IF('Mkt Pen Veh-Mi'!S36=0,1,1/((1-Fuel2ShrbyTech!S37)/'Inputs 7&amp;8 SU'!$S49+Fuel2ShrbyTech!S37/'Inputs 7&amp;8 SU'!$Y49))</f>
        <v>1</v>
      </c>
      <c r="U36" s="1192">
        <f t="shared" si="13"/>
        <v>2034</v>
      </c>
      <c r="V36" s="1246">
        <f t="shared" si="14"/>
        <v>8.0572116034836725</v>
      </c>
      <c r="W36" s="1247">
        <f t="shared" si="15"/>
        <v>8.1620825149627976</v>
      </c>
      <c r="X36" s="1247">
        <f t="shared" si="16"/>
        <v>8.8388523105177885</v>
      </c>
      <c r="Y36" s="1247">
        <f t="shared" si="17"/>
        <v>0</v>
      </c>
      <c r="Z36" s="1247">
        <f t="shared" si="18"/>
        <v>0</v>
      </c>
      <c r="AA36" s="1248">
        <f t="shared" si="19"/>
        <v>0</v>
      </c>
      <c r="AB36" s="1246">
        <f t="shared" si="20"/>
        <v>7.4474422972707748</v>
      </c>
      <c r="AC36" s="1247">
        <f t="shared" si="21"/>
        <v>8.7484100283384194</v>
      </c>
      <c r="AD36" s="1247">
        <f t="shared" si="22"/>
        <v>8.7970575365995849</v>
      </c>
      <c r="AE36" s="1247">
        <f t="shared" si="23"/>
        <v>9.730230286192965</v>
      </c>
      <c r="AF36" s="1247">
        <f t="shared" si="24"/>
        <v>0</v>
      </c>
      <c r="AG36" s="1248">
        <f t="shared" si="25"/>
        <v>0</v>
      </c>
      <c r="AH36" s="1246">
        <f t="shared" si="26"/>
        <v>8.5273882941819608</v>
      </c>
      <c r="AI36" s="1247">
        <f t="shared" si="27"/>
        <v>10.095582955331153</v>
      </c>
      <c r="AJ36" s="1247">
        <f t="shared" si="28"/>
        <v>10.700315923515488</v>
      </c>
      <c r="AK36" s="1247">
        <f t="shared" si="29"/>
        <v>11.932742362590075</v>
      </c>
      <c r="AL36" s="1247">
        <f t="shared" si="30"/>
        <v>14.524222633932677</v>
      </c>
      <c r="AM36" s="1248">
        <f t="shared" si="31"/>
        <v>0</v>
      </c>
      <c r="AN36" s="1177">
        <v>2034</v>
      </c>
      <c r="AO36" s="1323">
        <f t="array" ref="AO36">1/SUMPRODUCT(IFERROR(1/V36:AA36,0),'Mkt Pen Veh-Mi'!B36:G36)</f>
        <v>8.286061880577174</v>
      </c>
      <c r="AP36" s="1324">
        <f t="array" ref="AP36">1/SUMPRODUCT(IFERROR(1/AB36:AG36,0),'Mkt Pen Veh-Mi'!H36:M36)</f>
        <v>8.4559143026214834</v>
      </c>
      <c r="AQ36" s="1328">
        <f t="array" ref="AQ36">1/SUMPRODUCT(IFERROR(1/AH36:AM36,0),'Mkt Pen Veh-Mi'!N36:S36)</f>
        <v>9.5410419184578128</v>
      </c>
      <c r="AR36" s="1321">
        <v>2034</v>
      </c>
      <c r="AS36" s="1323">
        <f t="shared" si="32"/>
        <v>1.0284031608397319</v>
      </c>
      <c r="AT36" s="1324">
        <f t="shared" si="33"/>
        <v>1.1354118588767419</v>
      </c>
      <c r="AU36" s="1324">
        <f t="shared" si="34"/>
        <v>1.1188703491979419</v>
      </c>
      <c r="AV36" s="1328">
        <v>1.5544037088823743</v>
      </c>
    </row>
    <row r="37" spans="1:48" s="1177" customFormat="1" ht="15" x14ac:dyDescent="0.2">
      <c r="A37" s="1198">
        <v>2035</v>
      </c>
      <c r="B37" s="1249">
        <f>IF('Mkt Pen Veh-Mi'!B37=0,1,1/((1-Fuel2ShrbyTech!B38)/'Inputs 7&amp;8 Sleep'!$N50+Fuel2ShrbyTech!B38/'Inputs 7&amp;8 Sleep'!$T50))</f>
        <v>8.0685847555815613</v>
      </c>
      <c r="C37" s="1250">
        <f>IF('Mkt Pen Veh-Mi'!C37=0,1,1/((1-Fuel2ShrbyTech!C38)/'Inputs 7&amp;8 Sleep'!$O50+Fuel2ShrbyTech!C38/'Inputs 7&amp;8 Sleep'!$U50))</f>
        <v>8.1753579269962202</v>
      </c>
      <c r="D37" s="1250">
        <f>IF('Mkt Pen Veh-Mi'!D37=0,1,1/((1-Fuel2ShrbyTech!D38)/'Inputs 7&amp;8 Sleep'!$P50+Fuel2ShrbyTech!D38/'Inputs 7&amp;8 Sleep'!$V50))</f>
        <v>8.8545754222065227</v>
      </c>
      <c r="E37" s="1250">
        <f>IF('Mkt Pen Veh-Mi'!E37=0,1,1/((1-Fuel2ShrbyTech!E38)/'Inputs 7&amp;8 Sleep'!$Q50+Fuel2ShrbyTech!E38/'Inputs 7&amp;8 Sleep'!$W50))</f>
        <v>1</v>
      </c>
      <c r="F37" s="1250">
        <f>IF('Mkt Pen Veh-Mi'!F37=0,1,1/((1-Fuel2ShrbyTech!F38)/'Inputs 7&amp;8 Sleep'!$R50+Fuel2ShrbyTech!F38/'Inputs 7&amp;8 Sleep'!$X50))</f>
        <v>1</v>
      </c>
      <c r="G37" s="1251">
        <f>IF('Mkt Pen Veh-Mi'!G37=0,1,1/((1-Fuel2ShrbyTech!G38)/'Inputs 7&amp;8 Sleep'!$S50+Fuel2ShrbyTech!G38/'Inputs 7&amp;8 Sleep'!$Y50))</f>
        <v>1</v>
      </c>
      <c r="H37" s="1249">
        <f>IF('Mkt Pen Veh-Mi'!H37=0,1,1/((1-Fuel2ShrbyTech!H38)/'Inputs 7&amp;8 Day'!$N50+Fuel2ShrbyTech!H38/'Inputs 7&amp;8 Day'!$T50))</f>
        <v>7.4516303296956377</v>
      </c>
      <c r="I37" s="1250">
        <f>IF('Mkt Pen Veh-Mi'!I37=0,1,1/((1-Fuel2ShrbyTech!I38)/'Inputs 7&amp;8 Day'!$O50+Fuel2ShrbyTech!I38/'Inputs 7&amp;8 Day'!$U50))</f>
        <v>8.7533296535469436</v>
      </c>
      <c r="J37" s="1250">
        <f>IF('Mkt Pen Veh-Mi'!J37=0,1,1/((1-Fuel2ShrbyTech!J38)/'Inputs 7&amp;8 Day'!$P50+Fuel2ShrbyTech!J38/'Inputs 7&amp;8 Day'!$V50))</f>
        <v>8.8020045184943179</v>
      </c>
      <c r="K37" s="1250">
        <f>IF('Mkt Pen Veh-Mi'!K37=0,1,1/((1-Fuel2ShrbyTech!K38)/'Inputs 7&amp;8 Day'!$Q50+Fuel2ShrbyTech!K38/'Inputs 7&amp;8 Day'!$W50))</f>
        <v>10.085696444168304</v>
      </c>
      <c r="L37" s="1250">
        <f>IF('Mkt Pen Veh-Mi'!L37=0,1,1/((1-Fuel2ShrbyTech!L38)/'Inputs 7&amp;8 Day'!$R50+Fuel2ShrbyTech!L38/'Inputs 7&amp;8 Day'!$X50))</f>
        <v>1</v>
      </c>
      <c r="M37" s="1251">
        <f>IF('Mkt Pen Veh-Mi'!M37=0,1,1/((1-Fuel2ShrbyTech!M38)/'Inputs 7&amp;8 Day'!$S50+Fuel2ShrbyTech!M38/'Inputs 7&amp;8 Day'!$Y50))</f>
        <v>1</v>
      </c>
      <c r="N37" s="1249">
        <f>IF('Mkt Pen Veh-Mi'!N37=0,1,1/((1-Fuel2ShrbyTech!N38)/'Inputs 7&amp;8 SU'!$N50+Fuel2ShrbyTech!N38/'Inputs 7&amp;8 SU'!$T50))</f>
        <v>8.5443225322573806</v>
      </c>
      <c r="O37" s="1250">
        <f>IF('Mkt Pen Veh-Mi'!O37=0,1,1/((1-Fuel2ShrbyTech!O38)/'Inputs 7&amp;8 SU'!$O50+Fuel2ShrbyTech!O38/'Inputs 7&amp;8 SU'!$U50))</f>
        <v>10.115631415583909</v>
      </c>
      <c r="P37" s="1250">
        <f>IF('Mkt Pen Veh-Mi'!P37=0,1,1/((1-Fuel2ShrbyTech!P38)/'Inputs 7&amp;8 SU'!$P50+Fuel2ShrbyTech!P38/'Inputs 7&amp;8 SU'!$V50))</f>
        <v>10.721565301528994</v>
      </c>
      <c r="Q37" s="1250">
        <f>IF('Mkt Pen Veh-Mi'!Q37=0,1,1/((1-Fuel2ShrbyTech!Q38)/'Inputs 7&amp;8 SU'!$Q50+Fuel2ShrbyTech!Q38/'Inputs 7&amp;8 SU'!$W50))</f>
        <v>12.071915647892972</v>
      </c>
      <c r="R37" s="1250">
        <f>IF('Mkt Pen Veh-Mi'!R37=0,1,1/((1-Fuel2ShrbyTech!R38)/'Inputs 7&amp;8 SU'!$R50+Fuel2ShrbyTech!R38/'Inputs 7&amp;8 SU'!$X50))</f>
        <v>15.024997799091448</v>
      </c>
      <c r="S37" s="1251">
        <f>IF('Mkt Pen Veh-Mi'!S37=0,1,1/((1-Fuel2ShrbyTech!S38)/'Inputs 7&amp;8 SU'!$S50+Fuel2ShrbyTech!S38/'Inputs 7&amp;8 SU'!$Y50))</f>
        <v>1</v>
      </c>
      <c r="U37" s="1198">
        <f t="shared" si="13"/>
        <v>2035</v>
      </c>
      <c r="V37" s="1249">
        <f t="shared" si="14"/>
        <v>8.0685847555815613</v>
      </c>
      <c r="W37" s="1250">
        <f t="shared" si="15"/>
        <v>8.1753579269962202</v>
      </c>
      <c r="X37" s="1250">
        <f t="shared" si="16"/>
        <v>8.8545754222065227</v>
      </c>
      <c r="Y37" s="1250">
        <f t="shared" si="17"/>
        <v>0</v>
      </c>
      <c r="Z37" s="1250">
        <f t="shared" si="18"/>
        <v>0</v>
      </c>
      <c r="AA37" s="1251">
        <f t="shared" si="19"/>
        <v>0</v>
      </c>
      <c r="AB37" s="1249">
        <f t="shared" si="20"/>
        <v>7.4516303296956377</v>
      </c>
      <c r="AC37" s="1250">
        <f t="shared" si="21"/>
        <v>8.7533296535469436</v>
      </c>
      <c r="AD37" s="1250">
        <f t="shared" si="22"/>
        <v>8.8020045184943179</v>
      </c>
      <c r="AE37" s="1250">
        <f t="shared" si="23"/>
        <v>10.085696444168304</v>
      </c>
      <c r="AF37" s="1250">
        <f t="shared" si="24"/>
        <v>0</v>
      </c>
      <c r="AG37" s="1251">
        <f t="shared" si="25"/>
        <v>0</v>
      </c>
      <c r="AH37" s="1249">
        <f t="shared" si="26"/>
        <v>8.5443225322573806</v>
      </c>
      <c r="AI37" s="1250">
        <f t="shared" si="27"/>
        <v>10.115631415583909</v>
      </c>
      <c r="AJ37" s="1250">
        <f t="shared" si="28"/>
        <v>10.721565301528994</v>
      </c>
      <c r="AK37" s="1250">
        <f t="shared" si="29"/>
        <v>12.071915647892972</v>
      </c>
      <c r="AL37" s="1250">
        <f t="shared" si="30"/>
        <v>15.024997799091448</v>
      </c>
      <c r="AM37" s="1251">
        <f t="shared" si="31"/>
        <v>0</v>
      </c>
      <c r="AN37" s="1177">
        <v>2035</v>
      </c>
      <c r="AO37" s="1323">
        <f t="array" ref="AO37">1/SUMPRODUCT(IFERROR(1/V37:AA37,0),'Mkt Pen Veh-Mi'!B37:G37)</f>
        <v>8.3031734905234718</v>
      </c>
      <c r="AP37" s="1324">
        <f t="array" ref="AP37">1/SUMPRODUCT(IFERROR(1/AB37:AG37,0),'Mkt Pen Veh-Mi'!H37:M37)</f>
        <v>8.4842541266359781</v>
      </c>
      <c r="AQ37" s="1328">
        <f t="array" ref="AQ37">1/SUMPRODUCT(IFERROR(1/AH37:AM37,0),'Mkt Pen Veh-Mi'!N37:S37)</f>
        <v>9.5800662645966117</v>
      </c>
      <c r="AR37" s="1321">
        <v>2035</v>
      </c>
      <c r="AS37" s="1329">
        <f t="shared" si="32"/>
        <v>1.0290743348490738</v>
      </c>
      <c r="AT37" s="1330">
        <f t="shared" si="33"/>
        <v>1.1385768954245101</v>
      </c>
      <c r="AU37" s="1330">
        <f t="shared" si="34"/>
        <v>1.1212201117676666</v>
      </c>
      <c r="AV37" s="1331">
        <v>1.733471734567664</v>
      </c>
    </row>
    <row r="38" spans="1:48" s="1177" customFormat="1" ht="15" x14ac:dyDescent="0.2">
      <c r="A38" s="1192">
        <v>2036</v>
      </c>
      <c r="B38" s="1252">
        <f>IF('Mkt Pen Veh-Mi'!B38=0,1,1/((1-Fuel2ShrbyTech!B39)/'Inputs 7&amp;8 Sleep'!$N51+Fuel2ShrbyTech!B39/'Inputs 7&amp;8 Sleep'!$T51))</f>
        <v>8.0827348383128879</v>
      </c>
      <c r="C38" s="1253">
        <f>IF('Mkt Pen Veh-Mi'!C38=0,1,1/((1-Fuel2ShrbyTech!C39)/'Inputs 7&amp;8 Sleep'!$O51+Fuel2ShrbyTech!C39/'Inputs 7&amp;8 Sleep'!$U51))</f>
        <v>8.2656894200220226</v>
      </c>
      <c r="D38" s="1253">
        <f>IF('Mkt Pen Veh-Mi'!D38=0,1,1/((1-Fuel2ShrbyTech!D39)/'Inputs 7&amp;8 Sleep'!$P51+Fuel2ShrbyTech!D39/'Inputs 7&amp;8 Sleep'!$V51))</f>
        <v>8.997573231603015</v>
      </c>
      <c r="E38" s="1253">
        <f>IF('Mkt Pen Veh-Mi'!E38=0,1,1/((1-Fuel2ShrbyTech!E39)/'Inputs 7&amp;8 Sleep'!$Q51+Fuel2ShrbyTech!E39/'Inputs 7&amp;8 Sleep'!$W51))</f>
        <v>1</v>
      </c>
      <c r="F38" s="1253">
        <f>IF('Mkt Pen Veh-Mi'!F38=0,1,1/((1-Fuel2ShrbyTech!F39)/'Inputs 7&amp;8 Sleep'!$R51+Fuel2ShrbyTech!F39/'Inputs 7&amp;8 Sleep'!$X51))</f>
        <v>1</v>
      </c>
      <c r="G38" s="1254">
        <f>IF('Mkt Pen Veh-Mi'!G38=0,1,1/((1-Fuel2ShrbyTech!G39)/'Inputs 7&amp;8 Sleep'!$S51+Fuel2ShrbyTech!G39/'Inputs 7&amp;8 Sleep'!$Y51))</f>
        <v>1</v>
      </c>
      <c r="H38" s="1252">
        <f>IF('Mkt Pen Veh-Mi'!H38=0,1,1/((1-Fuel2ShrbyTech!H39)/'Inputs 7&amp;8 Day'!$N51+Fuel2ShrbyTech!H39/'Inputs 7&amp;8 Day'!$T51))</f>
        <v>7.4551478614568492</v>
      </c>
      <c r="I38" s="1253">
        <f>IF('Mkt Pen Veh-Mi'!I38=0,1,1/((1-Fuel2ShrbyTech!I39)/'Inputs 7&amp;8 Day'!$O51+Fuel2ShrbyTech!I39/'Inputs 7&amp;8 Day'!$U51))</f>
        <v>8.757461650668434</v>
      </c>
      <c r="J38" s="1253">
        <f>IF('Mkt Pen Veh-Mi'!J38=0,1,1/((1-Fuel2ShrbyTech!J39)/'Inputs 7&amp;8 Day'!$P51+Fuel2ShrbyTech!J39/'Inputs 7&amp;8 Day'!$V51))</f>
        <v>8.8061594925182902</v>
      </c>
      <c r="K38" s="1253">
        <f>IF('Mkt Pen Veh-Mi'!K38=0,1,1/((1-Fuel2ShrbyTech!K39)/'Inputs 7&amp;8 Day'!$Q51+Fuel2ShrbyTech!K39/'Inputs 7&amp;8 Day'!$W51))</f>
        <v>10.215392328737179</v>
      </c>
      <c r="L38" s="1253">
        <f>IF('Mkt Pen Veh-Mi'!L38=0,1,1/((1-Fuel2ShrbyTech!L39)/'Inputs 7&amp;8 Day'!$R51+Fuel2ShrbyTech!L39/'Inputs 7&amp;8 Day'!$X51))</f>
        <v>1</v>
      </c>
      <c r="M38" s="1254">
        <f>IF('Mkt Pen Veh-Mi'!M38=0,1,1/((1-Fuel2ShrbyTech!M39)/'Inputs 7&amp;8 Day'!$S51+Fuel2ShrbyTech!M39/'Inputs 7&amp;8 Day'!$Y51))</f>
        <v>1</v>
      </c>
      <c r="N38" s="1252">
        <f>IF('Mkt Pen Veh-Mi'!N38=0,1,1/((1-Fuel2ShrbyTech!N39)/'Inputs 7&amp;8 SU'!$N51+Fuel2ShrbyTech!N39/'Inputs 7&amp;8 SU'!$T51))</f>
        <v>8.5444945413697049</v>
      </c>
      <c r="O38" s="1253">
        <f>IF('Mkt Pen Veh-Mi'!O38=0,1,1/((1-Fuel2ShrbyTech!O39)/'Inputs 7&amp;8 SU'!$O51+Fuel2ShrbyTech!O39/'Inputs 7&amp;8 SU'!$U51))</f>
        <v>10.115835057332429</v>
      </c>
      <c r="P38" s="1253">
        <f>IF('Mkt Pen Veh-Mi'!P38=0,1,1/((1-Fuel2ShrbyTech!P39)/'Inputs 7&amp;8 SU'!$P51+Fuel2ShrbyTech!P39/'Inputs 7&amp;8 SU'!$V51))</f>
        <v>10.721781141570528</v>
      </c>
      <c r="Q38" s="1253">
        <f>IF('Mkt Pen Veh-Mi'!Q38=0,1,1/((1-Fuel2ShrbyTech!Q39)/'Inputs 7&amp;8 SU'!$Q51+Fuel2ShrbyTech!Q39/'Inputs 7&amp;8 SU'!$W51))</f>
        <v>12.072158672367625</v>
      </c>
      <c r="R38" s="1253">
        <f>IF('Mkt Pen Veh-Mi'!R38=0,1,1/((1-Fuel2ShrbyTech!R39)/'Inputs 7&amp;8 SU'!$R51+Fuel2ShrbyTech!R39/'Inputs 7&amp;8 SU'!$X51))</f>
        <v>15.230024978867016</v>
      </c>
      <c r="S38" s="1254">
        <f>IF('Mkt Pen Veh-Mi'!S38=0,1,1/((1-Fuel2ShrbyTech!S39)/'Inputs 7&amp;8 SU'!$S51+Fuel2ShrbyTech!S39/'Inputs 7&amp;8 SU'!$Y51))</f>
        <v>1</v>
      </c>
      <c r="U38" s="1192">
        <f t="shared" si="13"/>
        <v>2036</v>
      </c>
      <c r="V38" s="1252">
        <f t="shared" si="14"/>
        <v>8.0827348383128879</v>
      </c>
      <c r="W38" s="1253">
        <f t="shared" si="15"/>
        <v>8.2656894200220226</v>
      </c>
      <c r="X38" s="1253">
        <f t="shared" si="16"/>
        <v>8.997573231603015</v>
      </c>
      <c r="Y38" s="1253">
        <f t="shared" si="17"/>
        <v>0</v>
      </c>
      <c r="Z38" s="1253">
        <f t="shared" si="18"/>
        <v>0</v>
      </c>
      <c r="AA38" s="1254">
        <f t="shared" si="19"/>
        <v>0</v>
      </c>
      <c r="AB38" s="1252">
        <f t="shared" si="20"/>
        <v>7.4551478614568492</v>
      </c>
      <c r="AC38" s="1253">
        <f t="shared" si="21"/>
        <v>8.757461650668434</v>
      </c>
      <c r="AD38" s="1253">
        <f t="shared" si="22"/>
        <v>8.8061594925182902</v>
      </c>
      <c r="AE38" s="1253">
        <f t="shared" si="23"/>
        <v>10.215392328737179</v>
      </c>
      <c r="AF38" s="1253">
        <f t="shared" si="24"/>
        <v>0</v>
      </c>
      <c r="AG38" s="1254">
        <f t="shared" si="25"/>
        <v>0</v>
      </c>
      <c r="AH38" s="1252">
        <f t="shared" si="26"/>
        <v>8.5444945413697049</v>
      </c>
      <c r="AI38" s="1253">
        <f t="shared" si="27"/>
        <v>10.115835057332429</v>
      </c>
      <c r="AJ38" s="1253">
        <f t="shared" si="28"/>
        <v>10.721781141570528</v>
      </c>
      <c r="AK38" s="1253">
        <f t="shared" si="29"/>
        <v>12.072158672367625</v>
      </c>
      <c r="AL38" s="1253">
        <f t="shared" si="30"/>
        <v>15.230024978867016</v>
      </c>
      <c r="AM38" s="1254">
        <f t="shared" si="31"/>
        <v>0</v>
      </c>
      <c r="AN38" s="1177">
        <v>2036</v>
      </c>
      <c r="AO38" s="1323">
        <f t="array" ref="AO38">1/SUMPRODUCT(IFERROR(1/V38:AA38,0),'Mkt Pen Veh-Mi'!B38:G38)</f>
        <v>8.4335968986174148</v>
      </c>
      <c r="AP38" s="1324">
        <f t="array" ref="AP38">1/SUMPRODUCT(IFERROR(1/AB38:AG38,0),'Mkt Pen Veh-Mi'!H38:M38)</f>
        <v>8.5087066886716514</v>
      </c>
      <c r="AQ38" s="1328">
        <f t="array" ref="AQ38">1/SUMPRODUCT(IFERROR(1/AH38:AM38,0),'Mkt Pen Veh-Mi'!N38:S38)</f>
        <v>9.6112562487909354</v>
      </c>
      <c r="AR38" s="1321">
        <v>2036</v>
      </c>
      <c r="AS38" s="1323">
        <f t="shared" si="32"/>
        <v>1.0434088297244899</v>
      </c>
      <c r="AT38" s="1324">
        <f t="shared" si="33"/>
        <v>1.1413196420505227</v>
      </c>
      <c r="AU38" s="1324">
        <f t="shared" si="34"/>
        <v>1.1248478423453034</v>
      </c>
      <c r="AV38" s="1328">
        <v>1.9033105938350969</v>
      </c>
    </row>
    <row r="39" spans="1:48" s="1177" customFormat="1" ht="15" x14ac:dyDescent="0.2">
      <c r="A39" s="1192">
        <v>2037</v>
      </c>
      <c r="B39" s="1246">
        <f>IF('Mkt Pen Veh-Mi'!B39=0,1,1/((1-Fuel2ShrbyTech!B40)/'Inputs 7&amp;8 Sleep'!$N52+Fuel2ShrbyTech!B40/'Inputs 7&amp;8 Sleep'!$T52))</f>
        <v>8.0946677445201622</v>
      </c>
      <c r="C39" s="1247">
        <f>IF('Mkt Pen Veh-Mi'!C39=0,1,1/((1-Fuel2ShrbyTech!C40)/'Inputs 7&amp;8 Sleep'!$O52+Fuel2ShrbyTech!C40/'Inputs 7&amp;8 Sleep'!$U52))</f>
        <v>8.3207683056087536</v>
      </c>
      <c r="D39" s="1247">
        <f>IF('Mkt Pen Veh-Mi'!D39=0,1,1/((1-Fuel2ShrbyTech!D40)/'Inputs 7&amp;8 Sleep'!$P52+Fuel2ShrbyTech!D40/'Inputs 7&amp;8 Sleep'!$V52))</f>
        <v>9.0847649708190676</v>
      </c>
      <c r="E39" s="1247">
        <f>IF('Mkt Pen Veh-Mi'!E39=0,1,1/((1-Fuel2ShrbyTech!E40)/'Inputs 7&amp;8 Sleep'!$Q52+Fuel2ShrbyTech!E40/'Inputs 7&amp;8 Sleep'!$W52))</f>
        <v>1</v>
      </c>
      <c r="F39" s="1247">
        <f>IF('Mkt Pen Veh-Mi'!F39=0,1,1/((1-Fuel2ShrbyTech!F40)/'Inputs 7&amp;8 Sleep'!$R52+Fuel2ShrbyTech!F40/'Inputs 7&amp;8 Sleep'!$X52))</f>
        <v>1</v>
      </c>
      <c r="G39" s="1248">
        <f>IF('Mkt Pen Veh-Mi'!G39=0,1,1/((1-Fuel2ShrbyTech!G40)/'Inputs 7&amp;8 Sleep'!$S52+Fuel2ShrbyTech!G40/'Inputs 7&amp;8 Sleep'!$Y52))</f>
        <v>1</v>
      </c>
      <c r="H39" s="1246">
        <f>IF('Mkt Pen Veh-Mi'!H39=0,1,1/((1-Fuel2ShrbyTech!H40)/'Inputs 7&amp;8 Day'!$N52+Fuel2ShrbyTech!H40/'Inputs 7&amp;8 Day'!$T52))</f>
        <v>7.4551644145974123</v>
      </c>
      <c r="I39" s="1247">
        <f>IF('Mkt Pen Veh-Mi'!I39=0,1,1/((1-Fuel2ShrbyTech!I40)/'Inputs 7&amp;8 Day'!$O52+Fuel2ShrbyTech!I40/'Inputs 7&amp;8 Day'!$U52))</f>
        <v>8.7574810954194149</v>
      </c>
      <c r="J39" s="1247">
        <f>IF('Mkt Pen Veh-Mi'!J39=0,1,1/((1-Fuel2ShrbyTech!J40)/'Inputs 7&amp;8 Day'!$P52+Fuel2ShrbyTech!J40/'Inputs 7&amp;8 Day'!$V52))</f>
        <v>8.8061790453961972</v>
      </c>
      <c r="K39" s="1247">
        <f>IF('Mkt Pen Veh-Mi'!K39=0,1,1/((1-Fuel2ShrbyTech!K40)/'Inputs 7&amp;8 Day'!$Q52+Fuel2ShrbyTech!K40/'Inputs 7&amp;8 Day'!$W52))</f>
        <v>10.337966762048136</v>
      </c>
      <c r="L39" s="1247">
        <f>IF('Mkt Pen Veh-Mi'!L39=0,1,1/((1-Fuel2ShrbyTech!L40)/'Inputs 7&amp;8 Day'!$R52+Fuel2ShrbyTech!L40/'Inputs 7&amp;8 Day'!$X52))</f>
        <v>1</v>
      </c>
      <c r="M39" s="1248">
        <f>IF('Mkt Pen Veh-Mi'!M39=0,1,1/((1-Fuel2ShrbyTech!M40)/'Inputs 7&amp;8 Day'!$S52+Fuel2ShrbyTech!M40/'Inputs 7&amp;8 Day'!$Y52))</f>
        <v>1</v>
      </c>
      <c r="N39" s="1246">
        <f>IF('Mkt Pen Veh-Mi'!N39=0,1,1/((1-Fuel2ShrbyTech!N40)/'Inputs 7&amp;8 SU'!$N52+Fuel2ShrbyTech!N40/'Inputs 7&amp;8 SU'!$T52))</f>
        <v>8.5450857966197695</v>
      </c>
      <c r="O39" s="1247">
        <f>IF('Mkt Pen Veh-Mi'!O39=0,1,1/((1-Fuel2ShrbyTech!O40)/'Inputs 7&amp;8 SU'!$O52+Fuel2ShrbyTech!O40/'Inputs 7&amp;8 SU'!$U52))</f>
        <v>10.116535044974469</v>
      </c>
      <c r="P39" s="1247">
        <f>IF('Mkt Pen Veh-Mi'!P39=0,1,1/((1-Fuel2ShrbyTech!P40)/'Inputs 7&amp;8 SU'!$P52+Fuel2ShrbyTech!P40/'Inputs 7&amp;8 SU'!$V52))</f>
        <v>10.722523058995755</v>
      </c>
      <c r="Q39" s="1247">
        <f>IF('Mkt Pen Veh-Mi'!Q39=0,1,1/((1-Fuel2ShrbyTech!Q40)/'Inputs 7&amp;8 SU'!$Q52+Fuel2ShrbyTech!Q40/'Inputs 7&amp;8 SU'!$W52))</f>
        <v>12.072994032161008</v>
      </c>
      <c r="R39" s="1247">
        <f>IF('Mkt Pen Veh-Mi'!R39=0,1,1/((1-Fuel2ShrbyTech!R40)/'Inputs 7&amp;8 SU'!$R52+Fuel2ShrbyTech!R40/'Inputs 7&amp;8 SU'!$X52))</f>
        <v>15.426737518014745</v>
      </c>
      <c r="S39" s="1248">
        <f>IF('Mkt Pen Veh-Mi'!S39=0,1,1/((1-Fuel2ShrbyTech!S40)/'Inputs 7&amp;8 SU'!$S52+Fuel2ShrbyTech!S40/'Inputs 7&amp;8 SU'!$Y52))</f>
        <v>1</v>
      </c>
      <c r="U39" s="1192">
        <f t="shared" si="13"/>
        <v>2037</v>
      </c>
      <c r="V39" s="1246">
        <f t="shared" si="14"/>
        <v>8.0946677445201622</v>
      </c>
      <c r="W39" s="1247">
        <f t="shared" si="15"/>
        <v>8.3207683056087536</v>
      </c>
      <c r="X39" s="1247">
        <f t="shared" si="16"/>
        <v>9.0847649708190676</v>
      </c>
      <c r="Y39" s="1247">
        <f t="shared" si="17"/>
        <v>0</v>
      </c>
      <c r="Z39" s="1247">
        <f t="shared" si="18"/>
        <v>0</v>
      </c>
      <c r="AA39" s="1248">
        <f t="shared" si="19"/>
        <v>0</v>
      </c>
      <c r="AB39" s="1246">
        <f t="shared" si="20"/>
        <v>7.4551644145974123</v>
      </c>
      <c r="AC39" s="1247">
        <f t="shared" si="21"/>
        <v>8.7574810954194149</v>
      </c>
      <c r="AD39" s="1247">
        <f t="shared" si="22"/>
        <v>8.8061790453961972</v>
      </c>
      <c r="AE39" s="1247">
        <f t="shared" si="23"/>
        <v>10.337966762048136</v>
      </c>
      <c r="AF39" s="1247">
        <f t="shared" si="24"/>
        <v>0</v>
      </c>
      <c r="AG39" s="1248">
        <f t="shared" si="25"/>
        <v>0</v>
      </c>
      <c r="AH39" s="1246">
        <f t="shared" si="26"/>
        <v>8.5450857966197695</v>
      </c>
      <c r="AI39" s="1247">
        <f t="shared" si="27"/>
        <v>10.116535044974469</v>
      </c>
      <c r="AJ39" s="1247">
        <f t="shared" si="28"/>
        <v>10.722523058995755</v>
      </c>
      <c r="AK39" s="1247">
        <f t="shared" si="29"/>
        <v>12.072994032161008</v>
      </c>
      <c r="AL39" s="1247">
        <f t="shared" si="30"/>
        <v>15.426737518014745</v>
      </c>
      <c r="AM39" s="1248">
        <f t="shared" si="31"/>
        <v>0</v>
      </c>
      <c r="AN39" s="1177">
        <v>2037</v>
      </c>
      <c r="AO39" s="1323">
        <f t="array" ref="AO39">1/SUMPRODUCT(IFERROR(1/V39:AA39,0),'Mkt Pen Veh-Mi'!B39:G39)</f>
        <v>8.5089970056303503</v>
      </c>
      <c r="AP39" s="1324">
        <f t="array" ref="AP39">1/SUMPRODUCT(IFERROR(1/AB39:AG39,0),'Mkt Pen Veh-Mi'!H39:M39)</f>
        <v>8.5331311152131022</v>
      </c>
      <c r="AQ39" s="1328">
        <f t="array" ref="AQ39">1/SUMPRODUCT(IFERROR(1/AH39:AM39,0),'Mkt Pen Veh-Mi'!N39:S39)</f>
        <v>9.6178714698618819</v>
      </c>
      <c r="AR39" s="1321">
        <v>2037</v>
      </c>
      <c r="AS39" s="1323">
        <f t="shared" si="32"/>
        <v>1.0511854561777012</v>
      </c>
      <c r="AT39" s="1324">
        <f t="shared" si="33"/>
        <v>1.1445932833493253</v>
      </c>
      <c r="AU39" s="1324">
        <f t="shared" si="34"/>
        <v>1.1255441664104158</v>
      </c>
      <c r="AV39" s="1328">
        <v>2.0330617296005014</v>
      </c>
    </row>
    <row r="40" spans="1:48" s="1177" customFormat="1" ht="15" x14ac:dyDescent="0.2">
      <c r="A40" s="1192">
        <v>2038</v>
      </c>
      <c r="B40" s="1246">
        <f>IF('Mkt Pen Veh-Mi'!B40=0,1,1/((1-Fuel2ShrbyTech!B41)/'Inputs 7&amp;8 Sleep'!$N53+Fuel2ShrbyTech!B41/'Inputs 7&amp;8 Sleep'!$T53))</f>
        <v>8.1005862254693923</v>
      </c>
      <c r="C40" s="1247">
        <f>IF('Mkt Pen Veh-Mi'!C40=0,1,1/((1-Fuel2ShrbyTech!C41)/'Inputs 7&amp;8 Sleep'!$O53+Fuel2ShrbyTech!C41/'Inputs 7&amp;8 Sleep'!$U53))</f>
        <v>8.406104719359087</v>
      </c>
      <c r="D40" s="1247">
        <f>IF('Mkt Pen Veh-Mi'!D40=0,1,1/((1-Fuel2ShrbyTech!D41)/'Inputs 7&amp;8 Sleep'!$P53+Fuel2ShrbyTech!D41/'Inputs 7&amp;8 Sleep'!$V53))</f>
        <v>9.2198554007377318</v>
      </c>
      <c r="E40" s="1247">
        <f>IF('Mkt Pen Veh-Mi'!E40=0,1,1/((1-Fuel2ShrbyTech!E41)/'Inputs 7&amp;8 Sleep'!$Q53+Fuel2ShrbyTech!E41/'Inputs 7&amp;8 Sleep'!$W53))</f>
        <v>1</v>
      </c>
      <c r="F40" s="1247">
        <f>IF('Mkt Pen Veh-Mi'!F40=0,1,1/((1-Fuel2ShrbyTech!F41)/'Inputs 7&amp;8 Sleep'!$R53+Fuel2ShrbyTech!F41/'Inputs 7&amp;8 Sleep'!$X53))</f>
        <v>1</v>
      </c>
      <c r="G40" s="1248">
        <f>IF('Mkt Pen Veh-Mi'!G40=0,1,1/((1-Fuel2ShrbyTech!G41)/'Inputs 7&amp;8 Sleep'!$S53+Fuel2ShrbyTech!G41/'Inputs 7&amp;8 Sleep'!$Y53))</f>
        <v>1</v>
      </c>
      <c r="H40" s="1246">
        <f>IF('Mkt Pen Veh-Mi'!H40=0,1,1/((1-Fuel2ShrbyTech!H41)/'Inputs 7&amp;8 Day'!$N53+Fuel2ShrbyTech!H41/'Inputs 7&amp;8 Day'!$T53))</f>
        <v>7.4551809677379772</v>
      </c>
      <c r="I40" s="1247">
        <f>IF('Mkt Pen Veh-Mi'!I40=0,1,1/((1-Fuel2ShrbyTech!I41)/'Inputs 7&amp;8 Day'!$O53+Fuel2ShrbyTech!I41/'Inputs 7&amp;8 Day'!$U53))</f>
        <v>8.7575005401703958</v>
      </c>
      <c r="J40" s="1247">
        <f>IF('Mkt Pen Veh-Mi'!J40=0,1,1/((1-Fuel2ShrbyTech!J41)/'Inputs 7&amp;8 Day'!$P53+Fuel2ShrbyTech!J41/'Inputs 7&amp;8 Day'!$V53))</f>
        <v>8.8061985982741025</v>
      </c>
      <c r="K40" s="1247">
        <f>IF('Mkt Pen Veh-Mi'!K40=0,1,1/((1-Fuel2ShrbyTech!K41)/'Inputs 7&amp;8 Day'!$Q53+Fuel2ShrbyTech!K41/'Inputs 7&amp;8 Day'!$W53))</f>
        <v>10.459191289305608</v>
      </c>
      <c r="L40" s="1247">
        <f>IF('Mkt Pen Veh-Mi'!L40=0,1,1/((1-Fuel2ShrbyTech!L41)/'Inputs 7&amp;8 Day'!$R53+Fuel2ShrbyTech!L41/'Inputs 7&amp;8 Day'!$X53))</f>
        <v>1</v>
      </c>
      <c r="M40" s="1248">
        <f>IF('Mkt Pen Veh-Mi'!M40=0,1,1/((1-Fuel2ShrbyTech!M41)/'Inputs 7&amp;8 Day'!$S53+Fuel2ShrbyTech!M41/'Inputs 7&amp;8 Day'!$Y53))</f>
        <v>1</v>
      </c>
      <c r="N40" s="1246">
        <f>IF('Mkt Pen Veh-Mi'!N40=0,1,1/((1-Fuel2ShrbyTech!N41)/'Inputs 7&amp;8 SU'!$N53+Fuel2ShrbyTech!N41/'Inputs 7&amp;8 SU'!$T53))</f>
        <v>8.5458752554962878</v>
      </c>
      <c r="O40" s="1247">
        <f>IF('Mkt Pen Veh-Mi'!O40=0,1,1/((1-Fuel2ShrbyTech!O41)/'Inputs 7&amp;8 SU'!$O53+Fuel2ShrbyTech!O41/'Inputs 7&amp;8 SU'!$U53))</f>
        <v>10.11746968607474</v>
      </c>
      <c r="P40" s="1247">
        <f>IF('Mkt Pen Veh-Mi'!P40=0,1,1/((1-Fuel2ShrbyTech!P41)/'Inputs 7&amp;8 SU'!$P53+Fuel2ShrbyTech!P41/'Inputs 7&amp;8 SU'!$V53))</f>
        <v>10.723513685796828</v>
      </c>
      <c r="Q40" s="1247">
        <f>IF('Mkt Pen Veh-Mi'!Q40=0,1,1/((1-Fuel2ShrbyTech!Q41)/'Inputs 7&amp;8 SU'!$Q53+Fuel2ShrbyTech!Q41/'Inputs 7&amp;8 SU'!$W53))</f>
        <v>12.074109425561577</v>
      </c>
      <c r="R40" s="1247">
        <f>IF('Mkt Pen Veh-Mi'!R40=0,1,1/((1-Fuel2ShrbyTech!R41)/'Inputs 7&amp;8 SU'!$R53+Fuel2ShrbyTech!R41/'Inputs 7&amp;8 SU'!$X53))</f>
        <v>15.628215962115055</v>
      </c>
      <c r="S40" s="1248">
        <f>IF('Mkt Pen Veh-Mi'!S40=0,1,1/((1-Fuel2ShrbyTech!S41)/'Inputs 7&amp;8 SU'!$S53+Fuel2ShrbyTech!S41/'Inputs 7&amp;8 SU'!$Y53))</f>
        <v>1</v>
      </c>
      <c r="U40" s="1192">
        <f t="shared" si="13"/>
        <v>2038</v>
      </c>
      <c r="V40" s="1246">
        <f t="shared" si="14"/>
        <v>8.1005862254693923</v>
      </c>
      <c r="W40" s="1247">
        <f t="shared" si="15"/>
        <v>8.406104719359087</v>
      </c>
      <c r="X40" s="1247">
        <f t="shared" si="16"/>
        <v>9.2198554007377318</v>
      </c>
      <c r="Y40" s="1247">
        <f t="shared" si="17"/>
        <v>0</v>
      </c>
      <c r="Z40" s="1247">
        <f t="shared" si="18"/>
        <v>0</v>
      </c>
      <c r="AA40" s="1248">
        <f t="shared" si="19"/>
        <v>0</v>
      </c>
      <c r="AB40" s="1246">
        <f t="shared" si="20"/>
        <v>7.4551809677379772</v>
      </c>
      <c r="AC40" s="1247">
        <f t="shared" si="21"/>
        <v>8.7575005401703958</v>
      </c>
      <c r="AD40" s="1247">
        <f t="shared" si="22"/>
        <v>8.8061985982741025</v>
      </c>
      <c r="AE40" s="1247">
        <f t="shared" si="23"/>
        <v>10.459191289305608</v>
      </c>
      <c r="AF40" s="1247">
        <f t="shared" si="24"/>
        <v>0</v>
      </c>
      <c r="AG40" s="1248">
        <f t="shared" si="25"/>
        <v>0</v>
      </c>
      <c r="AH40" s="1246">
        <f t="shared" si="26"/>
        <v>8.5458752554962878</v>
      </c>
      <c r="AI40" s="1247">
        <f t="shared" si="27"/>
        <v>10.11746968607474</v>
      </c>
      <c r="AJ40" s="1247">
        <f t="shared" si="28"/>
        <v>10.723513685796828</v>
      </c>
      <c r="AK40" s="1247">
        <f t="shared" si="29"/>
        <v>12.074109425561577</v>
      </c>
      <c r="AL40" s="1247">
        <f t="shared" si="30"/>
        <v>15.628215962115055</v>
      </c>
      <c r="AM40" s="1248">
        <f t="shared" si="31"/>
        <v>0</v>
      </c>
      <c r="AN40" s="1177">
        <v>2038</v>
      </c>
      <c r="AO40" s="1323">
        <f t="array" ref="AO40">1/SUMPRODUCT(IFERROR(1/V40:AA40,0),'Mkt Pen Veh-Mi'!B40:G40)</f>
        <v>8.5971118510986404</v>
      </c>
      <c r="AP40" s="1324">
        <f t="array" ref="AP40">1/SUMPRODUCT(IFERROR(1/AB40:AG40,0),'Mkt Pen Veh-Mi'!H40:M40)</f>
        <v>8.5504961387397032</v>
      </c>
      <c r="AQ40" s="1328">
        <f t="array" ref="AQ40">1/SUMPRODUCT(IFERROR(1/AH40:AM40,0),'Mkt Pen Veh-Mi'!N40:S40)</f>
        <v>9.6254203905656546</v>
      </c>
      <c r="AR40" s="1321">
        <v>2038</v>
      </c>
      <c r="AS40" s="1323">
        <f t="shared" si="32"/>
        <v>1.0612950238179184</v>
      </c>
      <c r="AT40" s="1324">
        <f t="shared" si="33"/>
        <v>1.1469199977494393</v>
      </c>
      <c r="AU40" s="1324">
        <f t="shared" si="34"/>
        <v>1.1263235306851755</v>
      </c>
      <c r="AV40" s="1328">
        <v>2.0837866625663999</v>
      </c>
    </row>
    <row r="41" spans="1:48" s="1177" customFormat="1" ht="15" x14ac:dyDescent="0.2">
      <c r="A41" s="1192">
        <v>2039</v>
      </c>
      <c r="B41" s="1246">
        <f>IF('Mkt Pen Veh-Mi'!B41=0,1,1/((1-Fuel2ShrbyTech!B42)/'Inputs 7&amp;8 Sleep'!$N54+Fuel2ShrbyTech!B42/'Inputs 7&amp;8 Sleep'!$T54))</f>
        <v>8.1041670415640823</v>
      </c>
      <c r="C41" s="1247">
        <f>IF('Mkt Pen Veh-Mi'!C41=0,1,1/((1-Fuel2ShrbyTech!C42)/'Inputs 7&amp;8 Sleep'!$O54+Fuel2ShrbyTech!C42/'Inputs 7&amp;8 Sleep'!$U54))</f>
        <v>8.5336338344726723</v>
      </c>
      <c r="D41" s="1247">
        <f>IF('Mkt Pen Veh-Mi'!D41=0,1,1/((1-Fuel2ShrbyTech!D42)/'Inputs 7&amp;8 Sleep'!$P54+Fuel2ShrbyTech!D42/'Inputs 7&amp;8 Sleep'!$V54))</f>
        <v>9.4217383043038936</v>
      </c>
      <c r="E41" s="1247">
        <f>IF('Mkt Pen Veh-Mi'!E41=0,1,1/((1-Fuel2ShrbyTech!E42)/'Inputs 7&amp;8 Sleep'!$Q54+Fuel2ShrbyTech!E42/'Inputs 7&amp;8 Sleep'!$W54))</f>
        <v>1</v>
      </c>
      <c r="F41" s="1247">
        <f>IF('Mkt Pen Veh-Mi'!F41=0,1,1/((1-Fuel2ShrbyTech!F42)/'Inputs 7&amp;8 Sleep'!$R54+Fuel2ShrbyTech!F42/'Inputs 7&amp;8 Sleep'!$X54))</f>
        <v>1</v>
      </c>
      <c r="G41" s="1248">
        <f>IF('Mkt Pen Veh-Mi'!G41=0,1,1/((1-Fuel2ShrbyTech!G42)/'Inputs 7&amp;8 Sleep'!$S54+Fuel2ShrbyTech!G42/'Inputs 7&amp;8 Sleep'!$Y54))</f>
        <v>1</v>
      </c>
      <c r="H41" s="1246">
        <f>IF('Mkt Pen Veh-Mi'!H41=0,1,1/((1-Fuel2ShrbyTech!H42)/'Inputs 7&amp;8 Day'!$N54+Fuel2ShrbyTech!H42/'Inputs 7&amp;8 Day'!$T54))</f>
        <v>7.4551975208785422</v>
      </c>
      <c r="I41" s="1247">
        <f>IF('Mkt Pen Veh-Mi'!I41=0,1,1/((1-Fuel2ShrbyTech!I42)/'Inputs 7&amp;8 Day'!$O54+Fuel2ShrbyTech!I42/'Inputs 7&amp;8 Day'!$U54))</f>
        <v>8.7575199849213785</v>
      </c>
      <c r="J41" s="1247">
        <f>IF('Mkt Pen Veh-Mi'!J41=0,1,1/((1-Fuel2ShrbyTech!J42)/'Inputs 7&amp;8 Day'!$P54+Fuel2ShrbyTech!J42/'Inputs 7&amp;8 Day'!$V54))</f>
        <v>8.8062181511520112</v>
      </c>
      <c r="K41" s="1247">
        <f>IF('Mkt Pen Veh-Mi'!K41=0,1,1/((1-Fuel2ShrbyTech!K42)/'Inputs 7&amp;8 Day'!$Q54+Fuel2ShrbyTech!K42/'Inputs 7&amp;8 Day'!$W54))</f>
        <v>10.606872772398599</v>
      </c>
      <c r="L41" s="1247">
        <f>IF('Mkt Pen Veh-Mi'!L41=0,1,1/((1-Fuel2ShrbyTech!L42)/'Inputs 7&amp;8 Day'!$R54+Fuel2ShrbyTech!L42/'Inputs 7&amp;8 Day'!$X54))</f>
        <v>1</v>
      </c>
      <c r="M41" s="1248">
        <f>IF('Mkt Pen Veh-Mi'!M41=0,1,1/((1-Fuel2ShrbyTech!M42)/'Inputs 7&amp;8 Day'!$S54+Fuel2ShrbyTech!M42/'Inputs 7&amp;8 Day'!$Y54))</f>
        <v>10.421552184850116</v>
      </c>
      <c r="N41" s="1246">
        <f>IF('Mkt Pen Veh-Mi'!N41=0,1,1/((1-Fuel2ShrbyTech!N42)/'Inputs 7&amp;8 SU'!$N54+Fuel2ShrbyTech!N42/'Inputs 7&amp;8 SU'!$T54))</f>
        <v>8.5469273081410861</v>
      </c>
      <c r="O41" s="1247">
        <f>IF('Mkt Pen Veh-Mi'!O41=0,1,1/((1-Fuel2ShrbyTech!O42)/'Inputs 7&amp;8 SU'!$O54+Fuel2ShrbyTech!O42/'Inputs 7&amp;8 SU'!$U54))</f>
        <v>10.118715212182209</v>
      </c>
      <c r="P41" s="1247">
        <f>IF('Mkt Pen Veh-Mi'!P41=0,1,1/((1-Fuel2ShrbyTech!P42)/'Inputs 7&amp;8 SU'!$P54+Fuel2ShrbyTech!P42/'Inputs 7&amp;8 SU'!$V54))</f>
        <v>10.724833819849501</v>
      </c>
      <c r="Q41" s="1247">
        <f>IF('Mkt Pen Veh-Mi'!Q41=0,1,1/((1-Fuel2ShrbyTech!Q42)/'Inputs 7&amp;8 SU'!$Q54+Fuel2ShrbyTech!Q42/'Inputs 7&amp;8 SU'!$W54))</f>
        <v>12.075595826705401</v>
      </c>
      <c r="R41" s="1247">
        <f>IF('Mkt Pen Veh-Mi'!R41=0,1,1/((1-Fuel2ShrbyTech!R42)/'Inputs 7&amp;8 SU'!$R54+Fuel2ShrbyTech!R42/'Inputs 7&amp;8 SU'!$X54))</f>
        <v>15.878493610515406</v>
      </c>
      <c r="S41" s="1248">
        <f>IF('Mkt Pen Veh-Mi'!S41=0,1,1/((1-Fuel2ShrbyTech!S42)/'Inputs 7&amp;8 SU'!$S54+Fuel2ShrbyTech!S42/'Inputs 7&amp;8 SU'!$Y54))</f>
        <v>28.250977120018931</v>
      </c>
      <c r="U41" s="1192">
        <f t="shared" si="13"/>
        <v>2039</v>
      </c>
      <c r="V41" s="1246">
        <f t="shared" si="14"/>
        <v>8.1041670415640823</v>
      </c>
      <c r="W41" s="1247">
        <f t="shared" si="15"/>
        <v>8.5336338344726723</v>
      </c>
      <c r="X41" s="1247">
        <f t="shared" si="16"/>
        <v>9.4217383043038936</v>
      </c>
      <c r="Y41" s="1247">
        <f t="shared" si="17"/>
        <v>0</v>
      </c>
      <c r="Z41" s="1247">
        <f t="shared" si="18"/>
        <v>0</v>
      </c>
      <c r="AA41" s="1248">
        <f t="shared" si="19"/>
        <v>0</v>
      </c>
      <c r="AB41" s="1246">
        <f t="shared" si="20"/>
        <v>7.4551975208785422</v>
      </c>
      <c r="AC41" s="1247">
        <f t="shared" si="21"/>
        <v>8.7575199849213785</v>
      </c>
      <c r="AD41" s="1247">
        <f t="shared" si="22"/>
        <v>8.8062181511520112</v>
      </c>
      <c r="AE41" s="1247">
        <f t="shared" si="23"/>
        <v>10.606872772398599</v>
      </c>
      <c r="AF41" s="1247">
        <f t="shared" si="24"/>
        <v>0</v>
      </c>
      <c r="AG41" s="1248">
        <f t="shared" si="25"/>
        <v>10.421552184850116</v>
      </c>
      <c r="AH41" s="1246">
        <f t="shared" si="26"/>
        <v>8.5469273081410861</v>
      </c>
      <c r="AI41" s="1247">
        <f t="shared" si="27"/>
        <v>10.118715212182209</v>
      </c>
      <c r="AJ41" s="1247">
        <f t="shared" si="28"/>
        <v>10.724833819849501</v>
      </c>
      <c r="AK41" s="1247">
        <f t="shared" si="29"/>
        <v>12.075595826705401</v>
      </c>
      <c r="AL41" s="1247">
        <f t="shared" si="30"/>
        <v>15.878493610515406</v>
      </c>
      <c r="AM41" s="1248">
        <f t="shared" si="31"/>
        <v>28.250977120018931</v>
      </c>
      <c r="AN41" s="1177">
        <v>2039</v>
      </c>
      <c r="AO41" s="1323">
        <f t="array" ref="AO41">1/SUMPRODUCT(IFERROR(1/V41:AA41,0),'Mkt Pen Veh-Mi'!B41:G41)</f>
        <v>8.7193460817924144</v>
      </c>
      <c r="AP41" s="1324">
        <f t="array" ref="AP41">1/SUMPRODUCT(IFERROR(1/AB41:AG41,0),'Mkt Pen Veh-Mi'!H41:M41)</f>
        <v>8.5782365605895503</v>
      </c>
      <c r="AQ41" s="1328">
        <f t="array" ref="AQ41">1/SUMPRODUCT(IFERROR(1/AH41:AM41,0),'Mkt Pen Veh-Mi'!N41:S41)</f>
        <v>9.6349347979791222</v>
      </c>
      <c r="AR41" s="1321">
        <v>2039</v>
      </c>
      <c r="AS41" s="1323">
        <f t="shared" si="32"/>
        <v>1.0759089783161238</v>
      </c>
      <c r="AT41" s="1324">
        <f t="shared" si="33"/>
        <v>1.1506384018083891</v>
      </c>
      <c r="AU41" s="1324">
        <f t="shared" si="34"/>
        <v>1.1272980862726762</v>
      </c>
      <c r="AV41" s="1328">
        <v>2.111395266587011</v>
      </c>
    </row>
    <row r="42" spans="1:48" s="1177" customFormat="1" ht="15" x14ac:dyDescent="0.2">
      <c r="A42" s="1198">
        <v>2040</v>
      </c>
      <c r="B42" s="1249">
        <f>IF('Mkt Pen Veh-Mi'!B42=0,1,1/((1-Fuel2ShrbyTech!B43)/'Inputs 7&amp;8 Sleep'!$N55+Fuel2ShrbyTech!B43/'Inputs 7&amp;8 Sleep'!$T55))</f>
        <v>8.1043325932001693</v>
      </c>
      <c r="C42" s="1250">
        <f>IF('Mkt Pen Veh-Mi'!C42=0,1,1/((1-Fuel2ShrbyTech!C43)/'Inputs 7&amp;8 Sleep'!$O55+Fuel2ShrbyTech!C43/'Inputs 7&amp;8 Sleep'!$U55))</f>
        <v>8.7142948024897429</v>
      </c>
      <c r="D42" s="1250">
        <f>IF('Mkt Pen Veh-Mi'!D42=0,1,1/((1-Fuel2ShrbyTech!D43)/'Inputs 7&amp;8 Sleep'!$P55+Fuel2ShrbyTech!D43/'Inputs 7&amp;8 Sleep'!$V55))</f>
        <v>9.7077307284799375</v>
      </c>
      <c r="E42" s="1250">
        <f>IF('Mkt Pen Veh-Mi'!E42=0,1,1/((1-Fuel2ShrbyTech!E43)/'Inputs 7&amp;8 Sleep'!$Q55+Fuel2ShrbyTech!E43/'Inputs 7&amp;8 Sleep'!$W55))</f>
        <v>1</v>
      </c>
      <c r="F42" s="1250">
        <f>IF('Mkt Pen Veh-Mi'!F42=0,1,1/((1-Fuel2ShrbyTech!F43)/'Inputs 7&amp;8 Sleep'!$R55+Fuel2ShrbyTech!F43/'Inputs 7&amp;8 Sleep'!$X55))</f>
        <v>1</v>
      </c>
      <c r="G42" s="1251">
        <f>IF('Mkt Pen Veh-Mi'!G42=0,1,1/((1-Fuel2ShrbyTech!G43)/'Inputs 7&amp;8 Sleep'!$S55+Fuel2ShrbyTech!G43/'Inputs 7&amp;8 Sleep'!$Y55))</f>
        <v>1</v>
      </c>
      <c r="H42" s="1255">
        <f>IF('Mkt Pen Veh-Mi'!H42=0,1,1/((1-Fuel2ShrbyTech!H43)/'Inputs 7&amp;8 Day'!$N55+Fuel2ShrbyTech!H43/'Inputs 7&amp;8 Day'!$T55))</f>
        <v>7.4552140740191053</v>
      </c>
      <c r="I42" s="1256">
        <f>IF('Mkt Pen Veh-Mi'!I42=0,1,1/((1-Fuel2ShrbyTech!I43)/'Inputs 7&amp;8 Day'!$O55+Fuel2ShrbyTech!I43/'Inputs 7&amp;8 Day'!$U55))</f>
        <v>8.7575394296723594</v>
      </c>
      <c r="J42" s="1256">
        <f>IF('Mkt Pen Veh-Mi'!J42=0,1,1/((1-Fuel2ShrbyTech!J43)/'Inputs 7&amp;8 Day'!$P55+Fuel2ShrbyTech!J43/'Inputs 7&amp;8 Day'!$V55))</f>
        <v>8.8062377040299182</v>
      </c>
      <c r="K42" s="1256">
        <f>IF('Mkt Pen Veh-Mi'!K42=0,1,1/((1-Fuel2ShrbyTech!K43)/'Inputs 7&amp;8 Day'!$Q55+Fuel2ShrbyTech!K43/'Inputs 7&amp;8 Day'!$W55))</f>
        <v>10.766750377574549</v>
      </c>
      <c r="L42" s="1256">
        <f>IF('Mkt Pen Veh-Mi'!L42=0,1,1/((1-Fuel2ShrbyTech!L43)/'Inputs 7&amp;8 Day'!$R55+Fuel2ShrbyTech!L43/'Inputs 7&amp;8 Day'!$X55))</f>
        <v>1</v>
      </c>
      <c r="M42" s="1257">
        <f>IF('Mkt Pen Veh-Mi'!M42=0,1,1/((1-Fuel2ShrbyTech!M43)/'Inputs 7&amp;8 Day'!$S55+Fuel2ShrbyTech!M43/'Inputs 7&amp;8 Day'!$Y55))</f>
        <v>10.524839640070761</v>
      </c>
      <c r="N42" s="1246">
        <f>IF('Mkt Pen Veh-Mi'!N42=0,1,1/((1-Fuel2ShrbyTech!N43)/'Inputs 7&amp;8 SU'!$N55+Fuel2ShrbyTech!N43/'Inputs 7&amp;8 SU'!$T55))</f>
        <v>8.5484593706521306</v>
      </c>
      <c r="O42" s="1256">
        <f>IF('Mkt Pen Veh-Mi'!O42=0,1,1/((1-Fuel2ShrbyTech!O43)/'Inputs 7&amp;8 SU'!$O55+Fuel2ShrbyTech!O43/'Inputs 7&amp;8 SU'!$U55))</f>
        <v>10.120529022418053</v>
      </c>
      <c r="P42" s="1256">
        <f>IF('Mkt Pen Veh-Mi'!P42=0,1,1/((1-Fuel2ShrbyTech!P43)/'Inputs 7&amp;8 SU'!$P55+Fuel2ShrbyTech!P43/'Inputs 7&amp;8 SU'!$V55))</f>
        <v>10.726756278674783</v>
      </c>
      <c r="Q42" s="1256">
        <f>IF('Mkt Pen Veh-Mi'!Q42=0,1,1/((1-Fuel2ShrbyTech!Q43)/'Inputs 7&amp;8 SU'!$Q55+Fuel2ShrbyTech!Q43/'Inputs 7&amp;8 SU'!$W55))</f>
        <v>12.077760413696447</v>
      </c>
      <c r="R42" s="1256">
        <f>IF('Mkt Pen Veh-Mi'!R42=0,1,1/((1-Fuel2ShrbyTech!R43)/'Inputs 7&amp;8 SU'!$R55+Fuel2ShrbyTech!R43/'Inputs 7&amp;8 SU'!$X55))</f>
        <v>16.170477142096761</v>
      </c>
      <c r="S42" s="1257">
        <f>IF('Mkt Pen Veh-Mi'!S42=0,1,1/((1-Fuel2ShrbyTech!S43)/'Inputs 7&amp;8 SU'!$S55+Fuel2ShrbyTech!S43/'Inputs 7&amp;8 SU'!$Y55))</f>
        <v>28.352834951169029</v>
      </c>
      <c r="U42" s="1198">
        <f t="shared" si="13"/>
        <v>2040</v>
      </c>
      <c r="V42" s="1249">
        <f t="shared" si="14"/>
        <v>8.1043325932001693</v>
      </c>
      <c r="W42" s="1250">
        <f t="shared" si="15"/>
        <v>8.7142948024897429</v>
      </c>
      <c r="X42" s="1250">
        <f t="shared" si="16"/>
        <v>9.7077307284799375</v>
      </c>
      <c r="Y42" s="1250">
        <f t="shared" si="17"/>
        <v>0</v>
      </c>
      <c r="Z42" s="1250">
        <f t="shared" si="18"/>
        <v>0</v>
      </c>
      <c r="AA42" s="1251">
        <f t="shared" si="19"/>
        <v>0</v>
      </c>
      <c r="AB42" s="1255">
        <f t="shared" si="20"/>
        <v>7.4552140740191053</v>
      </c>
      <c r="AC42" s="1256">
        <f t="shared" si="21"/>
        <v>8.7575394296723594</v>
      </c>
      <c r="AD42" s="1256">
        <f t="shared" si="22"/>
        <v>8.8062377040299182</v>
      </c>
      <c r="AE42" s="1256">
        <f t="shared" si="23"/>
        <v>10.766750377574549</v>
      </c>
      <c r="AF42" s="1256">
        <f t="shared" si="24"/>
        <v>0</v>
      </c>
      <c r="AG42" s="1257">
        <f t="shared" si="25"/>
        <v>10.524839640070761</v>
      </c>
      <c r="AH42" s="1246">
        <f t="shared" si="26"/>
        <v>8.5484593706521306</v>
      </c>
      <c r="AI42" s="1256">
        <f t="shared" si="27"/>
        <v>10.120529022418053</v>
      </c>
      <c r="AJ42" s="1256">
        <f t="shared" si="28"/>
        <v>10.726756278674783</v>
      </c>
      <c r="AK42" s="1256">
        <f t="shared" si="29"/>
        <v>12.077760413696447</v>
      </c>
      <c r="AL42" s="1256">
        <f t="shared" si="30"/>
        <v>16.170477142096761</v>
      </c>
      <c r="AM42" s="1257">
        <f t="shared" si="31"/>
        <v>28.352834951169029</v>
      </c>
      <c r="AN42" s="1177">
        <v>2040</v>
      </c>
      <c r="AO42" s="1323">
        <f t="array" ref="AO42">1/SUMPRODUCT(IFERROR(1/V42:AA42,0),'Mkt Pen Veh-Mi'!B42:G42)</f>
        <v>8.9073453275058192</v>
      </c>
      <c r="AP42" s="1324">
        <f t="array" ref="AP42">1/SUMPRODUCT(IFERROR(1/AB42:AG42,0),'Mkt Pen Veh-Mi'!H42:M42)</f>
        <v>8.6152101876214164</v>
      </c>
      <c r="AQ42" s="1328">
        <f t="array" ref="AQ42">1/SUMPRODUCT(IFERROR(1/AH42:AM42,0),'Mkt Pen Veh-Mi'!N42:S42)</f>
        <v>9.6473796594292676</v>
      </c>
      <c r="AR42" s="1321">
        <v>2040</v>
      </c>
      <c r="AS42" s="1323">
        <f t="shared" si="32"/>
        <v>1.0990843755572677</v>
      </c>
      <c r="AT42" s="1324">
        <f t="shared" si="33"/>
        <v>1.1555952789665445</v>
      </c>
      <c r="AU42" s="1324">
        <f t="shared" si="34"/>
        <v>1.128551852577069</v>
      </c>
      <c r="AV42" s="1328">
        <v>2.1489389429026087</v>
      </c>
    </row>
    <row r="43" spans="1:48" s="1177" customFormat="1" ht="15" x14ac:dyDescent="0.2">
      <c r="A43" s="1192">
        <v>2041</v>
      </c>
      <c r="B43" s="1252">
        <f>IF('Mkt Pen Veh-Mi'!B43=0,1,1/((1-Fuel2ShrbyTech!B44)/'Inputs 7&amp;8 Sleep'!$N56+Fuel2ShrbyTech!B44/'Inputs 7&amp;8 Sleep'!$T56))</f>
        <v>8.1043630004564644</v>
      </c>
      <c r="C43" s="1253">
        <f>IF('Mkt Pen Veh-Mi'!C43=0,1,1/((1-Fuel2ShrbyTech!C44)/'Inputs 7&amp;8 Sleep'!$O56+Fuel2ShrbyTech!C44/'Inputs 7&amp;8 Sleep'!$U56))</f>
        <v>8.9517491334418082</v>
      </c>
      <c r="D43" s="1253">
        <f>IF('Mkt Pen Veh-Mi'!D43=0,1,1/((1-Fuel2ShrbyTech!D44)/'Inputs 7&amp;8 Sleep'!$P56+Fuel2ShrbyTech!D44/'Inputs 7&amp;8 Sleep'!$V56))</f>
        <v>10.083628967515526</v>
      </c>
      <c r="E43" s="1253">
        <f>IF('Mkt Pen Veh-Mi'!E43=0,1,1/((1-Fuel2ShrbyTech!E44)/'Inputs 7&amp;8 Sleep'!$Q56+Fuel2ShrbyTech!E44/'Inputs 7&amp;8 Sleep'!$W56))</f>
        <v>1</v>
      </c>
      <c r="F43" s="1253">
        <f>IF('Mkt Pen Veh-Mi'!F43=0,1,1/((1-Fuel2ShrbyTech!F44)/'Inputs 7&amp;8 Sleep'!$R56+Fuel2ShrbyTech!F44/'Inputs 7&amp;8 Sleep'!$X56))</f>
        <v>12.406677271586721</v>
      </c>
      <c r="G43" s="1254">
        <f>IF('Mkt Pen Veh-Mi'!G43=0,1,1/((1-Fuel2ShrbyTech!G44)/'Inputs 7&amp;8 Sleep'!$S56+Fuel2ShrbyTech!G44/'Inputs 7&amp;8 Sleep'!$Y56))</f>
        <v>1</v>
      </c>
      <c r="H43" s="1252">
        <f>IF('Mkt Pen Veh-Mi'!H43=0,1,1/((1-Fuel2ShrbyTech!H44)/'Inputs 7&amp;8 Day'!$N56+Fuel2ShrbyTech!H44/'Inputs 7&amp;8 Day'!$T56))</f>
        <v>7.4552306271596702</v>
      </c>
      <c r="I43" s="1253">
        <f>IF('Mkt Pen Veh-Mi'!I43=0,1,1/((1-Fuel2ShrbyTech!I44)/'Inputs 7&amp;8 Day'!$O56+Fuel2ShrbyTech!I44/'Inputs 7&amp;8 Day'!$U56))</f>
        <v>8.7575588744233404</v>
      </c>
      <c r="J43" s="1253">
        <f>IF('Mkt Pen Veh-Mi'!J43=0,1,1/((1-Fuel2ShrbyTech!J44)/'Inputs 7&amp;8 Day'!$P56+Fuel2ShrbyTech!J44/'Inputs 7&amp;8 Day'!$V56))</f>
        <v>8.8062572569078252</v>
      </c>
      <c r="K43" s="1253">
        <f>IF('Mkt Pen Veh-Mi'!K43=0,1,1/((1-Fuel2ShrbyTech!K44)/'Inputs 7&amp;8 Day'!$Q56+Fuel2ShrbyTech!K44/'Inputs 7&amp;8 Day'!$W56))</f>
        <v>10.986735162529801</v>
      </c>
      <c r="L43" s="1253">
        <f>IF('Mkt Pen Veh-Mi'!L43=0,1,1/((1-Fuel2ShrbyTech!L44)/'Inputs 7&amp;8 Day'!$R56+Fuel2ShrbyTech!L44/'Inputs 7&amp;8 Day'!$X56))</f>
        <v>1</v>
      </c>
      <c r="M43" s="1254">
        <f>IF('Mkt Pen Veh-Mi'!M43=0,1,1/((1-Fuel2ShrbyTech!M44)/'Inputs 7&amp;8 Day'!$S56+Fuel2ShrbyTech!M44/'Inputs 7&amp;8 Day'!$Y56))</f>
        <v>10.628127553856038</v>
      </c>
      <c r="N43" s="1252">
        <f>IF('Mkt Pen Veh-Mi'!N43=0,1,1/((1-Fuel2ShrbyTech!N44)/'Inputs 7&amp;8 SU'!$N56+Fuel2ShrbyTech!N44/'Inputs 7&amp;8 SU'!$T56))</f>
        <v>8.5501630690723598</v>
      </c>
      <c r="O43" s="1253">
        <f>IF('Mkt Pen Veh-Mi'!O43=0,1,1/((1-Fuel2ShrbyTech!O44)/'Inputs 7&amp;8 SU'!$O56+Fuel2ShrbyTech!O44/'Inputs 7&amp;8 SU'!$U56))</f>
        <v>10.122546032566872</v>
      </c>
      <c r="P43" s="1253">
        <f>IF('Mkt Pen Veh-Mi'!P43=0,1,1/((1-Fuel2ShrbyTech!P44)/'Inputs 7&amp;8 SU'!$P56+Fuel2ShrbyTech!P44/'Inputs 7&amp;8 SU'!$V56))</f>
        <v>10.728894109239773</v>
      </c>
      <c r="Q43" s="1253">
        <f>IF('Mkt Pen Veh-Mi'!Q43=0,1,1/((1-Fuel2ShrbyTech!Q44)/'Inputs 7&amp;8 SU'!$Q56+Fuel2ShrbyTech!Q44/'Inputs 7&amp;8 SU'!$W56))</f>
        <v>12.080167497879048</v>
      </c>
      <c r="R43" s="1253">
        <f>IF('Mkt Pen Veh-Mi'!R43=0,1,1/((1-Fuel2ShrbyTech!R44)/'Inputs 7&amp;8 SU'!$R56+Fuel2ShrbyTech!R44/'Inputs 7&amp;8 SU'!$X56))</f>
        <v>16.63570326550974</v>
      </c>
      <c r="S43" s="1254">
        <f>IF('Mkt Pen Veh-Mi'!S43=0,1,1/((1-Fuel2ShrbyTech!S44)/'Inputs 7&amp;8 SU'!$S56+Fuel2ShrbyTech!S44/'Inputs 7&amp;8 SU'!$Y56))</f>
        <v>28.455298688698463</v>
      </c>
      <c r="U43" s="1192">
        <f t="shared" si="13"/>
        <v>2041</v>
      </c>
      <c r="V43" s="1252">
        <f t="shared" si="14"/>
        <v>8.1043630004564644</v>
      </c>
      <c r="W43" s="1253">
        <f t="shared" si="15"/>
        <v>8.9517491334418082</v>
      </c>
      <c r="X43" s="1253">
        <f t="shared" si="16"/>
        <v>10.083628967515526</v>
      </c>
      <c r="Y43" s="1253">
        <f t="shared" si="17"/>
        <v>0</v>
      </c>
      <c r="Z43" s="1253">
        <f t="shared" si="18"/>
        <v>12.406677271586721</v>
      </c>
      <c r="AA43" s="1254">
        <f t="shared" si="19"/>
        <v>0</v>
      </c>
      <c r="AB43" s="1252">
        <f t="shared" si="20"/>
        <v>7.4552306271596702</v>
      </c>
      <c r="AC43" s="1253">
        <f t="shared" si="21"/>
        <v>8.7575588744233404</v>
      </c>
      <c r="AD43" s="1253">
        <f t="shared" si="22"/>
        <v>8.8062572569078252</v>
      </c>
      <c r="AE43" s="1253">
        <f t="shared" si="23"/>
        <v>10.986735162529801</v>
      </c>
      <c r="AF43" s="1253">
        <f t="shared" si="24"/>
        <v>0</v>
      </c>
      <c r="AG43" s="1254">
        <f t="shared" si="25"/>
        <v>10.628127553856038</v>
      </c>
      <c r="AH43" s="1252">
        <f t="shared" si="26"/>
        <v>8.5501630690723598</v>
      </c>
      <c r="AI43" s="1253">
        <f t="shared" si="27"/>
        <v>10.122546032566872</v>
      </c>
      <c r="AJ43" s="1253">
        <f t="shared" si="28"/>
        <v>10.728894109239773</v>
      </c>
      <c r="AK43" s="1253">
        <f t="shared" si="29"/>
        <v>12.080167497879048</v>
      </c>
      <c r="AL43" s="1253">
        <f t="shared" si="30"/>
        <v>16.63570326550974</v>
      </c>
      <c r="AM43" s="1254">
        <f t="shared" si="31"/>
        <v>28.455298688698463</v>
      </c>
      <c r="AN43" s="1177">
        <v>2041</v>
      </c>
      <c r="AO43" s="1323">
        <f t="array" ref="AO43">1/SUMPRODUCT(IFERROR(1/V43:AA43,0),'Mkt Pen Veh-Mi'!B43:G43)</f>
        <v>9.159985365187131</v>
      </c>
      <c r="AP43" s="1324">
        <f t="array" ref="AP43">1/SUMPRODUCT(IFERROR(1/AB43:AG43,0),'Mkt Pen Veh-Mi'!H43:M43)</f>
        <v>8.7358047723715444</v>
      </c>
      <c r="AQ43" s="1328">
        <f t="array" ref="AQ43">1/SUMPRODUCT(IFERROR(1/AH43:AM43,0),'Mkt Pen Veh-Mi'!N43:S43)</f>
        <v>9.6908980908120714</v>
      </c>
      <c r="AR43" s="1321">
        <v>2041</v>
      </c>
      <c r="AS43" s="1323">
        <f t="shared" si="32"/>
        <v>1.1302535886745462</v>
      </c>
      <c r="AT43" s="1324">
        <f t="shared" si="33"/>
        <v>1.1717685487215777</v>
      </c>
      <c r="AU43" s="1324">
        <f t="shared" si="34"/>
        <v>1.1334167562097122</v>
      </c>
      <c r="AV43" s="1328">
        <v>2.1717496436120078</v>
      </c>
    </row>
    <row r="44" spans="1:48" s="1177" customFormat="1" ht="15" x14ac:dyDescent="0.2">
      <c r="A44" s="1192">
        <v>2042</v>
      </c>
      <c r="B44" s="1246">
        <f>IF('Mkt Pen Veh-Mi'!B44=0,1,1/((1-Fuel2ShrbyTech!B45)/'Inputs 7&amp;8 Sleep'!$N57+Fuel2ShrbyTech!B45/'Inputs 7&amp;8 Sleep'!$T57))</f>
        <v>8.1043847804208973</v>
      </c>
      <c r="C44" s="1247">
        <f>IF('Mkt Pen Veh-Mi'!C44=0,1,1/((1-Fuel2ShrbyTech!C45)/'Inputs 7&amp;8 Sleep'!$O57+Fuel2ShrbyTech!C45/'Inputs 7&amp;8 Sleep'!$U57))</f>
        <v>9.2348957875241897</v>
      </c>
      <c r="D44" s="1247">
        <f>IF('Mkt Pen Veh-Mi'!D44=0,1,1/((1-Fuel2ShrbyTech!D45)/'Inputs 7&amp;8 Sleep'!$P57+Fuel2ShrbyTech!D45/'Inputs 7&amp;8 Sleep'!$V57))</f>
        <v>10.531859699848946</v>
      </c>
      <c r="E44" s="1247">
        <f>IF('Mkt Pen Veh-Mi'!E44=0,1,1/((1-Fuel2ShrbyTech!E45)/'Inputs 7&amp;8 Sleep'!$Q57+Fuel2ShrbyTech!E45/'Inputs 7&amp;8 Sleep'!$W57))</f>
        <v>1</v>
      </c>
      <c r="F44" s="1247">
        <f>IF('Mkt Pen Veh-Mi'!F44=0,1,1/((1-Fuel2ShrbyTech!F45)/'Inputs 7&amp;8 Sleep'!$R57+Fuel2ShrbyTech!F45/'Inputs 7&amp;8 Sleep'!$X57))</f>
        <v>12.969444455849404</v>
      </c>
      <c r="G44" s="1248">
        <f>IF('Mkt Pen Veh-Mi'!G44=0,1,1/((1-Fuel2ShrbyTech!G45)/'Inputs 7&amp;8 Sleep'!$S57+Fuel2ShrbyTech!G45/'Inputs 7&amp;8 Sleep'!$Y57))</f>
        <v>1</v>
      </c>
      <c r="H44" s="1246">
        <f>IF('Mkt Pen Veh-Mi'!H44=0,1,1/((1-Fuel2ShrbyTech!H45)/'Inputs 7&amp;8 Day'!$N57+Fuel2ShrbyTech!H45/'Inputs 7&amp;8 Day'!$T57))</f>
        <v>7.455247180300236</v>
      </c>
      <c r="I44" s="1247">
        <f>IF('Mkt Pen Veh-Mi'!I44=0,1,1/((1-Fuel2ShrbyTech!I45)/'Inputs 7&amp;8 Day'!$O57+Fuel2ShrbyTech!I45/'Inputs 7&amp;8 Day'!$U57))</f>
        <v>8.7575783191743213</v>
      </c>
      <c r="J44" s="1247">
        <f>IF('Mkt Pen Veh-Mi'!J44=0,1,1/((1-Fuel2ShrbyTech!J45)/'Inputs 7&amp;8 Day'!$P57+Fuel2ShrbyTech!J45/'Inputs 7&amp;8 Day'!$V57))</f>
        <v>8.8062768097857322</v>
      </c>
      <c r="K44" s="1247">
        <f>IF('Mkt Pen Veh-Mi'!K44=0,1,1/((1-Fuel2ShrbyTech!K45)/'Inputs 7&amp;8 Day'!$Q57+Fuel2ShrbyTech!K45/'Inputs 7&amp;8 Day'!$W57))</f>
        <v>11.240116338145574</v>
      </c>
      <c r="L44" s="1247">
        <f>IF('Mkt Pen Veh-Mi'!L44=0,1,1/((1-Fuel2ShrbyTech!L45)/'Inputs 7&amp;8 Day'!$R57+Fuel2ShrbyTech!L45/'Inputs 7&amp;8 Day'!$X57))</f>
        <v>1</v>
      </c>
      <c r="M44" s="1248">
        <f>IF('Mkt Pen Veh-Mi'!M44=0,1,1/((1-Fuel2ShrbyTech!M45)/'Inputs 7&amp;8 Day'!$S57+Fuel2ShrbyTech!M45/'Inputs 7&amp;8 Day'!$Y57))</f>
        <v>10.731415926205942</v>
      </c>
      <c r="N44" s="1246">
        <f>IF('Mkt Pen Veh-Mi'!N44=0,1,1/((1-Fuel2ShrbyTech!N45)/'Inputs 7&amp;8 SU'!$N57+Fuel2ShrbyTech!N45/'Inputs 7&amp;8 SU'!$T57))</f>
        <v>8.552006775413572</v>
      </c>
      <c r="O44" s="1247">
        <f>IF('Mkt Pen Veh-Mi'!O44=0,1,1/((1-Fuel2ShrbyTech!O45)/'Inputs 7&amp;8 SU'!$O57+Fuel2ShrbyTech!O45/'Inputs 7&amp;8 SU'!$U57))</f>
        <v>10.124728798223934</v>
      </c>
      <c r="P44" s="1247">
        <f>IF('Mkt Pen Veh-Mi'!P44=0,1,1/((1-Fuel2ShrbyTech!P45)/'Inputs 7&amp;8 SU'!$P57+Fuel2ShrbyTech!P45/'Inputs 7&amp;8 SU'!$V57))</f>
        <v>10.731207624191898</v>
      </c>
      <c r="Q44" s="1247">
        <f>IF('Mkt Pen Veh-Mi'!Q44=0,1,1/((1-Fuel2ShrbyTech!Q45)/'Inputs 7&amp;8 SU'!$Q57+Fuel2ShrbyTech!Q45/'Inputs 7&amp;8 SU'!$W57))</f>
        <v>12.082772393392599</v>
      </c>
      <c r="R44" s="1247">
        <f>IF('Mkt Pen Veh-Mi'!R44=0,1,1/((1-Fuel2ShrbyTech!R45)/'Inputs 7&amp;8 SU'!$R57+Fuel2ShrbyTech!R45/'Inputs 7&amp;8 SU'!$X57))</f>
        <v>17.387748557530283</v>
      </c>
      <c r="S44" s="1248">
        <f>IF('Mkt Pen Veh-Mi'!S44=0,1,1/((1-Fuel2ShrbyTech!S45)/'Inputs 7&amp;8 SU'!$S57+Fuel2ShrbyTech!S45/'Inputs 7&amp;8 SU'!$Y57))</f>
        <v>28.558268545496833</v>
      </c>
      <c r="U44" s="1192">
        <f t="shared" si="13"/>
        <v>2042</v>
      </c>
      <c r="V44" s="1246">
        <f t="shared" si="14"/>
        <v>8.1043847804208973</v>
      </c>
      <c r="W44" s="1247">
        <f t="shared" si="15"/>
        <v>9.2348957875241897</v>
      </c>
      <c r="X44" s="1247">
        <f t="shared" si="16"/>
        <v>10.531859699848946</v>
      </c>
      <c r="Y44" s="1247">
        <f t="shared" si="17"/>
        <v>0</v>
      </c>
      <c r="Z44" s="1247">
        <f t="shared" si="18"/>
        <v>12.969444455849404</v>
      </c>
      <c r="AA44" s="1248">
        <f t="shared" si="19"/>
        <v>0</v>
      </c>
      <c r="AB44" s="1246">
        <f t="shared" si="20"/>
        <v>7.455247180300236</v>
      </c>
      <c r="AC44" s="1247">
        <f t="shared" si="21"/>
        <v>8.7575783191743213</v>
      </c>
      <c r="AD44" s="1247">
        <f t="shared" si="22"/>
        <v>8.8062768097857322</v>
      </c>
      <c r="AE44" s="1247">
        <f t="shared" si="23"/>
        <v>11.240116338145574</v>
      </c>
      <c r="AF44" s="1247">
        <f t="shared" si="24"/>
        <v>0</v>
      </c>
      <c r="AG44" s="1248">
        <f t="shared" si="25"/>
        <v>10.731415926205942</v>
      </c>
      <c r="AH44" s="1246">
        <f t="shared" si="26"/>
        <v>8.552006775413572</v>
      </c>
      <c r="AI44" s="1247">
        <f t="shared" si="27"/>
        <v>10.124728798223934</v>
      </c>
      <c r="AJ44" s="1247">
        <f t="shared" si="28"/>
        <v>10.731207624191898</v>
      </c>
      <c r="AK44" s="1247">
        <f t="shared" si="29"/>
        <v>12.082772393392599</v>
      </c>
      <c r="AL44" s="1247">
        <f t="shared" si="30"/>
        <v>17.387748557530283</v>
      </c>
      <c r="AM44" s="1248">
        <f t="shared" si="31"/>
        <v>28.558268545496833</v>
      </c>
      <c r="AN44" s="1177">
        <v>2042</v>
      </c>
      <c r="AO44" s="1323">
        <f t="array" ref="AO44">1/SUMPRODUCT(IFERROR(1/V44:AA44,0),'Mkt Pen Veh-Mi'!B44:G44)</f>
        <v>9.4489393278866842</v>
      </c>
      <c r="AP44" s="1324">
        <f t="array" ref="AP44">1/SUMPRODUCT(IFERROR(1/AB44:AG44,0),'Mkt Pen Veh-Mi'!H44:M44)</f>
        <v>8.8931936406234229</v>
      </c>
      <c r="AQ44" s="1328">
        <f t="array" ref="AQ44">1/SUMPRODUCT(IFERROR(1/AH44:AM44,0),'Mkt Pen Veh-Mi'!N44:S44)</f>
        <v>9.7714202377900783</v>
      </c>
      <c r="AR44" s="1321">
        <v>2042</v>
      </c>
      <c r="AS44" s="1323">
        <f t="shared" si="32"/>
        <v>1.1659045792981164</v>
      </c>
      <c r="AT44" s="1324">
        <f t="shared" si="33"/>
        <v>1.1928771005906846</v>
      </c>
      <c r="AU44" s="1324">
        <f t="shared" si="34"/>
        <v>1.1425879906786598</v>
      </c>
      <c r="AV44" s="1328">
        <v>2.1924471877980629</v>
      </c>
    </row>
    <row r="45" spans="1:48" s="1177" customFormat="1" ht="15" x14ac:dyDescent="0.2">
      <c r="A45" s="1192">
        <v>2043</v>
      </c>
      <c r="B45" s="1246">
        <f>IF('Mkt Pen Veh-Mi'!B45=0,1,1/((1-Fuel2ShrbyTech!B46)/'Inputs 7&amp;8 Sleep'!$N58+Fuel2ShrbyTech!B46/'Inputs 7&amp;8 Sleep'!$T58))</f>
        <v>8.1044016873015927</v>
      </c>
      <c r="C45" s="1247">
        <f>IF('Mkt Pen Veh-Mi'!C45=0,1,1/((1-Fuel2ShrbyTech!C46)/'Inputs 7&amp;8 Sleep'!$O58+Fuel2ShrbyTech!C46/'Inputs 7&amp;8 Sleep'!$U58))</f>
        <v>9.535831469857083</v>
      </c>
      <c r="D45" s="1247">
        <f>IF('Mkt Pen Veh-Mi'!D45=0,1,1/((1-Fuel2ShrbyTech!D46)/'Inputs 7&amp;8 Sleep'!$P58+Fuel2ShrbyTech!D46/'Inputs 7&amp;8 Sleep'!$V58))</f>
        <v>11.008251065710132</v>
      </c>
      <c r="E45" s="1247">
        <f>IF('Mkt Pen Veh-Mi'!E45=0,1,1/((1-Fuel2ShrbyTech!E46)/'Inputs 7&amp;8 Sleep'!$Q58+Fuel2ShrbyTech!E46/'Inputs 7&amp;8 Sleep'!$W58))</f>
        <v>1</v>
      </c>
      <c r="F45" s="1247">
        <f>IF('Mkt Pen Veh-Mi'!F45=0,1,1/((1-Fuel2ShrbyTech!F46)/'Inputs 7&amp;8 Sleep'!$R58+Fuel2ShrbyTech!F46/'Inputs 7&amp;8 Sleep'!$X58))</f>
        <v>13.567568163648472</v>
      </c>
      <c r="G45" s="1248">
        <f>IF('Mkt Pen Veh-Mi'!G45=0,1,1/((1-Fuel2ShrbyTech!G46)/'Inputs 7&amp;8 Sleep'!$S58+Fuel2ShrbyTech!G46/'Inputs 7&amp;8 Sleep'!$Y58))</f>
        <v>1</v>
      </c>
      <c r="H45" s="1246">
        <f>IF('Mkt Pen Veh-Mi'!H45=0,1,1/((1-Fuel2ShrbyTech!H46)/'Inputs 7&amp;8 Day'!$N58+Fuel2ShrbyTech!H46/'Inputs 7&amp;8 Day'!$T58))</f>
        <v>7.4552637334407992</v>
      </c>
      <c r="I45" s="1247">
        <f>IF('Mkt Pen Veh-Mi'!I45=0,1,1/((1-Fuel2ShrbyTech!I46)/'Inputs 7&amp;8 Day'!$O58+Fuel2ShrbyTech!I46/'Inputs 7&amp;8 Day'!$U58))</f>
        <v>8.757597763925304</v>
      </c>
      <c r="J45" s="1247">
        <f>IF('Mkt Pen Veh-Mi'!J45=0,1,1/((1-Fuel2ShrbyTech!J46)/'Inputs 7&amp;8 Day'!$P58+Fuel2ShrbyTech!J46/'Inputs 7&amp;8 Day'!$V58))</f>
        <v>8.8062963626636392</v>
      </c>
      <c r="K45" s="1247">
        <f>IF('Mkt Pen Veh-Mi'!K45=0,1,1/((1-Fuel2ShrbyTech!K46)/'Inputs 7&amp;8 Day'!$Q58+Fuel2ShrbyTech!K46/'Inputs 7&amp;8 Day'!$W58))</f>
        <v>11.499987550828783</v>
      </c>
      <c r="L45" s="1247">
        <f>IF('Mkt Pen Veh-Mi'!L45=0,1,1/((1-Fuel2ShrbyTech!L46)/'Inputs 7&amp;8 Day'!$R58+Fuel2ShrbyTech!L46/'Inputs 7&amp;8 Day'!$X58))</f>
        <v>20.01574261553893</v>
      </c>
      <c r="M45" s="1248">
        <f>IF('Mkt Pen Veh-Mi'!M45=0,1,1/((1-Fuel2ShrbyTech!M46)/'Inputs 7&amp;8 Day'!$S58+Fuel2ShrbyTech!M46/'Inputs 7&amp;8 Day'!$Y58))</f>
        <v>10.834704757120475</v>
      </c>
      <c r="N45" s="1246">
        <f>IF('Mkt Pen Veh-Mi'!N45=0,1,1/((1-Fuel2ShrbyTech!N46)/'Inputs 7&amp;8 SU'!$N58+Fuel2ShrbyTech!N46/'Inputs 7&amp;8 SU'!$T58))</f>
        <v>8.5541625159132924</v>
      </c>
      <c r="O45" s="1247">
        <f>IF('Mkt Pen Veh-Mi'!O45=0,1,1/((1-Fuel2ShrbyTech!O46)/'Inputs 7&amp;8 SU'!$O58+Fuel2ShrbyTech!O46/'Inputs 7&amp;8 SU'!$U58))</f>
        <v>10.127280981412301</v>
      </c>
      <c r="P45" s="1247">
        <f>IF('Mkt Pen Veh-Mi'!P45=0,1,1/((1-Fuel2ShrbyTech!P46)/'Inputs 7&amp;8 SU'!$P58+Fuel2ShrbyTech!P46/'Inputs 7&amp;8 SU'!$V58))</f>
        <v>10.733912685061691</v>
      </c>
      <c r="Q45" s="1247">
        <f>IF('Mkt Pen Veh-Mi'!Q45=0,1,1/((1-Fuel2ShrbyTech!Q46)/'Inputs 7&amp;8 SU'!$Q58+Fuel2ShrbyTech!Q46/'Inputs 7&amp;8 SU'!$W58))</f>
        <v>12.085818148907224</v>
      </c>
      <c r="R45" s="1247">
        <f>IF('Mkt Pen Veh-Mi'!R45=0,1,1/((1-Fuel2ShrbyTech!R46)/'Inputs 7&amp;8 SU'!$R58+Fuel2ShrbyTech!R46/'Inputs 7&amp;8 SU'!$X58))</f>
        <v>18.336921763496935</v>
      </c>
      <c r="S45" s="1248">
        <f>IF('Mkt Pen Veh-Mi'!S45=0,1,1/((1-Fuel2ShrbyTech!S46)/'Inputs 7&amp;8 SU'!$S58+Fuel2ShrbyTech!S46/'Inputs 7&amp;8 SU'!$Y58))</f>
        <v>28.662325683640397</v>
      </c>
      <c r="U45" s="1192">
        <f t="shared" si="13"/>
        <v>2043</v>
      </c>
      <c r="V45" s="1246">
        <f t="shared" si="14"/>
        <v>8.1044016873015927</v>
      </c>
      <c r="W45" s="1247">
        <f t="shared" si="15"/>
        <v>9.535831469857083</v>
      </c>
      <c r="X45" s="1247">
        <f t="shared" si="16"/>
        <v>11.008251065710132</v>
      </c>
      <c r="Y45" s="1247">
        <f t="shared" si="17"/>
        <v>0</v>
      </c>
      <c r="Z45" s="1247">
        <f t="shared" si="18"/>
        <v>13.567568163648472</v>
      </c>
      <c r="AA45" s="1248">
        <f t="shared" si="19"/>
        <v>0</v>
      </c>
      <c r="AB45" s="1246">
        <f t="shared" si="20"/>
        <v>7.4552637334407992</v>
      </c>
      <c r="AC45" s="1247">
        <f t="shared" si="21"/>
        <v>8.757597763925304</v>
      </c>
      <c r="AD45" s="1247">
        <f t="shared" si="22"/>
        <v>8.8062963626636392</v>
      </c>
      <c r="AE45" s="1247">
        <f t="shared" si="23"/>
        <v>11.499987550828783</v>
      </c>
      <c r="AF45" s="1247">
        <f t="shared" si="24"/>
        <v>20.01574261553893</v>
      </c>
      <c r="AG45" s="1248">
        <f t="shared" si="25"/>
        <v>10.834704757120475</v>
      </c>
      <c r="AH45" s="1246">
        <f t="shared" si="26"/>
        <v>8.5541625159132924</v>
      </c>
      <c r="AI45" s="1247">
        <f t="shared" si="27"/>
        <v>10.127280981412301</v>
      </c>
      <c r="AJ45" s="1247">
        <f t="shared" si="28"/>
        <v>10.733912685061691</v>
      </c>
      <c r="AK45" s="1247">
        <f t="shared" si="29"/>
        <v>12.085818148907224</v>
      </c>
      <c r="AL45" s="1247">
        <f t="shared" si="30"/>
        <v>18.336921763496935</v>
      </c>
      <c r="AM45" s="1248">
        <f t="shared" si="31"/>
        <v>28.662325683640397</v>
      </c>
      <c r="AN45" s="1177">
        <v>2043</v>
      </c>
      <c r="AO45" s="1323">
        <f t="array" ref="AO45">1/SUMPRODUCT(IFERROR(1/V45:AA45,0),'Mkt Pen Veh-Mi'!B45:G45)</f>
        <v>9.7307902202803973</v>
      </c>
      <c r="AP45" s="1324">
        <f t="array" ref="AP45">1/SUMPRODUCT(IFERROR(1/AB45:AG45,0),'Mkt Pen Veh-Mi'!H45:M45)</f>
        <v>9.0191792034282336</v>
      </c>
      <c r="AQ45" s="1328">
        <f t="array" ref="AQ45">1/SUMPRODUCT(IFERROR(1/AH45:AM45,0),'Mkt Pen Veh-Mi'!N45:S45)</f>
        <v>9.8650607938601667</v>
      </c>
      <c r="AR45" s="1321">
        <v>2043</v>
      </c>
      <c r="AS45" s="1323">
        <f t="shared" si="32"/>
        <v>1.2006796548013059</v>
      </c>
      <c r="AT45" s="1324">
        <f t="shared" si="33"/>
        <v>1.2097733260558505</v>
      </c>
      <c r="AU45" s="1324">
        <f t="shared" si="34"/>
        <v>1.1532468287232343</v>
      </c>
      <c r="AV45" s="1328">
        <v>2.2174143154278179</v>
      </c>
    </row>
    <row r="46" spans="1:48" s="1177" customFormat="1" ht="15" x14ac:dyDescent="0.2">
      <c r="A46" s="1192">
        <v>2044</v>
      </c>
      <c r="B46" s="1246">
        <f>IF('Mkt Pen Veh-Mi'!B46=0,1,1/((1-Fuel2ShrbyTech!B47)/'Inputs 7&amp;8 Sleep'!$N59+Fuel2ShrbyTech!B47/'Inputs 7&amp;8 Sleep'!$T59))</f>
        <v>8.1044204062362173</v>
      </c>
      <c r="C46" s="1247">
        <f>IF('Mkt Pen Veh-Mi'!C46=0,1,1/((1-Fuel2ShrbyTech!C47)/'Inputs 7&amp;8 Sleep'!$O59+Fuel2ShrbyTech!C47/'Inputs 7&amp;8 Sleep'!$U59))</f>
        <v>9.8189781239394645</v>
      </c>
      <c r="D46" s="1247">
        <f>IF('Mkt Pen Veh-Mi'!D46=0,1,1/((1-Fuel2ShrbyTech!D47)/'Inputs 7&amp;8 Sleep'!$P59+Fuel2ShrbyTech!D47/'Inputs 7&amp;8 Sleep'!$V59))</f>
        <v>11.456481798043551</v>
      </c>
      <c r="E46" s="1247">
        <f>IF('Mkt Pen Veh-Mi'!E46=0,1,1/((1-Fuel2ShrbyTech!E47)/'Inputs 7&amp;8 Sleep'!$Q59+Fuel2ShrbyTech!E47/'Inputs 7&amp;8 Sleep'!$W59))</f>
        <v>1</v>
      </c>
      <c r="F46" s="1247">
        <f>IF('Mkt Pen Veh-Mi'!F46=0,1,1/((1-Fuel2ShrbyTech!F47)/'Inputs 7&amp;8 Sleep'!$R59+Fuel2ShrbyTech!F47/'Inputs 7&amp;8 Sleep'!$X59))</f>
        <v>14.130335347911151</v>
      </c>
      <c r="G46" s="1248">
        <f>IF('Mkt Pen Veh-Mi'!G46=0,1,1/((1-Fuel2ShrbyTech!G47)/'Inputs 7&amp;8 Sleep'!$S59+Fuel2ShrbyTech!G47/'Inputs 7&amp;8 Sleep'!$Y59))</f>
        <v>1</v>
      </c>
      <c r="H46" s="1246">
        <f>IF('Mkt Pen Veh-Mi'!H46=0,1,1/((1-Fuel2ShrbyTech!H47)/'Inputs 7&amp;8 Day'!$N59+Fuel2ShrbyTech!H47/'Inputs 7&amp;8 Day'!$T59))</f>
        <v>7.4552802865813641</v>
      </c>
      <c r="I46" s="1247">
        <f>IF('Mkt Pen Veh-Mi'!I46=0,1,1/((1-Fuel2ShrbyTech!I47)/'Inputs 7&amp;8 Day'!$O59+Fuel2ShrbyTech!I47/'Inputs 7&amp;8 Day'!$U59))</f>
        <v>8.7576172086762831</v>
      </c>
      <c r="J46" s="1247">
        <f>IF('Mkt Pen Veh-Mi'!J46=0,1,1/((1-Fuel2ShrbyTech!J47)/'Inputs 7&amp;8 Day'!$P59+Fuel2ShrbyTech!J47/'Inputs 7&amp;8 Day'!$V59))</f>
        <v>8.8063159155415462</v>
      </c>
      <c r="K46" s="1247">
        <f>IF('Mkt Pen Veh-Mi'!K46=0,1,1/((1-Fuel2ShrbyTech!K47)/'Inputs 7&amp;8 Day'!$Q59+Fuel2ShrbyTech!K47/'Inputs 7&amp;8 Day'!$W59))</f>
        <v>11.727946560664167</v>
      </c>
      <c r="L46" s="1247">
        <f>IF('Mkt Pen Veh-Mi'!L46=0,1,1/((1-Fuel2ShrbyTech!L47)/'Inputs 7&amp;8 Day'!$R59+Fuel2ShrbyTech!L47/'Inputs 7&amp;8 Day'!$X59))</f>
        <v>20.095885356726619</v>
      </c>
      <c r="M46" s="1248">
        <f>IF('Mkt Pen Veh-Mi'!M46=0,1,1/((1-Fuel2ShrbyTech!M47)/'Inputs 7&amp;8 Day'!$S59+Fuel2ShrbyTech!M47/'Inputs 7&amp;8 Day'!$Y59))</f>
        <v>10.937994046599632</v>
      </c>
      <c r="N46" s="1246">
        <f>IF('Mkt Pen Veh-Mi'!N46=0,1,1/((1-Fuel2ShrbyTech!N47)/'Inputs 7&amp;8 SU'!$N59+Fuel2ShrbyTech!N47/'Inputs 7&amp;8 SU'!$T59))</f>
        <v>8.5564345191960758</v>
      </c>
      <c r="O46" s="1247">
        <f>IF('Mkt Pen Veh-Mi'!O46=0,1,1/((1-Fuel2ShrbyTech!O47)/'Inputs 7&amp;8 SU'!$O59+Fuel2ShrbyTech!O47/'Inputs 7&amp;8 SU'!$U59))</f>
        <v>10.12997080821798</v>
      </c>
      <c r="P46" s="1247">
        <f>IF('Mkt Pen Veh-Mi'!P46=0,1,1/((1-Fuel2ShrbyTech!P47)/'Inputs 7&amp;8 SU'!$P59+Fuel2ShrbyTech!P47/'Inputs 7&amp;8 SU'!$V59))</f>
        <v>10.736763634504399</v>
      </c>
      <c r="Q46" s="1247">
        <f>IF('Mkt Pen Veh-Mi'!Q46=0,1,1/((1-Fuel2ShrbyTech!Q47)/'Inputs 7&amp;8 SU'!$Q59+Fuel2ShrbyTech!Q47/'Inputs 7&amp;8 SU'!$W59))</f>
        <v>12.089028167241382</v>
      </c>
      <c r="R46" s="1247">
        <f>IF('Mkt Pen Veh-Mi'!R46=0,1,1/((1-Fuel2ShrbyTech!R47)/'Inputs 7&amp;8 SU'!$R59+Fuel2ShrbyTech!R47/'Inputs 7&amp;8 SU'!$X59))</f>
        <v>19.451808541250497</v>
      </c>
      <c r="S46" s="1248">
        <f>IF('Mkt Pen Veh-Mi'!S46=0,1,1/((1-Fuel2ShrbyTech!S47)/'Inputs 7&amp;8 SU'!$S59+Fuel2ShrbyTech!S47/'Inputs 7&amp;8 SU'!$Y59))</f>
        <v>28.766822517152747</v>
      </c>
      <c r="U46" s="1192">
        <f t="shared" si="13"/>
        <v>2044</v>
      </c>
      <c r="V46" s="1246">
        <f t="shared" si="14"/>
        <v>8.1044204062362173</v>
      </c>
      <c r="W46" s="1247">
        <f t="shared" si="15"/>
        <v>9.8189781239394645</v>
      </c>
      <c r="X46" s="1247">
        <f t="shared" si="16"/>
        <v>11.456481798043551</v>
      </c>
      <c r="Y46" s="1247">
        <f t="shared" si="17"/>
        <v>0</v>
      </c>
      <c r="Z46" s="1247">
        <f t="shared" si="18"/>
        <v>14.130335347911151</v>
      </c>
      <c r="AA46" s="1248">
        <f t="shared" si="19"/>
        <v>0</v>
      </c>
      <c r="AB46" s="1246">
        <f t="shared" si="20"/>
        <v>7.4552802865813641</v>
      </c>
      <c r="AC46" s="1247">
        <f t="shared" si="21"/>
        <v>8.7576172086762831</v>
      </c>
      <c r="AD46" s="1247">
        <f t="shared" si="22"/>
        <v>8.8063159155415462</v>
      </c>
      <c r="AE46" s="1247">
        <f t="shared" si="23"/>
        <v>11.727946560664167</v>
      </c>
      <c r="AF46" s="1247">
        <f t="shared" si="24"/>
        <v>20.095885356726619</v>
      </c>
      <c r="AG46" s="1248">
        <f t="shared" si="25"/>
        <v>10.937994046599632</v>
      </c>
      <c r="AH46" s="1246">
        <f t="shared" si="26"/>
        <v>8.5564345191960758</v>
      </c>
      <c r="AI46" s="1247">
        <f t="shared" si="27"/>
        <v>10.12997080821798</v>
      </c>
      <c r="AJ46" s="1247">
        <f t="shared" si="28"/>
        <v>10.736763634504399</v>
      </c>
      <c r="AK46" s="1247">
        <f t="shared" si="29"/>
        <v>12.089028167241382</v>
      </c>
      <c r="AL46" s="1247">
        <f t="shared" si="30"/>
        <v>19.451808541250497</v>
      </c>
      <c r="AM46" s="1248">
        <f t="shared" si="31"/>
        <v>28.766822517152747</v>
      </c>
      <c r="AN46" s="1177">
        <v>2044</v>
      </c>
      <c r="AO46" s="1323">
        <f t="array" ref="AO46">1/SUMPRODUCT(IFERROR(1/V46:AA46,0),'Mkt Pen Veh-Mi'!B46:G46)</f>
        <v>9.9969135768211039</v>
      </c>
      <c r="AP46" s="1324">
        <f t="array" ref="AP46">1/SUMPRODUCT(IFERROR(1/AB46:AG46,0),'Mkt Pen Veh-Mi'!H46:M46)</f>
        <v>9.1493129921715575</v>
      </c>
      <c r="AQ46" s="1328">
        <f t="array" ref="AQ46">1/SUMPRODUCT(IFERROR(1/AH46:AM46,0),'Mkt Pen Veh-Mi'!N46:S46)</f>
        <v>10.005291276699397</v>
      </c>
      <c r="AR46" s="1321">
        <v>2044</v>
      </c>
      <c r="AS46" s="1323">
        <f t="shared" si="32"/>
        <v>1.2335136969361369</v>
      </c>
      <c r="AT46" s="1324">
        <f t="shared" si="33"/>
        <v>1.2272258909754548</v>
      </c>
      <c r="AU46" s="1324">
        <f t="shared" si="34"/>
        <v>1.1693294974972179</v>
      </c>
      <c r="AV46" s="1328">
        <v>2.2420204999328672</v>
      </c>
    </row>
    <row r="47" spans="1:48" s="1177" customFormat="1" ht="15" x14ac:dyDescent="0.2">
      <c r="A47" s="1198">
        <v>2045</v>
      </c>
      <c r="B47" s="1249">
        <f>IF('Mkt Pen Veh-Mi'!B47=0,1,1/((1-Fuel2ShrbyTech!B48)/'Inputs 7&amp;8 Sleep'!$N60+Fuel2ShrbyTech!B48/'Inputs 7&amp;8 Sleep'!$T60))</f>
        <v>8.1044311458601701</v>
      </c>
      <c r="C47" s="1250">
        <f>IF('Mkt Pen Veh-Mi'!C47=0,1,1/((1-Fuel2ShrbyTech!C48)/'Inputs 7&amp;8 Sleep'!$O60+Fuel2ShrbyTech!C48/'Inputs 7&amp;8 Sleep'!$U60))</f>
        <v>10.05643245489153</v>
      </c>
      <c r="D47" s="1250">
        <f>IF('Mkt Pen Veh-Mi'!D47=0,1,1/((1-Fuel2ShrbyTech!D48)/'Inputs 7&amp;8 Sleep'!$P60+Fuel2ShrbyTech!D48/'Inputs 7&amp;8 Sleep'!$V60))</f>
        <v>11.832380037079142</v>
      </c>
      <c r="E47" s="1250">
        <f>IF('Mkt Pen Veh-Mi'!E47=0,1,1/((1-Fuel2ShrbyTech!E48)/'Inputs 7&amp;8 Sleep'!$Q60+Fuel2ShrbyTech!E48/'Inputs 7&amp;8 Sleep'!$W60))</f>
        <v>21.838516631429059</v>
      </c>
      <c r="F47" s="1250">
        <f>IF('Mkt Pen Veh-Mi'!F47=0,1,1/((1-Fuel2ShrbyTech!F48)/'Inputs 7&amp;8 Sleep'!$R60+Fuel2ShrbyTech!F48/'Inputs 7&amp;8 Sleep'!$X60))</f>
        <v>14.60228690832759</v>
      </c>
      <c r="G47" s="1251">
        <f>IF('Mkt Pen Veh-Mi'!G47=0,1,1/((1-Fuel2ShrbyTech!G48)/'Inputs 7&amp;8 Sleep'!$S60+Fuel2ShrbyTech!G48/'Inputs 7&amp;8 Sleep'!$Y60))</f>
        <v>1</v>
      </c>
      <c r="H47" s="1249">
        <f>IF('Mkt Pen Veh-Mi'!H47=0,1,1/((1-Fuel2ShrbyTech!H48)/'Inputs 7&amp;8 Day'!$N60+Fuel2ShrbyTech!H48/'Inputs 7&amp;8 Day'!$T60))</f>
        <v>7.455296839721929</v>
      </c>
      <c r="I47" s="1250">
        <f>IF('Mkt Pen Veh-Mi'!I47=0,1,1/((1-Fuel2ShrbyTech!I48)/'Inputs 7&amp;8 Day'!$O60+Fuel2ShrbyTech!I48/'Inputs 7&amp;8 Day'!$U60))</f>
        <v>8.7576366534272641</v>
      </c>
      <c r="J47" s="1250">
        <f>IF('Mkt Pen Veh-Mi'!J47=0,1,1/((1-Fuel2ShrbyTech!J48)/'Inputs 7&amp;8 Day'!$P60+Fuel2ShrbyTech!J48/'Inputs 7&amp;8 Day'!$V60))</f>
        <v>8.8063354684194532</v>
      </c>
      <c r="K47" s="1250">
        <f>IF('Mkt Pen Veh-Mi'!K47=0,1,1/((1-Fuel2ShrbyTech!K48)/'Inputs 7&amp;8 Day'!$Q60+Fuel2ShrbyTech!K48/'Inputs 7&amp;8 Day'!$W60))</f>
        <v>11.959523782890669</v>
      </c>
      <c r="L47" s="1250">
        <f>IF('Mkt Pen Veh-Mi'!L47=0,1,1/((1-Fuel2ShrbyTech!L48)/'Inputs 7&amp;8 Day'!$R60+Fuel2ShrbyTech!L48/'Inputs 7&amp;8 Day'!$X60))</f>
        <v>20.176028453602722</v>
      </c>
      <c r="M47" s="1251">
        <f>IF('Mkt Pen Veh-Mi'!M47=0,1,1/((1-Fuel2ShrbyTech!M48)/'Inputs 7&amp;8 Day'!$S60+Fuel2ShrbyTech!M48/'Inputs 7&amp;8 Day'!$Y60))</f>
        <v>11.041283794643421</v>
      </c>
      <c r="N47" s="1249">
        <f>IF('Mkt Pen Veh-Mi'!N47=0,1,1/((1-Fuel2ShrbyTech!N48)/'Inputs 7&amp;8 SU'!$N60+Fuel2ShrbyTech!N48/'Inputs 7&amp;8 SU'!$T60))</f>
        <v>8.5588402101966423</v>
      </c>
      <c r="O47" s="1250">
        <f>IF('Mkt Pen Veh-Mi'!O47=0,1,1/((1-Fuel2ShrbyTech!O48)/'Inputs 7&amp;8 SU'!$O60+Fuel2ShrbyTech!O48/'Inputs 7&amp;8 SU'!$U60))</f>
        <v>10.132818908037438</v>
      </c>
      <c r="P47" s="1250">
        <f>IF('Mkt Pen Veh-Mi'!P47=0,1,1/((1-Fuel2ShrbyTech!P48)/'Inputs 7&amp;8 SU'!$P60+Fuel2ShrbyTech!P48/'Inputs 7&amp;8 SU'!$V60))</f>
        <v>10.739782337632763</v>
      </c>
      <c r="Q47" s="1250">
        <f>IF('Mkt Pen Veh-Mi'!Q47=0,1,1/((1-Fuel2ShrbyTech!Q48)/'Inputs 7&amp;8 SU'!$Q60+Fuel2ShrbyTech!Q48/'Inputs 7&amp;8 SU'!$W60))</f>
        <v>12.092427067355944</v>
      </c>
      <c r="R47" s="1250">
        <f>IF('Mkt Pen Veh-Mi'!R47=0,1,1/((1-Fuel2ShrbyTech!R48)/'Inputs 7&amp;8 SU'!$R60+Fuel2ShrbyTech!R48/'Inputs 7&amp;8 SU'!$X60))</f>
        <v>20.688326787632036</v>
      </c>
      <c r="S47" s="1251">
        <f>IF('Mkt Pen Veh-Mi'!S47=0,1,1/((1-Fuel2ShrbyTech!S48)/'Inputs 7&amp;8 SU'!$S60+Fuel2ShrbyTech!S48/'Inputs 7&amp;8 SU'!$Y60))</f>
        <v>28.871821775460866</v>
      </c>
      <c r="U47" s="1198">
        <f t="shared" si="13"/>
        <v>2045</v>
      </c>
      <c r="V47" s="1249">
        <f t="shared" si="14"/>
        <v>8.1044311458601701</v>
      </c>
      <c r="W47" s="1250">
        <f t="shared" si="15"/>
        <v>10.05643245489153</v>
      </c>
      <c r="X47" s="1250">
        <f t="shared" si="16"/>
        <v>11.832380037079142</v>
      </c>
      <c r="Y47" s="1250">
        <f t="shared" si="17"/>
        <v>21.838516631429059</v>
      </c>
      <c r="Z47" s="1250">
        <f t="shared" si="18"/>
        <v>14.60228690832759</v>
      </c>
      <c r="AA47" s="1251">
        <f t="shared" si="19"/>
        <v>0</v>
      </c>
      <c r="AB47" s="1249">
        <f t="shared" si="20"/>
        <v>7.455296839721929</v>
      </c>
      <c r="AC47" s="1250">
        <f t="shared" si="21"/>
        <v>8.7576366534272641</v>
      </c>
      <c r="AD47" s="1250">
        <f t="shared" si="22"/>
        <v>8.8063354684194532</v>
      </c>
      <c r="AE47" s="1250">
        <f t="shared" si="23"/>
        <v>11.959523782890669</v>
      </c>
      <c r="AF47" s="1250">
        <f t="shared" si="24"/>
        <v>20.176028453602722</v>
      </c>
      <c r="AG47" s="1251">
        <f t="shared" si="25"/>
        <v>11.041283794643421</v>
      </c>
      <c r="AH47" s="1249">
        <f t="shared" si="26"/>
        <v>8.5588402101966423</v>
      </c>
      <c r="AI47" s="1250">
        <f t="shared" si="27"/>
        <v>10.132818908037438</v>
      </c>
      <c r="AJ47" s="1250">
        <f t="shared" si="28"/>
        <v>10.739782337632763</v>
      </c>
      <c r="AK47" s="1250">
        <f t="shared" si="29"/>
        <v>12.092427067355944</v>
      </c>
      <c r="AL47" s="1250">
        <f t="shared" si="30"/>
        <v>20.688326787632036</v>
      </c>
      <c r="AM47" s="1251">
        <f t="shared" si="31"/>
        <v>28.871821775460866</v>
      </c>
      <c r="AN47" s="1177">
        <v>2045</v>
      </c>
      <c r="AO47" s="1323">
        <f t="array" ref="AO47">1/SUMPRODUCT(IFERROR(1/V47:AA47,0),'Mkt Pen Veh-Mi'!B47:G47)</f>
        <v>10.218336575326106</v>
      </c>
      <c r="AP47" s="1324">
        <f t="array" ref="AP47">1/SUMPRODUCT(IFERROR(1/AB47:AG47,0),'Mkt Pen Veh-Mi'!H47:M47)</f>
        <v>9.3881644759827729</v>
      </c>
      <c r="AQ47" s="1328">
        <f t="array" ref="AQ47">1/SUMPRODUCT(IFERROR(1/AH47:AM47,0),'Mkt Pen Veh-Mi'!N47:S47)</f>
        <v>10.213538699079924</v>
      </c>
      <c r="AR47" s="1321">
        <v>2045</v>
      </c>
      <c r="AS47" s="1323">
        <f t="shared" si="32"/>
        <v>1.2608332887800202</v>
      </c>
      <c r="AT47" s="1324">
        <f t="shared" si="33"/>
        <v>1.2592609895775708</v>
      </c>
      <c r="AU47" s="1324">
        <f t="shared" si="34"/>
        <v>1.19333209269545</v>
      </c>
      <c r="AV47" s="1328">
        <v>2.2603379864801605</v>
      </c>
    </row>
    <row r="48" spans="1:48" s="1177" customFormat="1" ht="15" x14ac:dyDescent="0.2">
      <c r="A48" s="1192">
        <v>2046</v>
      </c>
      <c r="B48" s="1252">
        <f>IF('Mkt Pen Veh-Mi'!B48=0,1,1/((1-Fuel2ShrbyTech!B49)/'Inputs 7&amp;8 Sleep'!$N61+Fuel2ShrbyTech!B49/'Inputs 7&amp;8 Sleep'!$T61))</f>
        <v>8.1044333679487188</v>
      </c>
      <c r="C48" s="1253">
        <f>IF('Mkt Pen Veh-Mi'!C48=0,1,1/((1-Fuel2ShrbyTech!C49)/'Inputs 7&amp;8 Sleep'!$O61+Fuel2ShrbyTech!C49/'Inputs 7&amp;8 Sleep'!$U61))</f>
        <v>10.237093422908599</v>
      </c>
      <c r="D48" s="1253">
        <f>IF('Mkt Pen Veh-Mi'!D48=0,1,1/((1-Fuel2ShrbyTech!D49)/'Inputs 7&amp;8 Sleep'!$P61+Fuel2ShrbyTech!D49/'Inputs 7&amp;8 Sleep'!$V61))</f>
        <v>12.118372461255182</v>
      </c>
      <c r="E48" s="1253">
        <f>IF('Mkt Pen Veh-Mi'!E48=0,1,1/((1-Fuel2ShrbyTech!E49)/'Inputs 7&amp;8 Sleep'!$Q61+Fuel2ShrbyTech!E49/'Inputs 7&amp;8 Sleep'!$W61))</f>
        <v>22.334023440540282</v>
      </c>
      <c r="F48" s="1253">
        <f>IF('Mkt Pen Veh-Mi'!F48=0,1,1/((1-Fuel2ShrbyTech!F49)/'Inputs 7&amp;8 Sleep'!$R61+Fuel2ShrbyTech!F49/'Inputs 7&amp;8 Sleep'!$X61))</f>
        <v>14.961359010403561</v>
      </c>
      <c r="G48" s="1254">
        <f>IF('Mkt Pen Veh-Mi'!G48=0,1,1/((1-Fuel2ShrbyTech!G49)/'Inputs 7&amp;8 Sleep'!$S61+Fuel2ShrbyTech!G49/'Inputs 7&amp;8 Sleep'!$Y61))</f>
        <v>1</v>
      </c>
      <c r="H48" s="1252">
        <f>IF('Mkt Pen Veh-Mi'!H48=0,1,1/((1-Fuel2ShrbyTech!H49)/'Inputs 7&amp;8 Day'!$N61+Fuel2ShrbyTech!H49/'Inputs 7&amp;8 Day'!$T61))</f>
        <v>7.4553133928624931</v>
      </c>
      <c r="I48" s="1253">
        <f>IF('Mkt Pen Veh-Mi'!I48=0,1,1/((1-Fuel2ShrbyTech!I49)/'Inputs 7&amp;8 Day'!$O61+Fuel2ShrbyTech!I49/'Inputs 7&amp;8 Day'!$U61))</f>
        <v>8.757656098178245</v>
      </c>
      <c r="J48" s="1253">
        <f>IF('Mkt Pen Veh-Mi'!J48=0,1,1/((1-Fuel2ShrbyTech!J49)/'Inputs 7&amp;8 Day'!$P61+Fuel2ShrbyTech!J49/'Inputs 7&amp;8 Day'!$V61))</f>
        <v>8.8063550212973603</v>
      </c>
      <c r="K48" s="1253">
        <f>IF('Mkt Pen Veh-Mi'!K48=0,1,1/((1-Fuel2ShrbyTech!K49)/'Inputs 7&amp;8 Day'!$Q61+Fuel2ShrbyTech!K49/'Inputs 7&amp;8 Day'!$W61))</f>
        <v>12.137180064803058</v>
      </c>
      <c r="L48" s="1253">
        <f>IF('Mkt Pen Veh-Mi'!L48=0,1,1/((1-Fuel2ShrbyTech!L49)/'Inputs 7&amp;8 Day'!$R61+Fuel2ShrbyTech!L49/'Inputs 7&amp;8 Day'!$X61))</f>
        <v>20.256171906167243</v>
      </c>
      <c r="M48" s="1254">
        <f>IF('Mkt Pen Veh-Mi'!M48=0,1,1/((1-Fuel2ShrbyTech!M49)/'Inputs 7&amp;8 Day'!$S61+Fuel2ShrbyTech!M49/'Inputs 7&amp;8 Day'!$Y61))</f>
        <v>11.144574001251836</v>
      </c>
      <c r="N48" s="1252">
        <f>IF('Mkt Pen Veh-Mi'!N48=0,1,1/((1-Fuel2ShrbyTech!N49)/'Inputs 7&amp;8 SU'!$N61+Fuel2ShrbyTech!N49/'Inputs 7&amp;8 SU'!$T61))</f>
        <v>8.5606020112770658</v>
      </c>
      <c r="O48" s="1253">
        <f>IF('Mkt Pen Veh-Mi'!O48=0,1,1/((1-Fuel2ShrbyTech!O49)/'Inputs 7&amp;8 SU'!$O61+Fuel2ShrbyTech!O49/'Inputs 7&amp;8 SU'!$U61))</f>
        <v>10.134904705979856</v>
      </c>
      <c r="P48" s="1253">
        <f>IF('Mkt Pen Veh-Mi'!P48=0,1,1/((1-Fuel2ShrbyTech!P49)/'Inputs 7&amp;8 SU'!$P61+Fuel2ShrbyTech!P49/'Inputs 7&amp;8 SU'!$V61))</f>
        <v>10.741993076431626</v>
      </c>
      <c r="Q48" s="1253">
        <f>IF('Mkt Pen Veh-Mi'!Q48=0,1,1/((1-Fuel2ShrbyTech!Q49)/'Inputs 7&amp;8 SU'!$Q61+Fuel2ShrbyTech!Q49/'Inputs 7&amp;8 SU'!$W61))</f>
        <v>12.094916242355009</v>
      </c>
      <c r="R48" s="1253">
        <f>IF('Mkt Pen Veh-Mi'!R48=0,1,1/((1-Fuel2ShrbyTech!R49)/'Inputs 7&amp;8 SU'!$R61+Fuel2ShrbyTech!R49/'Inputs 7&amp;8 SU'!$X61))</f>
        <v>21.373578747806103</v>
      </c>
      <c r="S48" s="1254">
        <f>IF('Mkt Pen Veh-Mi'!S48=0,1,1/((1-Fuel2ShrbyTech!S49)/'Inputs 7&amp;8 SU'!$S61+Fuel2ShrbyTech!S49/'Inputs 7&amp;8 SU'!$Y61))</f>
        <v>28.974696166673031</v>
      </c>
      <c r="U48" s="1192">
        <f t="shared" si="13"/>
        <v>2046</v>
      </c>
      <c r="V48" s="1252">
        <f t="shared" si="14"/>
        <v>8.1044333679487188</v>
      </c>
      <c r="W48" s="1253">
        <f t="shared" si="15"/>
        <v>10.237093422908599</v>
      </c>
      <c r="X48" s="1253">
        <f t="shared" si="16"/>
        <v>12.118372461255182</v>
      </c>
      <c r="Y48" s="1253">
        <f t="shared" si="17"/>
        <v>22.334023440540282</v>
      </c>
      <c r="Z48" s="1253">
        <f t="shared" si="18"/>
        <v>14.961359010403561</v>
      </c>
      <c r="AA48" s="1254">
        <f t="shared" si="19"/>
        <v>0</v>
      </c>
      <c r="AB48" s="1252">
        <f t="shared" si="20"/>
        <v>7.4553133928624931</v>
      </c>
      <c r="AC48" s="1253">
        <f t="shared" si="21"/>
        <v>8.757656098178245</v>
      </c>
      <c r="AD48" s="1253">
        <f t="shared" si="22"/>
        <v>8.8063550212973603</v>
      </c>
      <c r="AE48" s="1253">
        <f t="shared" si="23"/>
        <v>12.137180064803058</v>
      </c>
      <c r="AF48" s="1253">
        <f t="shared" si="24"/>
        <v>20.256171906167243</v>
      </c>
      <c r="AG48" s="1254">
        <f t="shared" si="25"/>
        <v>11.144574001251836</v>
      </c>
      <c r="AH48" s="1252">
        <f t="shared" si="26"/>
        <v>8.5606020112770658</v>
      </c>
      <c r="AI48" s="1253">
        <f t="shared" si="27"/>
        <v>10.134904705979856</v>
      </c>
      <c r="AJ48" s="1253">
        <f t="shared" si="28"/>
        <v>10.741993076431626</v>
      </c>
      <c r="AK48" s="1253">
        <f t="shared" si="29"/>
        <v>12.094916242355009</v>
      </c>
      <c r="AL48" s="1253">
        <f t="shared" si="30"/>
        <v>21.373578747806103</v>
      </c>
      <c r="AM48" s="1254">
        <f t="shared" si="31"/>
        <v>28.974696166673031</v>
      </c>
      <c r="AN48" s="1177">
        <v>2046</v>
      </c>
      <c r="AO48" s="1323">
        <f t="array" ref="AO48">1/SUMPRODUCT(IFERROR(1/V48:AA48,0),'Mkt Pen Veh-Mi'!B48:G48)</f>
        <v>10.392550232400795</v>
      </c>
      <c r="AP48" s="1324">
        <f t="array" ref="AP48">1/SUMPRODUCT(IFERROR(1/AB48:AG48,0),'Mkt Pen Veh-Mi'!H48:M48)</f>
        <v>9.5247817907370802</v>
      </c>
      <c r="AQ48" s="1328">
        <f t="array" ref="AQ48">1/SUMPRODUCT(IFERROR(1/AH48:AM48,0),'Mkt Pen Veh-Mi'!N48:S48)</f>
        <v>10.33037176489071</v>
      </c>
      <c r="AR48" s="1321">
        <v>2046</v>
      </c>
      <c r="AS48" s="1323">
        <f t="shared" si="32"/>
        <v>1.2823290365370987</v>
      </c>
      <c r="AT48" s="1324">
        <f t="shared" si="33"/>
        <v>1.2775830188246462</v>
      </c>
      <c r="AU48" s="1324">
        <f t="shared" si="34"/>
        <v>1.2067342636980773</v>
      </c>
      <c r="AV48" s="1328">
        <v>2.2751084089886593</v>
      </c>
    </row>
    <row r="49" spans="1:48" s="1177" customFormat="1" ht="15" x14ac:dyDescent="0.2">
      <c r="A49" s="1192">
        <v>2047</v>
      </c>
      <c r="B49" s="1246">
        <f>IF('Mkt Pen Veh-Mi'!B49=0,1,1/((1-Fuel2ShrbyTech!B50)/'Inputs 7&amp;8 Sleep'!$N62+Fuel2ShrbyTech!B50/'Inputs 7&amp;8 Sleep'!$T62))</f>
        <v>8.1044320169487083</v>
      </c>
      <c r="C49" s="1247">
        <f>IF('Mkt Pen Veh-Mi'!C49=0,1,1/((1-Fuel2ShrbyTech!C50)/'Inputs 7&amp;8 Sleep'!$O62+Fuel2ShrbyTech!C50/'Inputs 7&amp;8 Sleep'!$U62))</f>
        <v>10.364622538022186</v>
      </c>
      <c r="D49" s="1247">
        <f>IF('Mkt Pen Veh-Mi'!D49=0,1,1/((1-Fuel2ShrbyTech!D50)/'Inputs 7&amp;8 Sleep'!$P62+Fuel2ShrbyTech!D50/'Inputs 7&amp;8 Sleep'!$V62))</f>
        <v>12.320255364821348</v>
      </c>
      <c r="E49" s="1247">
        <f>IF('Mkt Pen Veh-Mi'!E49=0,1,1/((1-Fuel2ShrbyTech!E50)/'Inputs 7&amp;8 Sleep'!$Q62+Fuel2ShrbyTech!E50/'Inputs 7&amp;8 Sleep'!$W62))</f>
        <v>22.683803172113176</v>
      </c>
      <c r="F49" s="1247">
        <f>IF('Mkt Pen Veh-Mi'!F49=0,1,1/((1-Fuel2ShrbyTech!F50)/'Inputs 7&amp;8 Sleep'!$R62+Fuel2ShrbyTech!F50/'Inputs 7&amp;8 Sleep'!$X62))</f>
        <v>15.214829076142365</v>
      </c>
      <c r="G49" s="1248">
        <f>IF('Mkt Pen Veh-Mi'!G49=0,1,1/((1-Fuel2ShrbyTech!G50)/'Inputs 7&amp;8 Sleep'!$S62+Fuel2ShrbyTech!G50/'Inputs 7&amp;8 Sleep'!$Y62))</f>
        <v>1</v>
      </c>
      <c r="H49" s="1246">
        <f>IF('Mkt Pen Veh-Mi'!H49=0,1,1/((1-Fuel2ShrbyTech!H50)/'Inputs 7&amp;8 Day'!$N62+Fuel2ShrbyTech!H50/'Inputs 7&amp;8 Day'!$T62))</f>
        <v>7.4553299460030589</v>
      </c>
      <c r="I49" s="1247">
        <f>IF('Mkt Pen Veh-Mi'!I49=0,1,1/((1-Fuel2ShrbyTech!I50)/'Inputs 7&amp;8 Day'!$O62+Fuel2ShrbyTech!I50/'Inputs 7&amp;8 Day'!$U62))</f>
        <v>8.7576755429292259</v>
      </c>
      <c r="J49" s="1247">
        <f>IF('Mkt Pen Veh-Mi'!J49=0,1,1/((1-Fuel2ShrbyTech!J50)/'Inputs 7&amp;8 Day'!$P62+Fuel2ShrbyTech!J50/'Inputs 7&amp;8 Day'!$V62))</f>
        <v>8.8063745741752673</v>
      </c>
      <c r="K49" s="1247">
        <f>IF('Mkt Pen Veh-Mi'!K49=0,1,1/((1-Fuel2ShrbyTech!K50)/'Inputs 7&amp;8 Day'!$Q62+Fuel2ShrbyTech!K50/'Inputs 7&amp;8 Day'!$W62))</f>
        <v>12.280420754231407</v>
      </c>
      <c r="L49" s="1247">
        <f>IF('Mkt Pen Veh-Mi'!L49=0,1,1/((1-Fuel2ShrbyTech!L50)/'Inputs 7&amp;8 Day'!$R62+Fuel2ShrbyTech!L50/'Inputs 7&amp;8 Day'!$X62))</f>
        <v>20.336315714420177</v>
      </c>
      <c r="M49" s="1248">
        <f>IF('Mkt Pen Veh-Mi'!M49=0,1,1/((1-Fuel2ShrbyTech!M50)/'Inputs 7&amp;8 Day'!$S62+Fuel2ShrbyTech!M50/'Inputs 7&amp;8 Day'!$Y62))</f>
        <v>11.24786466642488</v>
      </c>
      <c r="N49" s="1246">
        <f>IF('Mkt Pen Veh-Mi'!N49=0,1,1/((1-Fuel2ShrbyTech!N50)/'Inputs 7&amp;8 SU'!$N62+Fuel2ShrbyTech!N50/'Inputs 7&amp;8 SU'!$T62))</f>
        <v>8.5625313997551658</v>
      </c>
      <c r="O49" s="1247">
        <f>IF('Mkt Pen Veh-Mi'!O49=0,1,1/((1-Fuel2ShrbyTech!O50)/'Inputs 7&amp;8 SU'!$O62+Fuel2ShrbyTech!O50/'Inputs 7&amp;8 SU'!$U62))</f>
        <v>10.137188910798701</v>
      </c>
      <c r="P49" s="1247">
        <f>IF('Mkt Pen Veh-Mi'!P49=0,1,1/((1-Fuel2ShrbyTech!P50)/'Inputs 7&amp;8 SU'!$P62+Fuel2ShrbyTech!P50/'Inputs 7&amp;8 SU'!$V62))</f>
        <v>10.744414106827175</v>
      </c>
      <c r="Q49" s="1247">
        <f>IF('Mkt Pen Veh-Mi'!Q49=0,1,1/((1-Fuel2ShrbyTech!Q50)/'Inputs 7&amp;8 SU'!$Q62+Fuel2ShrbyTech!Q50/'Inputs 7&amp;8 SU'!$W62))</f>
        <v>12.097642194573186</v>
      </c>
      <c r="R49" s="1247">
        <f>IF('Mkt Pen Veh-Mi'!R49=0,1,1/((1-Fuel2ShrbyTech!R50)/'Inputs 7&amp;8 SU'!$R62+Fuel2ShrbyTech!R50/'Inputs 7&amp;8 SU'!$X62))</f>
        <v>21.749678926927817</v>
      </c>
      <c r="S49" s="1248">
        <f>IF('Mkt Pen Veh-Mi'!S49=0,1,1/((1-Fuel2ShrbyTech!S50)/'Inputs 7&amp;8 SU'!$S62+Fuel2ShrbyTech!S50/'Inputs 7&amp;8 SU'!$Y62))</f>
        <v>29.078179578785278</v>
      </c>
      <c r="U49" s="1192">
        <f t="shared" si="13"/>
        <v>2047</v>
      </c>
      <c r="V49" s="1246">
        <f t="shared" si="14"/>
        <v>8.1044320169487083</v>
      </c>
      <c r="W49" s="1247">
        <f t="shared" si="15"/>
        <v>10.364622538022186</v>
      </c>
      <c r="X49" s="1247">
        <f t="shared" si="16"/>
        <v>12.320255364821348</v>
      </c>
      <c r="Y49" s="1247">
        <f t="shared" si="17"/>
        <v>22.683803172113176</v>
      </c>
      <c r="Z49" s="1247">
        <f t="shared" si="18"/>
        <v>15.214829076142365</v>
      </c>
      <c r="AA49" s="1248">
        <f t="shared" si="19"/>
        <v>0</v>
      </c>
      <c r="AB49" s="1246">
        <f t="shared" si="20"/>
        <v>7.4553299460030589</v>
      </c>
      <c r="AC49" s="1247">
        <f t="shared" si="21"/>
        <v>8.7576755429292259</v>
      </c>
      <c r="AD49" s="1247">
        <f t="shared" si="22"/>
        <v>8.8063745741752673</v>
      </c>
      <c r="AE49" s="1247">
        <f t="shared" si="23"/>
        <v>12.280420754231407</v>
      </c>
      <c r="AF49" s="1247">
        <f t="shared" si="24"/>
        <v>20.336315714420177</v>
      </c>
      <c r="AG49" s="1248">
        <f t="shared" si="25"/>
        <v>11.24786466642488</v>
      </c>
      <c r="AH49" s="1246">
        <f t="shared" si="26"/>
        <v>8.5625313997551658</v>
      </c>
      <c r="AI49" s="1247">
        <f t="shared" si="27"/>
        <v>10.137188910798701</v>
      </c>
      <c r="AJ49" s="1247">
        <f t="shared" si="28"/>
        <v>10.744414106827175</v>
      </c>
      <c r="AK49" s="1247">
        <f t="shared" si="29"/>
        <v>12.097642194573186</v>
      </c>
      <c r="AL49" s="1247">
        <f t="shared" si="30"/>
        <v>21.749678926927817</v>
      </c>
      <c r="AM49" s="1248">
        <f t="shared" si="31"/>
        <v>29.078179578785278</v>
      </c>
      <c r="AN49" s="1177">
        <v>2047</v>
      </c>
      <c r="AO49" s="1323">
        <f t="array" ref="AO49">1/SUMPRODUCT(IFERROR(1/V49:AA49,0),'Mkt Pen Veh-Mi'!B49:G49)</f>
        <v>10.607127238031893</v>
      </c>
      <c r="AP49" s="1324">
        <f t="array" ref="AP49">1/SUMPRODUCT(IFERROR(1/AB49:AG49,0),'Mkt Pen Veh-Mi'!H49:M49)</f>
        <v>9.6601749435930522</v>
      </c>
      <c r="AQ49" s="1328">
        <f t="array" ref="AQ49">1/SUMPRODUCT(IFERROR(1/AH49:AM49,0),'Mkt Pen Veh-Mi'!N49:S49)</f>
        <v>10.418469139427488</v>
      </c>
      <c r="AR49" s="1321">
        <v>2047</v>
      </c>
      <c r="AS49" s="1323">
        <f t="shared" si="32"/>
        <v>1.3088057516984937</v>
      </c>
      <c r="AT49" s="1324">
        <f t="shared" si="33"/>
        <v>1.2957407671503596</v>
      </c>
      <c r="AU49" s="1324">
        <f t="shared" si="34"/>
        <v>1.21675105795529</v>
      </c>
      <c r="AV49" s="1328">
        <v>2.2883161082475314</v>
      </c>
    </row>
    <row r="50" spans="1:48" s="1177" customFormat="1" ht="15" x14ac:dyDescent="0.2">
      <c r="A50" s="1192">
        <v>2048</v>
      </c>
      <c r="B50" s="1246">
        <f>IF('Mkt Pen Veh-Mi'!B50=0,1,1/((1-Fuel2ShrbyTech!B51)/'Inputs 7&amp;8 Sleep'!$N63+Fuel2ShrbyTech!B51/'Inputs 7&amp;8 Sleep'!$T63))</f>
        <v>8.1044267226986744</v>
      </c>
      <c r="C50" s="1247">
        <f>IF('Mkt Pen Veh-Mi'!C50=0,1,1/((1-Fuel2ShrbyTech!C51)/'Inputs 7&amp;8 Sleep'!$O63+Fuel2ShrbyTech!C51/'Inputs 7&amp;8 Sleep'!$U63))</f>
        <v>10.449958951772519</v>
      </c>
      <c r="D50" s="1247">
        <f>IF('Mkt Pen Veh-Mi'!D50=0,1,1/((1-Fuel2ShrbyTech!D51)/'Inputs 7&amp;8 Sleep'!$P63+Fuel2ShrbyTech!D51/'Inputs 7&amp;8 Sleep'!$V63))</f>
        <v>12.455345794740012</v>
      </c>
      <c r="E50" s="1247">
        <f>IF('Mkt Pen Veh-Mi'!E50=0,1,1/((1-Fuel2ShrbyTech!E51)/'Inputs 7&amp;8 Sleep'!$Q63+Fuel2ShrbyTech!E51/'Inputs 7&amp;8 Sleep'!$W63))</f>
        <v>22.917859119795398</v>
      </c>
      <c r="F50" s="1247">
        <f>IF('Mkt Pen Veh-Mi'!F50=0,1,1/((1-Fuel2ShrbyTech!F51)/'Inputs 7&amp;8 Sleep'!$R63+Fuel2ShrbyTech!F51/'Inputs 7&amp;8 Sleep'!$X63))</f>
        <v>15.384439179560287</v>
      </c>
      <c r="G50" s="1248">
        <f>IF('Mkt Pen Veh-Mi'!G50=0,1,1/((1-Fuel2ShrbyTech!G51)/'Inputs 7&amp;8 Sleep'!$S63+Fuel2ShrbyTech!G51/'Inputs 7&amp;8 Sleep'!$Y63))</f>
        <v>1</v>
      </c>
      <c r="H50" s="1246">
        <f>IF('Mkt Pen Veh-Mi'!H50=0,1,1/((1-Fuel2ShrbyTech!H51)/'Inputs 7&amp;8 Day'!$N63+Fuel2ShrbyTech!H51/'Inputs 7&amp;8 Day'!$T63))</f>
        <v>7.455346499143622</v>
      </c>
      <c r="I50" s="1247">
        <f>IF('Mkt Pen Veh-Mi'!I50=0,1,1/((1-Fuel2ShrbyTech!I51)/'Inputs 7&amp;8 Day'!$O63+Fuel2ShrbyTech!I51/'Inputs 7&amp;8 Day'!$U63))</f>
        <v>8.7576949876802068</v>
      </c>
      <c r="J50" s="1247">
        <f>IF('Mkt Pen Veh-Mi'!J50=0,1,1/((1-Fuel2ShrbyTech!J51)/'Inputs 7&amp;8 Day'!$P63+Fuel2ShrbyTech!J51/'Inputs 7&amp;8 Day'!$V63))</f>
        <v>8.8063941270531743</v>
      </c>
      <c r="K50" s="1247">
        <f>IF('Mkt Pen Veh-Mi'!K50=0,1,1/((1-Fuel2ShrbyTech!K51)/'Inputs 7&amp;8 Day'!$Q63+Fuel2ShrbyTech!K51/'Inputs 7&amp;8 Day'!$W63))</f>
        <v>12.414638629435174</v>
      </c>
      <c r="L50" s="1247">
        <f>IF('Mkt Pen Veh-Mi'!L50=0,1,1/((1-Fuel2ShrbyTech!L51)/'Inputs 7&amp;8 Day'!$R63+Fuel2ShrbyTech!L51/'Inputs 7&amp;8 Day'!$X63))</f>
        <v>20.416459878361525</v>
      </c>
      <c r="M50" s="1248">
        <f>IF('Mkt Pen Veh-Mi'!M50=0,1,1/((1-Fuel2ShrbyTech!M51)/'Inputs 7&amp;8 Day'!$S63+Fuel2ShrbyTech!M51/'Inputs 7&amp;8 Day'!$Y63))</f>
        <v>11.351155790162549</v>
      </c>
      <c r="N50" s="1246">
        <f>IF('Mkt Pen Veh-Mi'!N50=0,1,1/((1-Fuel2ShrbyTech!N51)/'Inputs 7&amp;8 SU'!$N63+Fuel2ShrbyTech!N51/'Inputs 7&amp;8 SU'!$T63))</f>
        <v>8.562689035627594</v>
      </c>
      <c r="O50" s="1247">
        <f>IF('Mkt Pen Veh-Mi'!O50=0,1,1/((1-Fuel2ShrbyTech!O51)/'Inputs 7&amp;8 SU'!$O63+Fuel2ShrbyTech!O51/'Inputs 7&amp;8 SU'!$U63))</f>
        <v>10.137375536055101</v>
      </c>
      <c r="P50" s="1247">
        <f>IF('Mkt Pen Veh-Mi'!P50=0,1,1/((1-Fuel2ShrbyTech!P51)/'Inputs 7&amp;8 SU'!$P63+Fuel2ShrbyTech!P51/'Inputs 7&amp;8 SU'!$V63))</f>
        <v>10.744611911075987</v>
      </c>
      <c r="Q50" s="1247">
        <f>IF('Mkt Pen Veh-Mi'!Q50=0,1,1/((1-Fuel2ShrbyTech!Q51)/'Inputs 7&amp;8 SU'!$Q63+Fuel2ShrbyTech!Q51/'Inputs 7&amp;8 SU'!$W63))</f>
        <v>12.097864911698839</v>
      </c>
      <c r="R50" s="1247">
        <f>IF('Mkt Pen Veh-Mi'!R50=0,1,1/((1-Fuel2ShrbyTech!R51)/'Inputs 7&amp;8 SU'!$R63+Fuel2ShrbyTech!R51/'Inputs 7&amp;8 SU'!$X63))</f>
        <v>22.01398863138516</v>
      </c>
      <c r="S50" s="1248">
        <f>IF('Mkt Pen Veh-Mi'!S50=0,1,1/((1-Fuel2ShrbyTech!S51)/'Inputs 7&amp;8 SU'!$S63+Fuel2ShrbyTech!S51/'Inputs 7&amp;8 SU'!$Y63))</f>
        <v>29.175669786952263</v>
      </c>
      <c r="U50" s="1192">
        <f t="shared" si="13"/>
        <v>2048</v>
      </c>
      <c r="V50" s="1246">
        <f t="shared" si="14"/>
        <v>8.1044267226986744</v>
      </c>
      <c r="W50" s="1247">
        <f t="shared" si="15"/>
        <v>10.449958951772519</v>
      </c>
      <c r="X50" s="1247">
        <f t="shared" si="16"/>
        <v>12.455345794740012</v>
      </c>
      <c r="Y50" s="1247">
        <f t="shared" si="17"/>
        <v>22.917859119795398</v>
      </c>
      <c r="Z50" s="1247">
        <f t="shared" si="18"/>
        <v>15.384439179560287</v>
      </c>
      <c r="AA50" s="1248">
        <f t="shared" si="19"/>
        <v>0</v>
      </c>
      <c r="AB50" s="1246">
        <f t="shared" si="20"/>
        <v>7.455346499143622</v>
      </c>
      <c r="AC50" s="1247">
        <f t="shared" si="21"/>
        <v>8.7576949876802068</v>
      </c>
      <c r="AD50" s="1247">
        <f t="shared" si="22"/>
        <v>8.8063941270531743</v>
      </c>
      <c r="AE50" s="1247">
        <f t="shared" si="23"/>
        <v>12.414638629435174</v>
      </c>
      <c r="AF50" s="1247">
        <f t="shared" si="24"/>
        <v>20.416459878361525</v>
      </c>
      <c r="AG50" s="1248">
        <f t="shared" si="25"/>
        <v>11.351155790162549</v>
      </c>
      <c r="AH50" s="1246">
        <f t="shared" si="26"/>
        <v>8.562689035627594</v>
      </c>
      <c r="AI50" s="1247">
        <f t="shared" si="27"/>
        <v>10.137375536055101</v>
      </c>
      <c r="AJ50" s="1247">
        <f t="shared" si="28"/>
        <v>10.744611911075987</v>
      </c>
      <c r="AK50" s="1247">
        <f t="shared" si="29"/>
        <v>12.097864911698839</v>
      </c>
      <c r="AL50" s="1247">
        <f t="shared" si="30"/>
        <v>22.01398863138516</v>
      </c>
      <c r="AM50" s="1248">
        <f t="shared" si="31"/>
        <v>29.175669786952263</v>
      </c>
      <c r="AN50" s="1177">
        <v>2048</v>
      </c>
      <c r="AO50" s="1323">
        <f t="array" ref="AO50">1/SUMPRODUCT(IFERROR(1/V50:AA50,0),'Mkt Pen Veh-Mi'!B50:G50)</f>
        <v>10.79830405190053</v>
      </c>
      <c r="AP50" s="1324">
        <f t="array" ref="AP50">1/SUMPRODUCT(IFERROR(1/AB50:AG50,0),'Mkt Pen Veh-Mi'!H50:M50)</f>
        <v>9.7705671619978194</v>
      </c>
      <c r="AQ50" s="1328">
        <f t="array" ref="AQ50">1/SUMPRODUCT(IFERROR(1/AH50:AM50,0),'Mkt Pen Veh-Mi'!N50:S50)</f>
        <v>10.476819461305054</v>
      </c>
      <c r="AR50" s="1321">
        <v>2048</v>
      </c>
      <c r="AS50" s="1323">
        <f t="shared" si="32"/>
        <v>1.3323957907666575</v>
      </c>
      <c r="AT50" s="1324">
        <f t="shared" si="33"/>
        <v>1.3105450113043224</v>
      </c>
      <c r="AU50" s="1324">
        <f t="shared" si="34"/>
        <v>1.2235431437149189</v>
      </c>
      <c r="AV50" s="1328">
        <v>2.2967875867465612</v>
      </c>
    </row>
    <row r="51" spans="1:48" s="1177" customFormat="1" ht="15" x14ac:dyDescent="0.2">
      <c r="A51" s="1192">
        <v>2049</v>
      </c>
      <c r="B51" s="1246">
        <f>IF('Mkt Pen Veh-Mi'!B51=0,1,1/((1-Fuel2ShrbyTech!B52)/'Inputs 7&amp;8 Sleep'!$N64+Fuel2ShrbyTech!B52/'Inputs 7&amp;8 Sleep'!$T64))</f>
        <v>8.1044227545263041</v>
      </c>
      <c r="C51" s="1247">
        <f>IF('Mkt Pen Veh-Mi'!C51=0,1,1/((1-Fuel2ShrbyTech!C52)/'Inputs 7&amp;8 Sleep'!$O64+Fuel2ShrbyTech!C52/'Inputs 7&amp;8 Sleep'!$U64))</f>
        <v>10.505037837359248</v>
      </c>
      <c r="D51" s="1247">
        <f>IF('Mkt Pen Veh-Mi'!D51=0,1,1/((1-Fuel2ShrbyTech!D52)/'Inputs 7&amp;8 Sleep'!$P64+Fuel2ShrbyTech!D52/'Inputs 7&amp;8 Sleep'!$V64))</f>
        <v>12.542537533956063</v>
      </c>
      <c r="E51" s="1247">
        <f>IF('Mkt Pen Veh-Mi'!E51=0,1,1/((1-Fuel2ShrbyTech!E52)/'Inputs 7&amp;8 Sleep'!$Q64+Fuel2ShrbyTech!E52/'Inputs 7&amp;8 Sleep'!$W64))</f>
        <v>23.068926409791899</v>
      </c>
      <c r="F51" s="1247">
        <f>IF('Mkt Pen Veh-Mi'!F51=0,1,1/((1-Fuel2ShrbyTech!F52)/'Inputs 7&amp;8 Sleep'!$R64+Fuel2ShrbyTech!F52/'Inputs 7&amp;8 Sleep'!$X64))</f>
        <v>15.493911034187787</v>
      </c>
      <c r="G51" s="1248">
        <f>IF('Mkt Pen Veh-Mi'!G51=0,1,1/((1-Fuel2ShrbyTech!G52)/'Inputs 7&amp;8 Sleep'!$S64+Fuel2ShrbyTech!G52/'Inputs 7&amp;8 Sleep'!$Y64))</f>
        <v>1</v>
      </c>
      <c r="H51" s="1246">
        <f>IF('Mkt Pen Veh-Mi'!H51=0,1,1/((1-Fuel2ShrbyTech!H52)/'Inputs 7&amp;8 Day'!$N64+Fuel2ShrbyTech!H52/'Inputs 7&amp;8 Day'!$T64))</f>
        <v>7.4553630522841869</v>
      </c>
      <c r="I51" s="1247">
        <f>IF('Mkt Pen Veh-Mi'!I51=0,1,1/((1-Fuel2ShrbyTech!I52)/'Inputs 7&amp;8 Day'!$O64+Fuel2ShrbyTech!I52/'Inputs 7&amp;8 Day'!$U64))</f>
        <v>8.7577144324311877</v>
      </c>
      <c r="J51" s="1247">
        <f>IF('Mkt Pen Veh-Mi'!J51=0,1,1/((1-Fuel2ShrbyTech!J52)/'Inputs 7&amp;8 Day'!$P64+Fuel2ShrbyTech!J52/'Inputs 7&amp;8 Day'!$V64))</f>
        <v>8.8064136799310795</v>
      </c>
      <c r="K51" s="1247">
        <f>IF('Mkt Pen Veh-Mi'!K51=0,1,1/((1-Fuel2ShrbyTech!K52)/'Inputs 7&amp;8 Day'!$Q64+Fuel2ShrbyTech!K52/'Inputs 7&amp;8 Day'!$W64))</f>
        <v>12.505611351288948</v>
      </c>
      <c r="L51" s="1247">
        <f>IF('Mkt Pen Veh-Mi'!L51=0,1,1/((1-Fuel2ShrbyTech!L52)/'Inputs 7&amp;8 Day'!$R64+Fuel2ShrbyTech!L52/'Inputs 7&amp;8 Day'!$X64))</f>
        <v>20.496604397991288</v>
      </c>
      <c r="M51" s="1248">
        <f>IF('Mkt Pen Veh-Mi'!M51=0,1,1/((1-Fuel2ShrbyTech!M52)/'Inputs 7&amp;8 Day'!$S64+Fuel2ShrbyTech!M52/'Inputs 7&amp;8 Day'!$Y64))</f>
        <v>11.454447372464848</v>
      </c>
      <c r="N51" s="1246">
        <f>IF('Mkt Pen Veh-Mi'!N51=0,1,1/((1-Fuel2ShrbyTech!N52)/'Inputs 7&amp;8 SU'!$N64+Fuel2ShrbyTech!N52/'Inputs 7&amp;8 SU'!$T64))</f>
        <v>8.5628466715000222</v>
      </c>
      <c r="O51" s="1247">
        <f>IF('Mkt Pen Veh-Mi'!O51=0,1,1/((1-Fuel2ShrbyTech!O52)/'Inputs 7&amp;8 SU'!$O64+Fuel2ShrbyTech!O52/'Inputs 7&amp;8 SU'!$U64))</f>
        <v>10.137562161311502</v>
      </c>
      <c r="P51" s="1247">
        <f>IF('Mkt Pen Veh-Mi'!P51=0,1,1/((1-Fuel2ShrbyTech!P52)/'Inputs 7&amp;8 SU'!$P64+Fuel2ShrbyTech!P52/'Inputs 7&amp;8 SU'!$V64))</f>
        <v>10.7448097153248</v>
      </c>
      <c r="Q51" s="1247">
        <f>IF('Mkt Pen Veh-Mi'!Q51=0,1,1/((1-Fuel2ShrbyTech!Q52)/'Inputs 7&amp;8 SU'!$Q64+Fuel2ShrbyTech!Q52/'Inputs 7&amp;8 SU'!$W64))</f>
        <v>12.098087628824493</v>
      </c>
      <c r="R51" s="1247">
        <f>IF('Mkt Pen Veh-Mi'!R51=0,1,1/((1-Fuel2ShrbyTech!R52)/'Inputs 7&amp;8 SU'!$R64+Fuel2ShrbyTech!R52/'Inputs 7&amp;8 SU'!$X64))</f>
        <v>22.187226540171096</v>
      </c>
      <c r="S51" s="1248">
        <f>IF('Mkt Pen Veh-Mi'!S51=0,1,1/((1-Fuel2ShrbyTech!S52)/'Inputs 7&amp;8 SU'!$S64+Fuel2ShrbyTech!S52/'Inputs 7&amp;8 SU'!$Y64))</f>
        <v>29.273163564924715</v>
      </c>
      <c r="U51" s="1192">
        <f t="shared" si="13"/>
        <v>2049</v>
      </c>
      <c r="V51" s="1246">
        <f t="shared" si="14"/>
        <v>8.1044227545263041</v>
      </c>
      <c r="W51" s="1247">
        <f t="shared" si="15"/>
        <v>10.505037837359248</v>
      </c>
      <c r="X51" s="1247">
        <f t="shared" si="16"/>
        <v>12.542537533956063</v>
      </c>
      <c r="Y51" s="1247">
        <f t="shared" si="17"/>
        <v>23.068926409791899</v>
      </c>
      <c r="Z51" s="1247">
        <f t="shared" si="18"/>
        <v>15.493911034187787</v>
      </c>
      <c r="AA51" s="1248">
        <f t="shared" si="19"/>
        <v>0</v>
      </c>
      <c r="AB51" s="1246">
        <f t="shared" si="20"/>
        <v>7.4553630522841869</v>
      </c>
      <c r="AC51" s="1247">
        <f t="shared" si="21"/>
        <v>8.7577144324311877</v>
      </c>
      <c r="AD51" s="1247">
        <f t="shared" si="22"/>
        <v>8.8064136799310795</v>
      </c>
      <c r="AE51" s="1247">
        <f t="shared" si="23"/>
        <v>12.505611351288948</v>
      </c>
      <c r="AF51" s="1247">
        <f t="shared" si="24"/>
        <v>20.496604397991288</v>
      </c>
      <c r="AG51" s="1248">
        <f t="shared" si="25"/>
        <v>11.454447372464848</v>
      </c>
      <c r="AH51" s="1246">
        <f t="shared" si="26"/>
        <v>8.5628466715000222</v>
      </c>
      <c r="AI51" s="1247">
        <f t="shared" si="27"/>
        <v>10.137562161311502</v>
      </c>
      <c r="AJ51" s="1247">
        <f t="shared" si="28"/>
        <v>10.7448097153248</v>
      </c>
      <c r="AK51" s="1247">
        <f t="shared" si="29"/>
        <v>12.098087628824493</v>
      </c>
      <c r="AL51" s="1247">
        <f t="shared" si="30"/>
        <v>22.187226540171096</v>
      </c>
      <c r="AM51" s="1248">
        <f t="shared" si="31"/>
        <v>29.273163564924715</v>
      </c>
      <c r="AN51" s="1177">
        <v>2049</v>
      </c>
      <c r="AO51" s="1323">
        <f t="array" ref="AO51">1/SUMPRODUCT(IFERROR(1/V51:AA51,0),'Mkt Pen Veh-Mi'!B51:G51)</f>
        <v>11.046986661878323</v>
      </c>
      <c r="AP51" s="1324">
        <f t="array" ref="AP51">1/SUMPRODUCT(IFERROR(1/AB51:AG51,0),'Mkt Pen Veh-Mi'!H51:M51)</f>
        <v>9.8526287576505744</v>
      </c>
      <c r="AQ51" s="1328">
        <f t="array" ref="AQ51">1/SUMPRODUCT(IFERROR(1/AH51:AM51,0),'Mkt Pen Veh-Mi'!N51:S51)</f>
        <v>10.524854638872357</v>
      </c>
      <c r="AR51" s="1321">
        <v>2049</v>
      </c>
      <c r="AS51" s="1323">
        <f t="shared" si="32"/>
        <v>1.3630812454481849</v>
      </c>
      <c r="AT51" s="1324">
        <f t="shared" si="33"/>
        <v>1.3215491571040137</v>
      </c>
      <c r="AU51" s="1324">
        <f t="shared" si="34"/>
        <v>1.2291303397855464</v>
      </c>
      <c r="AV51" s="1328">
        <v>2.3322687300900027</v>
      </c>
    </row>
    <row r="52" spans="1:48" s="1177" customFormat="1" ht="16" thickBot="1" x14ac:dyDescent="0.25">
      <c r="A52" s="1205">
        <v>2050</v>
      </c>
      <c r="B52" s="1258">
        <f>IF('Mkt Pen Veh-Mi'!B52=0,1,1/((1-Fuel2ShrbyTech!B53)/'Inputs 7&amp;8 Sleep'!$N65+Fuel2ShrbyTech!B53/'Inputs 7&amp;8 Sleep'!$T65))</f>
        <v>8.1044081378346959</v>
      </c>
      <c r="C52" s="1259">
        <f>IF('Mkt Pen Veh-Mi'!C52=0,1,1/((1-Fuel2ShrbyTech!C53)/'Inputs 7&amp;8 Sleep'!$O65+Fuel2ShrbyTech!C53/'Inputs 7&amp;8 Sleep'!$U65))</f>
        <v>10.595369330385051</v>
      </c>
      <c r="D52" s="1259">
        <f>IF('Mkt Pen Veh-Mi'!D52=0,1,1/((1-Fuel2ShrbyTech!D53)/'Inputs 7&amp;8 Sleep'!$P65+Fuel2ShrbyTech!D53/'Inputs 7&amp;8 Sleep'!$V65))</f>
        <v>12.685535343352553</v>
      </c>
      <c r="E52" s="1259">
        <f>IF('Mkt Pen Veh-Mi'!E52=0,1,1/((1-Fuel2ShrbyTech!E53)/'Inputs 7&amp;8 Sleep'!$Q65+Fuel2ShrbyTech!E53/'Inputs 7&amp;8 Sleep'!$W65))</f>
        <v>23.316682581823692</v>
      </c>
      <c r="F52" s="1259">
        <f>IF('Mkt Pen Veh-Mi'!F52=0,1,1/((1-Fuel2ShrbyTech!F53)/'Inputs 7&amp;8 Sleep'!$R65+Fuel2ShrbyTech!F53/'Inputs 7&amp;8 Sleep'!$X65))</f>
        <v>15.67344909069466</v>
      </c>
      <c r="G52" s="1260">
        <f>IF('Mkt Pen Veh-Mi'!G52=0,1,1/((1-Fuel2ShrbyTech!G53)/'Inputs 7&amp;8 Sleep'!$S65+Fuel2ShrbyTech!G53/'Inputs 7&amp;8 Sleep'!$Y65))</f>
        <v>1</v>
      </c>
      <c r="H52" s="1258">
        <f>IF('Mkt Pen Veh-Mi'!H52=0,1,1/((1-Fuel2ShrbyTech!H53)/'Inputs 7&amp;8 Day'!$N65+Fuel2ShrbyTech!H53/'Inputs 7&amp;8 Day'!$T65))</f>
        <v>7.455379605424751</v>
      </c>
      <c r="I52" s="1259">
        <f>IF('Mkt Pen Veh-Mi'!I52=0,1,1/((1-Fuel2ShrbyTech!I53)/'Inputs 7&amp;8 Day'!$O65+Fuel2ShrbyTech!I53/'Inputs 7&amp;8 Day'!$U65))</f>
        <v>8.7577338771821687</v>
      </c>
      <c r="J52" s="1259">
        <f>IF('Mkt Pen Veh-Mi'!J52=0,1,1/((1-Fuel2ShrbyTech!J53)/'Inputs 7&amp;8 Day'!$P65+Fuel2ShrbyTech!J53/'Inputs 7&amp;8 Day'!$V65))</f>
        <v>8.8064332328089865</v>
      </c>
      <c r="K52" s="1259">
        <f>IF('Mkt Pen Veh-Mi'!K52=0,1,1/((1-Fuel2ShrbyTech!K53)/'Inputs 7&amp;8 Day'!$Q65+Fuel2ShrbyTech!K53/'Inputs 7&amp;8 Day'!$W65))</f>
        <v>12.600161584483534</v>
      </c>
      <c r="L52" s="1259">
        <f>IF('Mkt Pen Veh-Mi'!L52=0,1,1/((1-Fuel2ShrbyTech!L53)/'Inputs 7&amp;8 Day'!$R65+Fuel2ShrbyTech!L53/'Inputs 7&amp;8 Day'!$X65))</f>
        <v>20.576749273309449</v>
      </c>
      <c r="M52" s="1260">
        <f>IF('Mkt Pen Veh-Mi'!M52=0,1,1/((1-Fuel2ShrbyTech!M53)/'Inputs 7&amp;8 Day'!$S65+Fuel2ShrbyTech!M53/'Inputs 7&amp;8 Day'!$Y65))</f>
        <v>11.557739413331781</v>
      </c>
      <c r="N52" s="1258">
        <f>IF('Mkt Pen Veh-Mi'!N52=0,1,1/((1-Fuel2ShrbyTech!N53)/'Inputs 7&amp;8 SU'!$N65+Fuel2ShrbyTech!N53/'Inputs 7&amp;8 SU'!$T65))</f>
        <v>8.5630043073724504</v>
      </c>
      <c r="O52" s="1259">
        <f>IF('Mkt Pen Veh-Mi'!O52=0,1,1/((1-Fuel2ShrbyTech!O53)/'Inputs 7&amp;8 SU'!$O65+Fuel2ShrbyTech!O53/'Inputs 7&amp;8 SU'!$U65))</f>
        <v>10.137748786567903</v>
      </c>
      <c r="P52" s="1259">
        <f>IF('Mkt Pen Veh-Mi'!P52=0,1,1/((1-Fuel2ShrbyTech!P53)/'Inputs 7&amp;8 SU'!$P65+Fuel2ShrbyTech!P53/'Inputs 7&amp;8 SU'!$V65))</f>
        <v>10.745007519573612</v>
      </c>
      <c r="Q52" s="1259">
        <f>IF('Mkt Pen Veh-Mi'!Q52=0,1,1/((1-Fuel2ShrbyTech!Q53)/'Inputs 7&amp;8 SU'!$Q65+Fuel2ShrbyTech!Q53/'Inputs 7&amp;8 SU'!$W65))</f>
        <v>12.098310345950145</v>
      </c>
      <c r="R52" s="1259">
        <f>IF('Mkt Pen Veh-Mi'!R52=0,1,1/((1-Fuel2ShrbyTech!R53)/'Inputs 7&amp;8 SU'!$R65+Fuel2ShrbyTech!R53/'Inputs 7&amp;8 SU'!$X65))</f>
        <v>22.46051045226891</v>
      </c>
      <c r="S52" s="1260">
        <f>IF('Mkt Pen Veh-Mi'!S52=0,1,1/((1-Fuel2ShrbyTech!S53)/'Inputs 7&amp;8 SU'!$S65+Fuel2ShrbyTech!S53/'Inputs 7&amp;8 SU'!$Y65))</f>
        <v>29.370660912702636</v>
      </c>
      <c r="U52" s="1205">
        <f t="shared" si="13"/>
        <v>2050</v>
      </c>
      <c r="V52" s="1258">
        <f t="shared" si="14"/>
        <v>8.1044081378346959</v>
      </c>
      <c r="W52" s="1259">
        <f t="shared" si="15"/>
        <v>10.595369330385051</v>
      </c>
      <c r="X52" s="1259">
        <f t="shared" si="16"/>
        <v>12.685535343352553</v>
      </c>
      <c r="Y52" s="1259">
        <f t="shared" si="17"/>
        <v>23.316682581823692</v>
      </c>
      <c r="Z52" s="1259">
        <f t="shared" si="18"/>
        <v>15.67344909069466</v>
      </c>
      <c r="AA52" s="1260">
        <f t="shared" si="19"/>
        <v>0</v>
      </c>
      <c r="AB52" s="1258">
        <f t="shared" si="20"/>
        <v>7.455379605424751</v>
      </c>
      <c r="AC52" s="1259">
        <f t="shared" si="21"/>
        <v>8.7577338771821687</v>
      </c>
      <c r="AD52" s="1259">
        <f t="shared" si="22"/>
        <v>8.8064332328089865</v>
      </c>
      <c r="AE52" s="1259">
        <f t="shared" si="23"/>
        <v>12.600161584483534</v>
      </c>
      <c r="AF52" s="1259">
        <f t="shared" si="24"/>
        <v>20.576749273309449</v>
      </c>
      <c r="AG52" s="1260">
        <f t="shared" si="25"/>
        <v>11.557739413331781</v>
      </c>
      <c r="AH52" s="1258">
        <f t="shared" si="26"/>
        <v>8.5630043073724504</v>
      </c>
      <c r="AI52" s="1259">
        <f t="shared" si="27"/>
        <v>10.137748786567903</v>
      </c>
      <c r="AJ52" s="1259">
        <f t="shared" si="28"/>
        <v>10.745007519573612</v>
      </c>
      <c r="AK52" s="1259">
        <f t="shared" si="29"/>
        <v>12.098310345950145</v>
      </c>
      <c r="AL52" s="1259">
        <f t="shared" si="30"/>
        <v>22.46051045226891</v>
      </c>
      <c r="AM52" s="1260">
        <f t="shared" si="31"/>
        <v>29.370660912702636</v>
      </c>
      <c r="AN52" s="1177">
        <v>2050</v>
      </c>
      <c r="AO52" s="1325">
        <f t="array" ref="AO52">1/SUMPRODUCT(IFERROR(1/V52:AA52,0),'Mkt Pen Veh-Mi'!B52:G52)</f>
        <v>11.373798449580224</v>
      </c>
      <c r="AP52" s="1326">
        <f t="array" ref="AP52">1/SUMPRODUCT(IFERROR(1/AB52:AG52,0),'Mkt Pen Veh-Mi'!H52:M52)</f>
        <v>9.9338096148924269</v>
      </c>
      <c r="AQ52" s="1335">
        <f t="array" ref="AQ52">1/SUMPRODUCT(IFERROR(1/AH52:AM52,0),'Mkt Pen Veh-Mi'!N52:S52)</f>
        <v>10.610829050893038</v>
      </c>
      <c r="AR52" s="1321">
        <v>2050</v>
      </c>
      <c r="AS52" s="1332">
        <f t="shared" si="32"/>
        <v>1.4034088925609109</v>
      </c>
      <c r="AT52" s="1333">
        <f t="shared" si="33"/>
        <v>1.3324351194222623</v>
      </c>
      <c r="AU52" s="1333">
        <f t="shared" si="34"/>
        <v>1.2391479286957128</v>
      </c>
      <c r="AV52" s="1334">
        <v>2.3546741005366987</v>
      </c>
    </row>
  </sheetData>
  <mergeCells count="14">
    <mergeCell ref="AS7:AV7"/>
    <mergeCell ref="AO7:AQ7"/>
    <mergeCell ref="V4:AA4"/>
    <mergeCell ref="AB4:AG4"/>
    <mergeCell ref="AH4:AM4"/>
    <mergeCell ref="V5:AA5"/>
    <mergeCell ref="AB5:AG5"/>
    <mergeCell ref="AH5:AM5"/>
    <mergeCell ref="B4:G4"/>
    <mergeCell ref="H4:M4"/>
    <mergeCell ref="N4:S4"/>
    <mergeCell ref="B5:G5"/>
    <mergeCell ref="H5:M5"/>
    <mergeCell ref="N5:S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7" customFormat="1" ht="16" x14ac:dyDescent="0.2">
      <c r="A1" s="1209" t="s">
        <v>328</v>
      </c>
    </row>
    <row r="2" spans="1:19" s="1177" customFormat="1" ht="15" x14ac:dyDescent="0.2"/>
    <row r="3" spans="1:19" s="1177" customFormat="1" ht="16" thickBot="1" x14ac:dyDescent="0.25"/>
    <row r="4" spans="1:19" s="1177" customFormat="1" ht="15" x14ac:dyDescent="0.2">
      <c r="A4" s="1178"/>
      <c r="B4" s="1613" t="s">
        <v>249</v>
      </c>
      <c r="C4" s="1614"/>
      <c r="D4" s="1614"/>
      <c r="E4" s="1614"/>
      <c r="F4" s="1614"/>
      <c r="G4" s="1615"/>
      <c r="H4" s="1613" t="s">
        <v>250</v>
      </c>
      <c r="I4" s="1614"/>
      <c r="J4" s="1614"/>
      <c r="K4" s="1614"/>
      <c r="L4" s="1614"/>
      <c r="M4" s="1615"/>
      <c r="N4" s="1613" t="s">
        <v>154</v>
      </c>
      <c r="O4" s="1614"/>
      <c r="P4" s="1614"/>
      <c r="Q4" s="1614"/>
      <c r="R4" s="1614"/>
      <c r="S4" s="1615"/>
    </row>
    <row r="5" spans="1:19" s="1177" customFormat="1" ht="15" x14ac:dyDescent="0.2">
      <c r="A5" s="1179"/>
      <c r="B5" s="1616" t="s">
        <v>129</v>
      </c>
      <c r="C5" s="1617"/>
      <c r="D5" s="1617"/>
      <c r="E5" s="1617"/>
      <c r="F5" s="1617"/>
      <c r="G5" s="1618"/>
      <c r="H5" s="1616" t="s">
        <v>129</v>
      </c>
      <c r="I5" s="1617"/>
      <c r="J5" s="1617"/>
      <c r="K5" s="1617"/>
      <c r="L5" s="1617"/>
      <c r="M5" s="1618"/>
      <c r="N5" s="1616" t="s">
        <v>129</v>
      </c>
      <c r="O5" s="1617"/>
      <c r="P5" s="1617"/>
      <c r="Q5" s="1617"/>
      <c r="R5" s="1617"/>
      <c r="S5" s="1618"/>
    </row>
    <row r="6" spans="1:19" s="1177" customFormat="1" ht="15" x14ac:dyDescent="0.2">
      <c r="A6" s="1179"/>
      <c r="B6" s="1180" t="s">
        <v>69</v>
      </c>
      <c r="C6" s="1181" t="s">
        <v>65</v>
      </c>
      <c r="D6" s="1181" t="s">
        <v>66</v>
      </c>
      <c r="E6" s="1181" t="s">
        <v>67</v>
      </c>
      <c r="F6" s="1181" t="s">
        <v>205</v>
      </c>
      <c r="G6" s="1182" t="s">
        <v>206</v>
      </c>
      <c r="H6" s="1180" t="s">
        <v>69</v>
      </c>
      <c r="I6" s="1181" t="s">
        <v>65</v>
      </c>
      <c r="J6" s="1181" t="s">
        <v>66</v>
      </c>
      <c r="K6" s="1181" t="s">
        <v>67</v>
      </c>
      <c r="L6" s="1181" t="s">
        <v>205</v>
      </c>
      <c r="M6" s="1182" t="s">
        <v>206</v>
      </c>
      <c r="N6" s="1180" t="s">
        <v>69</v>
      </c>
      <c r="O6" s="1181" t="s">
        <v>65</v>
      </c>
      <c r="P6" s="1181" t="s">
        <v>66</v>
      </c>
      <c r="Q6" s="1181" t="s">
        <v>67</v>
      </c>
      <c r="R6" s="1181" t="s">
        <v>205</v>
      </c>
      <c r="S6" s="1182" t="s">
        <v>206</v>
      </c>
    </row>
    <row r="7" spans="1:19" s="1177" customFormat="1" ht="32" x14ac:dyDescent="0.2">
      <c r="A7" s="1183"/>
      <c r="B7" s="1184" t="str">
        <f t="shared" ref="B7:G7" si="0">INDEX(TECH_OPT_DESC_Cls1,MATCH(B6,TECH_OPT_ROWS_Cls1,0))</f>
        <v>Conventional Diesel ICE</v>
      </c>
      <c r="C7" s="1185" t="str">
        <f t="shared" si="0"/>
        <v>Adv Conv</v>
      </c>
      <c r="D7" s="1185" t="str">
        <f t="shared" si="0"/>
        <v>HEV</v>
      </c>
      <c r="E7" s="1185" t="str">
        <f t="shared" si="0"/>
        <v>BEV</v>
      </c>
      <c r="F7" s="1185" t="str">
        <f t="shared" si="0"/>
        <v>FCEV</v>
      </c>
      <c r="G7" s="1186">
        <f t="shared" si="0"/>
        <v>0</v>
      </c>
      <c r="H7" s="1184" t="str">
        <f t="shared" ref="H7:M7" si="1">INDEX(TECH_OPT_DESC_Cls2,MATCH(H6,TECH_OPT_ROWS_Cls2,0))</f>
        <v>Conventional Diesel ICE</v>
      </c>
      <c r="I7" s="1185" t="str">
        <f t="shared" si="1"/>
        <v>Adv Conv</v>
      </c>
      <c r="J7" s="1185" t="str">
        <f t="shared" si="1"/>
        <v>ISG</v>
      </c>
      <c r="K7" s="1185" t="str">
        <f t="shared" si="1"/>
        <v>PHEV</v>
      </c>
      <c r="L7" s="1185" t="str">
        <f t="shared" si="1"/>
        <v>BEV</v>
      </c>
      <c r="M7" s="1186" t="str">
        <f t="shared" si="1"/>
        <v>FCHEV</v>
      </c>
      <c r="N7" s="1184" t="str">
        <f t="shared" ref="N7:S7" si="2">INDEX(TECH_OPT_DESC_Cls3,MATCH(N6,TECH_OPT_ROWS_Cls3,0))</f>
        <v>Conventional Diesel ICE</v>
      </c>
      <c r="O7" s="1185" t="str">
        <f t="shared" si="2"/>
        <v>Adv Conv</v>
      </c>
      <c r="P7" s="1185" t="str">
        <f t="shared" si="2"/>
        <v>ISG</v>
      </c>
      <c r="Q7" s="1185" t="str">
        <f t="shared" si="2"/>
        <v>HEV</v>
      </c>
      <c r="R7" s="1185" t="str">
        <f t="shared" si="2"/>
        <v>PHEV</v>
      </c>
      <c r="S7" s="1186" t="str">
        <f t="shared" si="2"/>
        <v>BEV</v>
      </c>
    </row>
    <row r="8" spans="1:19" s="1177" customFormat="1" ht="17" thickBot="1" x14ac:dyDescent="0.25">
      <c r="A8" s="1187" t="s">
        <v>3</v>
      </c>
      <c r="B8" s="1188" t="str">
        <f t="shared" ref="B8:G8" si="3">INDEX(TECH_OPT_FUEL1_Cls1,MATCH(B6,TECH_OPT_ROWS_Cls1,0))</f>
        <v>Diesel</v>
      </c>
      <c r="C8" s="1189" t="str">
        <f t="shared" si="3"/>
        <v>Diesel</v>
      </c>
      <c r="D8" s="1189" t="str">
        <f t="shared" si="3"/>
        <v>Diesel</v>
      </c>
      <c r="E8" s="1189" t="str">
        <f t="shared" si="3"/>
        <v>Electricity</v>
      </c>
      <c r="F8" s="1189" t="str">
        <f t="shared" si="3"/>
        <v>Hydrogen</v>
      </c>
      <c r="G8" s="1190" t="str">
        <f t="shared" si="3"/>
        <v>Diesel</v>
      </c>
      <c r="H8" s="1191" t="str">
        <f t="shared" ref="H8:M8" si="4">INDEX(TECH_OPT_FUEL1_Cls2,MATCH(H6,TECH_OPT_ROWS_Cls2,0))</f>
        <v>Diesel</v>
      </c>
      <c r="I8" s="1189" t="str">
        <f t="shared" si="4"/>
        <v>Diesel</v>
      </c>
      <c r="J8" s="1189" t="str">
        <f t="shared" si="4"/>
        <v>Diesel</v>
      </c>
      <c r="K8" s="1189" t="str">
        <f t="shared" si="4"/>
        <v>Diesel</v>
      </c>
      <c r="L8" s="1189" t="str">
        <f t="shared" si="4"/>
        <v>Electricity</v>
      </c>
      <c r="M8" s="1190" t="str">
        <f t="shared" si="4"/>
        <v>Hydrogen</v>
      </c>
      <c r="N8" s="1188" t="str">
        <f t="shared" ref="N8:S8" si="5">INDEX(TECH_OPT_FUEL1_Cls3,MATCH(N6,TECH_OPT_ROWS_Cls3,0))</f>
        <v>Diesel</v>
      </c>
      <c r="O8" s="1189" t="str">
        <f t="shared" si="5"/>
        <v>Diesel</v>
      </c>
      <c r="P8" s="1189" t="str">
        <f t="shared" si="5"/>
        <v>Diesel</v>
      </c>
      <c r="Q8" s="1189" t="str">
        <f t="shared" si="5"/>
        <v>Diesel</v>
      </c>
      <c r="R8" s="1189" t="str">
        <f t="shared" si="5"/>
        <v>Diesel</v>
      </c>
      <c r="S8" s="1190" t="str">
        <f t="shared" si="5"/>
        <v>Electricity</v>
      </c>
    </row>
    <row r="9" spans="1:19" s="1177" customFormat="1" ht="16" thickTop="1" x14ac:dyDescent="0.2">
      <c r="A9" s="1192">
        <v>2007</v>
      </c>
      <c r="B9" s="1263">
        <f t="shared" ref="B9:B52" si="6">INDEX(COST_Cls1,MATCH($A9,Years,0),MATCH(B$6,TECHOPTS_Cls1,0))</f>
        <v>156000</v>
      </c>
      <c r="C9" s="1264">
        <f t="shared" ref="C9:G18" si="7">$B9+INDEX(COST_Cls1,MATCH($A9,Years,0),MATCH(C$6,TECHOPTS_Cls1,0))</f>
        <v>1156000</v>
      </c>
      <c r="D9" s="1264">
        <f t="shared" si="7"/>
        <v>1156000</v>
      </c>
      <c r="E9" s="1264">
        <f t="shared" si="7"/>
        <v>1156000</v>
      </c>
      <c r="F9" s="1264">
        <f t="shared" si="7"/>
        <v>1156000</v>
      </c>
      <c r="G9" s="1264">
        <f t="shared" si="7"/>
        <v>1156000</v>
      </c>
      <c r="H9" s="1263">
        <f t="shared" ref="H9:H52" si="8">INDEX(COST_Cls2,MATCH($A9,Years,0),MATCH(H$6,TECHOPTS_Cls1,0))</f>
        <v>136900</v>
      </c>
      <c r="I9" s="1264">
        <f t="shared" ref="I9:M18" si="9">$B9+INDEX(COST_Cls2,MATCH($A9,Years,0),MATCH(I$6,TECHOPTS_Cls1,0))</f>
        <v>1156000</v>
      </c>
      <c r="J9" s="1264">
        <f t="shared" si="9"/>
        <v>1156000</v>
      </c>
      <c r="K9" s="1264">
        <f t="shared" si="9"/>
        <v>1156000</v>
      </c>
      <c r="L9" s="1264">
        <f t="shared" si="9"/>
        <v>1156000</v>
      </c>
      <c r="M9" s="1265">
        <f t="shared" si="9"/>
        <v>1156000</v>
      </c>
      <c r="N9" s="1263">
        <f t="shared" ref="N9:N52" si="10">INDEX(COST_Cls3,MATCH($A9,Years,0),MATCH(N$6,TECHOPTS_Cls1,0))</f>
        <v>96771.806566877567</v>
      </c>
      <c r="O9" s="1264">
        <f t="shared" ref="O9:S18" si="11">$B9+INDEX(COST_Cls3,MATCH($A9,Years,0),MATCH(O$6,TECHOPTS_Cls1,0))</f>
        <v>1156000</v>
      </c>
      <c r="P9" s="1264">
        <f t="shared" si="11"/>
        <v>1156000</v>
      </c>
      <c r="Q9" s="1264">
        <f t="shared" si="11"/>
        <v>1156000</v>
      </c>
      <c r="R9" s="1264">
        <f t="shared" si="11"/>
        <v>1156000</v>
      </c>
      <c r="S9" s="1265">
        <f t="shared" si="11"/>
        <v>1156000</v>
      </c>
    </row>
    <row r="10" spans="1:19" s="1177" customFormat="1" ht="15" x14ac:dyDescent="0.2">
      <c r="A10" s="1192">
        <v>2008</v>
      </c>
      <c r="B10" s="1263">
        <f t="shared" si="6"/>
        <v>156000</v>
      </c>
      <c r="C10" s="1266">
        <f t="shared" si="7"/>
        <v>1156000</v>
      </c>
      <c r="D10" s="1266">
        <f t="shared" si="7"/>
        <v>1156000</v>
      </c>
      <c r="E10" s="1266">
        <f t="shared" si="7"/>
        <v>1156000</v>
      </c>
      <c r="F10" s="1266">
        <f t="shared" si="7"/>
        <v>1156000</v>
      </c>
      <c r="G10" s="1267">
        <f t="shared" si="7"/>
        <v>1156000</v>
      </c>
      <c r="H10" s="1263">
        <f t="shared" si="8"/>
        <v>136900</v>
      </c>
      <c r="I10" s="1266">
        <f t="shared" si="9"/>
        <v>1156000</v>
      </c>
      <c r="J10" s="1266">
        <f t="shared" si="9"/>
        <v>1156000</v>
      </c>
      <c r="K10" s="1266">
        <f t="shared" si="9"/>
        <v>1156000</v>
      </c>
      <c r="L10" s="1266">
        <f t="shared" si="9"/>
        <v>1156000</v>
      </c>
      <c r="M10" s="1267">
        <f t="shared" si="9"/>
        <v>1156000</v>
      </c>
      <c r="N10" s="1263">
        <f t="shared" si="10"/>
        <v>96771.806566877567</v>
      </c>
      <c r="O10" s="1266">
        <f t="shared" si="11"/>
        <v>1156000</v>
      </c>
      <c r="P10" s="1266">
        <f t="shared" si="11"/>
        <v>1156000</v>
      </c>
      <c r="Q10" s="1266">
        <f t="shared" si="11"/>
        <v>1156000</v>
      </c>
      <c r="R10" s="1266">
        <f t="shared" si="11"/>
        <v>1156000</v>
      </c>
      <c r="S10" s="1267">
        <f t="shared" si="11"/>
        <v>1156000</v>
      </c>
    </row>
    <row r="11" spans="1:19" s="1177" customFormat="1" ht="15" x14ac:dyDescent="0.2">
      <c r="A11" s="1192">
        <v>2009</v>
      </c>
      <c r="B11" s="1263">
        <f t="shared" si="6"/>
        <v>156000</v>
      </c>
      <c r="C11" s="1266">
        <f t="shared" si="7"/>
        <v>1156000</v>
      </c>
      <c r="D11" s="1266">
        <f t="shared" si="7"/>
        <v>1156000</v>
      </c>
      <c r="E11" s="1266">
        <f t="shared" si="7"/>
        <v>1156000</v>
      </c>
      <c r="F11" s="1266">
        <f t="shared" si="7"/>
        <v>1156000</v>
      </c>
      <c r="G11" s="1267">
        <f t="shared" si="7"/>
        <v>1156000</v>
      </c>
      <c r="H11" s="1263">
        <f t="shared" si="8"/>
        <v>136900</v>
      </c>
      <c r="I11" s="1266">
        <f t="shared" si="9"/>
        <v>1156000</v>
      </c>
      <c r="J11" s="1266">
        <f t="shared" si="9"/>
        <v>1156000</v>
      </c>
      <c r="K11" s="1266">
        <f t="shared" si="9"/>
        <v>1156000</v>
      </c>
      <c r="L11" s="1266">
        <f t="shared" si="9"/>
        <v>1156000</v>
      </c>
      <c r="M11" s="1267">
        <f t="shared" si="9"/>
        <v>1156000</v>
      </c>
      <c r="N11" s="1263">
        <f t="shared" si="10"/>
        <v>96771.806566877567</v>
      </c>
      <c r="O11" s="1266">
        <f t="shared" si="11"/>
        <v>1156000</v>
      </c>
      <c r="P11" s="1266">
        <f t="shared" si="11"/>
        <v>1156000</v>
      </c>
      <c r="Q11" s="1266">
        <f t="shared" si="11"/>
        <v>1156000</v>
      </c>
      <c r="R11" s="1266">
        <f t="shared" si="11"/>
        <v>1156000</v>
      </c>
      <c r="S11" s="1267">
        <f t="shared" si="11"/>
        <v>1156000</v>
      </c>
    </row>
    <row r="12" spans="1:19" s="1177" customFormat="1" ht="15" x14ac:dyDescent="0.2">
      <c r="A12" s="1198">
        <v>2010</v>
      </c>
      <c r="B12" s="1268">
        <f t="shared" si="6"/>
        <v>156000</v>
      </c>
      <c r="C12" s="1269">
        <f t="shared" si="7"/>
        <v>1156000</v>
      </c>
      <c r="D12" s="1269">
        <f t="shared" si="7"/>
        <v>1156000</v>
      </c>
      <c r="E12" s="1269">
        <f t="shared" si="7"/>
        <v>1156000</v>
      </c>
      <c r="F12" s="1269">
        <f t="shared" si="7"/>
        <v>1156000</v>
      </c>
      <c r="G12" s="1270">
        <f t="shared" si="7"/>
        <v>1156000</v>
      </c>
      <c r="H12" s="1268">
        <f t="shared" si="8"/>
        <v>136900</v>
      </c>
      <c r="I12" s="1269">
        <f t="shared" si="9"/>
        <v>1156000</v>
      </c>
      <c r="J12" s="1269">
        <f t="shared" si="9"/>
        <v>1156000</v>
      </c>
      <c r="K12" s="1269">
        <f t="shared" si="9"/>
        <v>1156000</v>
      </c>
      <c r="L12" s="1269">
        <f t="shared" si="9"/>
        <v>1156000</v>
      </c>
      <c r="M12" s="1270">
        <f t="shared" si="9"/>
        <v>1156000</v>
      </c>
      <c r="N12" s="1268">
        <f t="shared" si="10"/>
        <v>96771.806566877567</v>
      </c>
      <c r="O12" s="1269">
        <f t="shared" si="11"/>
        <v>1156000</v>
      </c>
      <c r="P12" s="1269">
        <f t="shared" si="11"/>
        <v>1156000</v>
      </c>
      <c r="Q12" s="1269">
        <f t="shared" si="11"/>
        <v>1156000</v>
      </c>
      <c r="R12" s="1269">
        <f t="shared" si="11"/>
        <v>1156000</v>
      </c>
      <c r="S12" s="1270">
        <f t="shared" si="11"/>
        <v>1156000</v>
      </c>
    </row>
    <row r="13" spans="1:19" s="1177" customFormat="1" ht="15" x14ac:dyDescent="0.2">
      <c r="A13" s="1192">
        <v>2011</v>
      </c>
      <c r="B13" s="1271">
        <f t="shared" si="6"/>
        <v>156000</v>
      </c>
      <c r="C13" s="1272">
        <f t="shared" si="7"/>
        <v>1156000</v>
      </c>
      <c r="D13" s="1272">
        <f t="shared" si="7"/>
        <v>1156000</v>
      </c>
      <c r="E13" s="1272">
        <f t="shared" si="7"/>
        <v>1156000</v>
      </c>
      <c r="F13" s="1272">
        <f t="shared" si="7"/>
        <v>1156000</v>
      </c>
      <c r="G13" s="1273">
        <f t="shared" si="7"/>
        <v>1156000</v>
      </c>
      <c r="H13" s="1271">
        <f t="shared" si="8"/>
        <v>136900</v>
      </c>
      <c r="I13" s="1272">
        <f t="shared" si="9"/>
        <v>1156000</v>
      </c>
      <c r="J13" s="1272">
        <f t="shared" si="9"/>
        <v>1156000</v>
      </c>
      <c r="K13" s="1272">
        <f t="shared" si="9"/>
        <v>1156000</v>
      </c>
      <c r="L13" s="1272">
        <f t="shared" si="9"/>
        <v>1156000</v>
      </c>
      <c r="M13" s="1273">
        <f t="shared" si="9"/>
        <v>1156000</v>
      </c>
      <c r="N13" s="1271">
        <f t="shared" si="10"/>
        <v>96771.806566877567</v>
      </c>
      <c r="O13" s="1272">
        <f t="shared" si="11"/>
        <v>1156000</v>
      </c>
      <c r="P13" s="1272">
        <f t="shared" si="11"/>
        <v>1156000</v>
      </c>
      <c r="Q13" s="1272">
        <f t="shared" si="11"/>
        <v>1156000</v>
      </c>
      <c r="R13" s="1272">
        <f t="shared" si="11"/>
        <v>1156000</v>
      </c>
      <c r="S13" s="1273">
        <f t="shared" si="11"/>
        <v>1156000</v>
      </c>
    </row>
    <row r="14" spans="1:19" s="1177" customFormat="1" ht="15" x14ac:dyDescent="0.2">
      <c r="A14" s="1192">
        <v>2012</v>
      </c>
      <c r="B14" s="1263">
        <f t="shared" si="6"/>
        <v>156000</v>
      </c>
      <c r="C14" s="1266">
        <f t="shared" si="7"/>
        <v>1156000</v>
      </c>
      <c r="D14" s="1266">
        <f t="shared" si="7"/>
        <v>1156000</v>
      </c>
      <c r="E14" s="1266">
        <f t="shared" si="7"/>
        <v>1156000</v>
      </c>
      <c r="F14" s="1266">
        <f t="shared" si="7"/>
        <v>1156000</v>
      </c>
      <c r="G14" s="1267">
        <f t="shared" si="7"/>
        <v>1156000</v>
      </c>
      <c r="H14" s="1263">
        <f t="shared" si="8"/>
        <v>136900</v>
      </c>
      <c r="I14" s="1266">
        <f t="shared" si="9"/>
        <v>1156000</v>
      </c>
      <c r="J14" s="1266">
        <f t="shared" si="9"/>
        <v>1156000</v>
      </c>
      <c r="K14" s="1266">
        <f t="shared" si="9"/>
        <v>1156000</v>
      </c>
      <c r="L14" s="1266">
        <f t="shared" si="9"/>
        <v>1156000</v>
      </c>
      <c r="M14" s="1267">
        <f t="shared" si="9"/>
        <v>1156000</v>
      </c>
      <c r="N14" s="1263">
        <f t="shared" si="10"/>
        <v>96771.806566877567</v>
      </c>
      <c r="O14" s="1266">
        <f t="shared" si="11"/>
        <v>1156000</v>
      </c>
      <c r="P14" s="1266">
        <f t="shared" si="11"/>
        <v>1156000</v>
      </c>
      <c r="Q14" s="1266">
        <f t="shared" si="11"/>
        <v>1156000</v>
      </c>
      <c r="R14" s="1266">
        <f t="shared" si="11"/>
        <v>1156000</v>
      </c>
      <c r="S14" s="1267">
        <f t="shared" si="11"/>
        <v>1156000</v>
      </c>
    </row>
    <row r="15" spans="1:19" s="1177" customFormat="1" ht="15" x14ac:dyDescent="0.2">
      <c r="A15" s="1192">
        <v>2013</v>
      </c>
      <c r="B15" s="1263">
        <f t="shared" si="6"/>
        <v>156000</v>
      </c>
      <c r="C15" s="1266">
        <f t="shared" si="7"/>
        <v>1156000</v>
      </c>
      <c r="D15" s="1266">
        <f t="shared" si="7"/>
        <v>1156000</v>
      </c>
      <c r="E15" s="1266">
        <f t="shared" si="7"/>
        <v>1156000</v>
      </c>
      <c r="F15" s="1266">
        <f t="shared" si="7"/>
        <v>1156000</v>
      </c>
      <c r="G15" s="1267">
        <f t="shared" si="7"/>
        <v>1156000</v>
      </c>
      <c r="H15" s="1263">
        <f t="shared" si="8"/>
        <v>136900</v>
      </c>
      <c r="I15" s="1266">
        <f t="shared" si="9"/>
        <v>1156000</v>
      </c>
      <c r="J15" s="1266">
        <f t="shared" si="9"/>
        <v>1156000</v>
      </c>
      <c r="K15" s="1266">
        <f t="shared" si="9"/>
        <v>1156000</v>
      </c>
      <c r="L15" s="1266">
        <f t="shared" si="9"/>
        <v>1156000</v>
      </c>
      <c r="M15" s="1267">
        <f t="shared" si="9"/>
        <v>1156000</v>
      </c>
      <c r="N15" s="1263">
        <f t="shared" si="10"/>
        <v>96771.806566877567</v>
      </c>
      <c r="O15" s="1266">
        <f t="shared" si="11"/>
        <v>1156000</v>
      </c>
      <c r="P15" s="1266">
        <f t="shared" si="11"/>
        <v>1156000</v>
      </c>
      <c r="Q15" s="1266">
        <f t="shared" si="11"/>
        <v>1156000</v>
      </c>
      <c r="R15" s="1266">
        <f t="shared" si="11"/>
        <v>1156000</v>
      </c>
      <c r="S15" s="1267">
        <f t="shared" si="11"/>
        <v>1156000</v>
      </c>
    </row>
    <row r="16" spans="1:19" s="1177" customFormat="1" ht="15" x14ac:dyDescent="0.2">
      <c r="A16" s="1192">
        <v>2014</v>
      </c>
      <c r="B16" s="1263">
        <f t="shared" si="6"/>
        <v>156000</v>
      </c>
      <c r="C16" s="1266">
        <f t="shared" si="7"/>
        <v>1156000</v>
      </c>
      <c r="D16" s="1266">
        <f t="shared" si="7"/>
        <v>1156000</v>
      </c>
      <c r="E16" s="1266">
        <f t="shared" si="7"/>
        <v>1156000</v>
      </c>
      <c r="F16" s="1266">
        <f t="shared" si="7"/>
        <v>1156000</v>
      </c>
      <c r="G16" s="1267">
        <f t="shared" si="7"/>
        <v>1156000</v>
      </c>
      <c r="H16" s="1263">
        <f t="shared" si="8"/>
        <v>136900</v>
      </c>
      <c r="I16" s="1266">
        <f t="shared" si="9"/>
        <v>1156000</v>
      </c>
      <c r="J16" s="1266">
        <f t="shared" si="9"/>
        <v>1156000</v>
      </c>
      <c r="K16" s="1266">
        <f t="shared" si="9"/>
        <v>1156000</v>
      </c>
      <c r="L16" s="1266">
        <f t="shared" si="9"/>
        <v>1156000</v>
      </c>
      <c r="M16" s="1267">
        <f t="shared" si="9"/>
        <v>1156000</v>
      </c>
      <c r="N16" s="1263">
        <f t="shared" si="10"/>
        <v>96771.806566877567</v>
      </c>
      <c r="O16" s="1266">
        <f t="shared" si="11"/>
        <v>1156000</v>
      </c>
      <c r="P16" s="1266">
        <f t="shared" si="11"/>
        <v>1156000</v>
      </c>
      <c r="Q16" s="1266">
        <f t="shared" si="11"/>
        <v>1156000</v>
      </c>
      <c r="R16" s="1266">
        <f t="shared" si="11"/>
        <v>1156000</v>
      </c>
      <c r="S16" s="1267">
        <f t="shared" si="11"/>
        <v>1156000</v>
      </c>
    </row>
    <row r="17" spans="1:19" s="1177" customFormat="1" ht="15" x14ac:dyDescent="0.2">
      <c r="A17" s="1198">
        <v>2015</v>
      </c>
      <c r="B17" s="1268">
        <f t="shared" si="6"/>
        <v>156000</v>
      </c>
      <c r="C17" s="1269">
        <f t="shared" si="7"/>
        <v>1156000</v>
      </c>
      <c r="D17" s="1269">
        <f t="shared" si="7"/>
        <v>1156000</v>
      </c>
      <c r="E17" s="1269">
        <f t="shared" si="7"/>
        <v>1156000</v>
      </c>
      <c r="F17" s="1269">
        <f t="shared" si="7"/>
        <v>1156000</v>
      </c>
      <c r="G17" s="1270">
        <f t="shared" si="7"/>
        <v>1156000</v>
      </c>
      <c r="H17" s="1268">
        <f t="shared" si="8"/>
        <v>136900</v>
      </c>
      <c r="I17" s="1269">
        <f t="shared" si="9"/>
        <v>1156000</v>
      </c>
      <c r="J17" s="1269">
        <f t="shared" si="9"/>
        <v>1156000</v>
      </c>
      <c r="K17" s="1269">
        <f t="shared" si="9"/>
        <v>1156000</v>
      </c>
      <c r="L17" s="1269">
        <f t="shared" si="9"/>
        <v>1156000</v>
      </c>
      <c r="M17" s="1270">
        <f t="shared" si="9"/>
        <v>1156000</v>
      </c>
      <c r="N17" s="1268">
        <f t="shared" si="10"/>
        <v>96771.806566877567</v>
      </c>
      <c r="O17" s="1269">
        <f t="shared" si="11"/>
        <v>1156000</v>
      </c>
      <c r="P17" s="1269">
        <f t="shared" si="11"/>
        <v>1156000</v>
      </c>
      <c r="Q17" s="1269">
        <f t="shared" si="11"/>
        <v>1156000</v>
      </c>
      <c r="R17" s="1269">
        <f t="shared" si="11"/>
        <v>1156000</v>
      </c>
      <c r="S17" s="1270">
        <f t="shared" si="11"/>
        <v>1156000</v>
      </c>
    </row>
    <row r="18" spans="1:19" s="1177" customFormat="1" ht="15" x14ac:dyDescent="0.2">
      <c r="A18" s="1192">
        <v>2016</v>
      </c>
      <c r="B18" s="1271">
        <f t="shared" si="6"/>
        <v>156000</v>
      </c>
      <c r="C18" s="1272">
        <f t="shared" si="7"/>
        <v>1156000</v>
      </c>
      <c r="D18" s="1272">
        <f t="shared" si="7"/>
        <v>1156000</v>
      </c>
      <c r="E18" s="1272">
        <f t="shared" si="7"/>
        <v>1156000</v>
      </c>
      <c r="F18" s="1272">
        <f t="shared" si="7"/>
        <v>1156000</v>
      </c>
      <c r="G18" s="1273">
        <f t="shared" si="7"/>
        <v>1156000</v>
      </c>
      <c r="H18" s="1271">
        <f t="shared" si="8"/>
        <v>136900</v>
      </c>
      <c r="I18" s="1272">
        <f t="shared" si="9"/>
        <v>1156000</v>
      </c>
      <c r="J18" s="1272">
        <f t="shared" si="9"/>
        <v>1156000</v>
      </c>
      <c r="K18" s="1272">
        <f t="shared" si="9"/>
        <v>1156000</v>
      </c>
      <c r="L18" s="1272">
        <f t="shared" si="9"/>
        <v>1156000</v>
      </c>
      <c r="M18" s="1273">
        <f t="shared" si="9"/>
        <v>1156000</v>
      </c>
      <c r="N18" s="1271">
        <f t="shared" si="10"/>
        <v>96771.806566877567</v>
      </c>
      <c r="O18" s="1272">
        <f t="shared" si="11"/>
        <v>1156000</v>
      </c>
      <c r="P18" s="1272">
        <f t="shared" si="11"/>
        <v>1156000</v>
      </c>
      <c r="Q18" s="1272">
        <f t="shared" si="11"/>
        <v>1156000</v>
      </c>
      <c r="R18" s="1272">
        <f t="shared" si="11"/>
        <v>1156000</v>
      </c>
      <c r="S18" s="1273">
        <f t="shared" si="11"/>
        <v>1156000</v>
      </c>
    </row>
    <row r="19" spans="1:19" s="1177" customFormat="1" ht="15" x14ac:dyDescent="0.2">
      <c r="A19" s="1192">
        <v>2017</v>
      </c>
      <c r="B19" s="1263">
        <f t="shared" si="6"/>
        <v>156000</v>
      </c>
      <c r="C19" s="1266">
        <f t="shared" ref="C19:G28" si="12">$B19+INDEX(COST_Cls1,MATCH($A19,Years,0),MATCH(C$6,TECHOPTS_Cls1,0))</f>
        <v>1156000</v>
      </c>
      <c r="D19" s="1266">
        <f t="shared" si="12"/>
        <v>1156000</v>
      </c>
      <c r="E19" s="1266">
        <f t="shared" si="12"/>
        <v>1156000</v>
      </c>
      <c r="F19" s="1266">
        <f t="shared" si="12"/>
        <v>1156000</v>
      </c>
      <c r="G19" s="1267">
        <f t="shared" si="12"/>
        <v>1156000</v>
      </c>
      <c r="H19" s="1263">
        <f t="shared" si="8"/>
        <v>136900</v>
      </c>
      <c r="I19" s="1266">
        <f t="shared" ref="I19:M28" si="13">$B19+INDEX(COST_Cls2,MATCH($A19,Years,0),MATCH(I$6,TECHOPTS_Cls1,0))</f>
        <v>1156000</v>
      </c>
      <c r="J19" s="1266">
        <f t="shared" si="13"/>
        <v>1156000</v>
      </c>
      <c r="K19" s="1266">
        <f t="shared" si="13"/>
        <v>1156000</v>
      </c>
      <c r="L19" s="1266">
        <f t="shared" si="13"/>
        <v>1156000</v>
      </c>
      <c r="M19" s="1267">
        <f t="shared" si="13"/>
        <v>1156000</v>
      </c>
      <c r="N19" s="1263">
        <f t="shared" si="10"/>
        <v>96771.806566877567</v>
      </c>
      <c r="O19" s="1266">
        <f t="shared" ref="O19:S28" si="14">$B19+INDEX(COST_Cls3,MATCH($A19,Years,0),MATCH(O$6,TECHOPTS_Cls1,0))</f>
        <v>1156000</v>
      </c>
      <c r="P19" s="1266">
        <f t="shared" si="14"/>
        <v>1156000</v>
      </c>
      <c r="Q19" s="1266">
        <f t="shared" si="14"/>
        <v>1156000</v>
      </c>
      <c r="R19" s="1266">
        <f t="shared" si="14"/>
        <v>1156000</v>
      </c>
      <c r="S19" s="1267">
        <f t="shared" si="14"/>
        <v>1156000</v>
      </c>
    </row>
    <row r="20" spans="1:19" s="1177" customFormat="1" ht="15" x14ac:dyDescent="0.2">
      <c r="A20" s="1192">
        <v>2018</v>
      </c>
      <c r="B20" s="1263">
        <f t="shared" si="6"/>
        <v>157900</v>
      </c>
      <c r="C20" s="1266">
        <f t="shared" si="12"/>
        <v>1157900</v>
      </c>
      <c r="D20" s="1266">
        <f t="shared" si="12"/>
        <v>1157900</v>
      </c>
      <c r="E20" s="1266">
        <f t="shared" si="12"/>
        <v>1157900</v>
      </c>
      <c r="F20" s="1266">
        <f t="shared" si="12"/>
        <v>1157900</v>
      </c>
      <c r="G20" s="1267">
        <f t="shared" si="12"/>
        <v>1157900</v>
      </c>
      <c r="H20" s="1263">
        <f t="shared" si="8"/>
        <v>136900</v>
      </c>
      <c r="I20" s="1266">
        <f t="shared" si="13"/>
        <v>1157900</v>
      </c>
      <c r="J20" s="1266">
        <f t="shared" si="13"/>
        <v>1157900</v>
      </c>
      <c r="K20" s="1266">
        <f t="shared" si="13"/>
        <v>1157900</v>
      </c>
      <c r="L20" s="1266">
        <f t="shared" si="13"/>
        <v>1157900</v>
      </c>
      <c r="M20" s="1267">
        <f t="shared" si="13"/>
        <v>1157900</v>
      </c>
      <c r="N20" s="1263">
        <f t="shared" si="10"/>
        <v>96771.806566877567</v>
      </c>
      <c r="O20" s="1266">
        <f t="shared" si="14"/>
        <v>1157900</v>
      </c>
      <c r="P20" s="1266">
        <f t="shared" si="14"/>
        <v>1157900</v>
      </c>
      <c r="Q20" s="1266">
        <f t="shared" si="14"/>
        <v>1157900</v>
      </c>
      <c r="R20" s="1266">
        <f t="shared" si="14"/>
        <v>1157900</v>
      </c>
      <c r="S20" s="1267">
        <f t="shared" si="14"/>
        <v>1157900</v>
      </c>
    </row>
    <row r="21" spans="1:19" s="1177" customFormat="1" ht="15" x14ac:dyDescent="0.2">
      <c r="A21" s="1192">
        <v>2019</v>
      </c>
      <c r="B21" s="1263">
        <f t="shared" si="6"/>
        <v>159700</v>
      </c>
      <c r="C21" s="1266">
        <f t="shared" si="12"/>
        <v>1159700</v>
      </c>
      <c r="D21" s="1266">
        <f t="shared" si="12"/>
        <v>1159700</v>
      </c>
      <c r="E21" s="1266">
        <f t="shared" si="12"/>
        <v>1159700</v>
      </c>
      <c r="F21" s="1266">
        <f t="shared" si="12"/>
        <v>1159700</v>
      </c>
      <c r="G21" s="1267">
        <f t="shared" si="12"/>
        <v>1159700</v>
      </c>
      <c r="H21" s="1263">
        <f t="shared" si="8"/>
        <v>136900</v>
      </c>
      <c r="I21" s="1266">
        <f t="shared" si="13"/>
        <v>1159700</v>
      </c>
      <c r="J21" s="1266">
        <f t="shared" si="13"/>
        <v>1159700</v>
      </c>
      <c r="K21" s="1266">
        <f t="shared" si="13"/>
        <v>1159700</v>
      </c>
      <c r="L21" s="1266">
        <f t="shared" si="13"/>
        <v>1159700</v>
      </c>
      <c r="M21" s="1267">
        <f t="shared" si="13"/>
        <v>1159700</v>
      </c>
      <c r="N21" s="1263">
        <f t="shared" si="10"/>
        <v>96771.806566877567</v>
      </c>
      <c r="O21" s="1266">
        <f t="shared" si="14"/>
        <v>1159700</v>
      </c>
      <c r="P21" s="1266">
        <f t="shared" si="14"/>
        <v>1159700</v>
      </c>
      <c r="Q21" s="1266">
        <f t="shared" si="14"/>
        <v>1159700</v>
      </c>
      <c r="R21" s="1266">
        <f t="shared" si="14"/>
        <v>1159700</v>
      </c>
      <c r="S21" s="1267">
        <f t="shared" si="14"/>
        <v>1159700</v>
      </c>
    </row>
    <row r="22" spans="1:19" s="1177" customFormat="1" ht="15" x14ac:dyDescent="0.2">
      <c r="A22" s="1198">
        <v>2020</v>
      </c>
      <c r="B22" s="1268">
        <f t="shared" si="6"/>
        <v>161500</v>
      </c>
      <c r="C22" s="1269">
        <f t="shared" si="12"/>
        <v>1161500</v>
      </c>
      <c r="D22" s="1269">
        <f t="shared" si="12"/>
        <v>1161500</v>
      </c>
      <c r="E22" s="1269">
        <f t="shared" si="12"/>
        <v>1161500</v>
      </c>
      <c r="F22" s="1269">
        <f t="shared" si="12"/>
        <v>1161500</v>
      </c>
      <c r="G22" s="1270">
        <f t="shared" si="12"/>
        <v>1161500</v>
      </c>
      <c r="H22" s="1268">
        <f t="shared" si="8"/>
        <v>136900</v>
      </c>
      <c r="I22" s="1269">
        <f t="shared" si="13"/>
        <v>1161500</v>
      </c>
      <c r="J22" s="1269">
        <f t="shared" si="13"/>
        <v>1161500</v>
      </c>
      <c r="K22" s="1269">
        <f t="shared" si="13"/>
        <v>1161500</v>
      </c>
      <c r="L22" s="1269">
        <f t="shared" si="13"/>
        <v>1161500</v>
      </c>
      <c r="M22" s="1270">
        <f t="shared" si="13"/>
        <v>1161500</v>
      </c>
      <c r="N22" s="1268">
        <f t="shared" si="10"/>
        <v>96771.806566877567</v>
      </c>
      <c r="O22" s="1269">
        <f t="shared" si="14"/>
        <v>1161500</v>
      </c>
      <c r="P22" s="1269">
        <f t="shared" si="14"/>
        <v>1161500</v>
      </c>
      <c r="Q22" s="1269">
        <f t="shared" si="14"/>
        <v>1161500</v>
      </c>
      <c r="R22" s="1269">
        <f t="shared" si="14"/>
        <v>1161500</v>
      </c>
      <c r="S22" s="1270">
        <f t="shared" si="14"/>
        <v>1161500</v>
      </c>
    </row>
    <row r="23" spans="1:19" s="1177" customFormat="1" ht="15" x14ac:dyDescent="0.2">
      <c r="A23" s="1192">
        <v>2021</v>
      </c>
      <c r="B23" s="1271">
        <f t="shared" si="6"/>
        <v>163300</v>
      </c>
      <c r="C23" s="1272">
        <f t="shared" si="12"/>
        <v>163301</v>
      </c>
      <c r="D23" s="1272">
        <f t="shared" si="12"/>
        <v>172991</v>
      </c>
      <c r="E23" s="1272">
        <f t="shared" si="12"/>
        <v>966602</v>
      </c>
      <c r="F23" s="1272">
        <f t="shared" si="12"/>
        <v>360434</v>
      </c>
      <c r="G23" s="1273">
        <f t="shared" si="12"/>
        <v>1163300</v>
      </c>
      <c r="H23" s="1271">
        <f t="shared" si="8"/>
        <v>137205.78935754453</v>
      </c>
      <c r="I23" s="1272">
        <f t="shared" si="13"/>
        <v>164420.59081501013</v>
      </c>
      <c r="J23" s="1272">
        <f t="shared" si="13"/>
        <v>165946.16030366096</v>
      </c>
      <c r="K23" s="1272">
        <f t="shared" si="13"/>
        <v>361147.31007079966</v>
      </c>
      <c r="L23" s="1272">
        <f t="shared" si="13"/>
        <v>519273.77067591518</v>
      </c>
      <c r="M23" s="1273">
        <f t="shared" si="13"/>
        <v>330638.8014362324</v>
      </c>
      <c r="N23" s="1271">
        <f t="shared" si="10"/>
        <v>97040.03007304229</v>
      </c>
      <c r="O23" s="1272">
        <f t="shared" si="14"/>
        <v>164140.4652708841</v>
      </c>
      <c r="P23" s="1272">
        <f t="shared" si="14"/>
        <v>164966.4794172293</v>
      </c>
      <c r="Q23" s="1272">
        <f t="shared" si="14"/>
        <v>176409.7298777274</v>
      </c>
      <c r="R23" s="1272">
        <f t="shared" si="14"/>
        <v>307464.79851970973</v>
      </c>
      <c r="S23" s="1273">
        <f t="shared" si="14"/>
        <v>418251.09746535949</v>
      </c>
    </row>
    <row r="24" spans="1:19" s="1177" customFormat="1" ht="15" x14ac:dyDescent="0.2">
      <c r="A24" s="1192">
        <v>2022</v>
      </c>
      <c r="B24" s="1263">
        <f t="shared" si="6"/>
        <v>163300</v>
      </c>
      <c r="C24" s="1266">
        <f t="shared" si="12"/>
        <v>163557.33623308313</v>
      </c>
      <c r="D24" s="1266">
        <f t="shared" si="12"/>
        <v>172815.50289974979</v>
      </c>
      <c r="E24" s="1266">
        <f t="shared" si="12"/>
        <v>909484.50289974979</v>
      </c>
      <c r="F24" s="1266">
        <f t="shared" si="12"/>
        <v>346035.66956641641</v>
      </c>
      <c r="G24" s="1267">
        <f t="shared" si="12"/>
        <v>1163300</v>
      </c>
      <c r="H24" s="1263">
        <f t="shared" si="8"/>
        <v>137511.57871508907</v>
      </c>
      <c r="I24" s="1266">
        <f t="shared" si="13"/>
        <v>165541.18163002023</v>
      </c>
      <c r="J24" s="1266">
        <f t="shared" si="13"/>
        <v>166821.05559253911</v>
      </c>
      <c r="K24" s="1266">
        <f t="shared" si="13"/>
        <v>329382.55308491952</v>
      </c>
      <c r="L24" s="1266">
        <f t="shared" si="13"/>
        <v>461400.66666831466</v>
      </c>
      <c r="M24" s="1267">
        <f t="shared" si="13"/>
        <v>307602.40769967571</v>
      </c>
      <c r="N24" s="1263">
        <f t="shared" si="10"/>
        <v>97308.253579207012</v>
      </c>
      <c r="O24" s="1266">
        <f t="shared" si="14"/>
        <v>164980.93054176818</v>
      </c>
      <c r="P24" s="1266">
        <f t="shared" si="14"/>
        <v>165660.55136917633</v>
      </c>
      <c r="Q24" s="1266">
        <f t="shared" si="14"/>
        <v>175771.32907937549</v>
      </c>
      <c r="R24" s="1266">
        <f t="shared" si="14"/>
        <v>285656.24341838574</v>
      </c>
      <c r="S24" s="1267">
        <f t="shared" si="14"/>
        <v>378438.05970907584</v>
      </c>
    </row>
    <row r="25" spans="1:19" s="1177" customFormat="1" ht="15" x14ac:dyDescent="0.2">
      <c r="A25" s="1192">
        <v>2023</v>
      </c>
      <c r="B25" s="1263">
        <f t="shared" si="6"/>
        <v>162800</v>
      </c>
      <c r="C25" s="1266">
        <f t="shared" si="12"/>
        <v>163290.70348051802</v>
      </c>
      <c r="D25" s="1266">
        <f t="shared" si="12"/>
        <v>172116.03681385133</v>
      </c>
      <c r="E25" s="1266">
        <f t="shared" si="12"/>
        <v>851843.03681385121</v>
      </c>
      <c r="F25" s="1266">
        <f t="shared" si="12"/>
        <v>331113.37014718464</v>
      </c>
      <c r="G25" s="1267">
        <f t="shared" si="12"/>
        <v>1162800</v>
      </c>
      <c r="H25" s="1263">
        <f t="shared" si="8"/>
        <v>137817.3680726336</v>
      </c>
      <c r="I25" s="1266">
        <f t="shared" si="13"/>
        <v>166161.77244503034</v>
      </c>
      <c r="J25" s="1266">
        <f t="shared" si="13"/>
        <v>167195.95088141726</v>
      </c>
      <c r="K25" s="1266">
        <f t="shared" si="13"/>
        <v>297117.79609903932</v>
      </c>
      <c r="L25" s="1266">
        <f t="shared" si="13"/>
        <v>403027.56266071415</v>
      </c>
      <c r="M25" s="1267">
        <f t="shared" si="13"/>
        <v>284066.01396311901</v>
      </c>
      <c r="N25" s="1263">
        <f t="shared" si="10"/>
        <v>97576.477085371735</v>
      </c>
      <c r="O25" s="1266">
        <f t="shared" si="14"/>
        <v>165321.39581265225</v>
      </c>
      <c r="P25" s="1266">
        <f t="shared" si="14"/>
        <v>165854.62332112336</v>
      </c>
      <c r="Q25" s="1266">
        <f t="shared" si="14"/>
        <v>174632.92828102357</v>
      </c>
      <c r="R25" s="1266">
        <f t="shared" si="14"/>
        <v>263347.68831706169</v>
      </c>
      <c r="S25" s="1267">
        <f t="shared" si="14"/>
        <v>338125.02195279219</v>
      </c>
    </row>
    <row r="26" spans="1:19" s="1177" customFormat="1" ht="15" x14ac:dyDescent="0.2">
      <c r="A26" s="1192">
        <v>2024</v>
      </c>
      <c r="B26" s="1263">
        <f t="shared" si="6"/>
        <v>167400</v>
      </c>
      <c r="C26" s="1266">
        <f t="shared" si="12"/>
        <v>168209.90017938358</v>
      </c>
      <c r="D26" s="1266">
        <f t="shared" si="12"/>
        <v>176602.40017938355</v>
      </c>
      <c r="E26" s="1266">
        <f t="shared" si="12"/>
        <v>799387.40017938346</v>
      </c>
      <c r="F26" s="1266">
        <f t="shared" si="12"/>
        <v>321376.90017938352</v>
      </c>
      <c r="G26" s="1267">
        <f t="shared" si="12"/>
        <v>1167400</v>
      </c>
      <c r="H26" s="1263">
        <f t="shared" si="8"/>
        <v>138123.15743017814</v>
      </c>
      <c r="I26" s="1266">
        <f t="shared" si="13"/>
        <v>171882.36326004047</v>
      </c>
      <c r="J26" s="1266">
        <f t="shared" si="13"/>
        <v>172670.84617029544</v>
      </c>
      <c r="K26" s="1266">
        <f t="shared" si="13"/>
        <v>269953.03911315912</v>
      </c>
      <c r="L26" s="1266">
        <f t="shared" si="13"/>
        <v>349754.45865311369</v>
      </c>
      <c r="M26" s="1267">
        <f t="shared" si="13"/>
        <v>265629.62022656226</v>
      </c>
      <c r="N26" s="1263">
        <f t="shared" si="10"/>
        <v>97844.700591536457</v>
      </c>
      <c r="O26" s="1266">
        <f t="shared" si="14"/>
        <v>170761.86108353635</v>
      </c>
      <c r="P26" s="1266">
        <f t="shared" si="14"/>
        <v>171148.69527307036</v>
      </c>
      <c r="Q26" s="1266">
        <f t="shared" si="14"/>
        <v>178594.52748267166</v>
      </c>
      <c r="R26" s="1266">
        <f t="shared" si="14"/>
        <v>246139.13321573765</v>
      </c>
      <c r="S26" s="1267">
        <f t="shared" si="14"/>
        <v>302911.98419650859</v>
      </c>
    </row>
    <row r="27" spans="1:19" s="1177" customFormat="1" ht="15" x14ac:dyDescent="0.2">
      <c r="A27" s="1198">
        <v>2025</v>
      </c>
      <c r="B27" s="1268">
        <f t="shared" si="6"/>
        <v>167100</v>
      </c>
      <c r="C27" s="1269">
        <f t="shared" si="12"/>
        <v>168229.09687824914</v>
      </c>
      <c r="D27" s="1269">
        <f t="shared" si="12"/>
        <v>176188.76354491577</v>
      </c>
      <c r="E27" s="1269">
        <f t="shared" si="12"/>
        <v>742031.76354491571</v>
      </c>
      <c r="F27" s="1269">
        <f t="shared" si="12"/>
        <v>306740.4302115824</v>
      </c>
      <c r="G27" s="1270">
        <f t="shared" si="12"/>
        <v>1167100</v>
      </c>
      <c r="H27" s="1268">
        <f t="shared" si="8"/>
        <v>138428.94678772261</v>
      </c>
      <c r="I27" s="1269">
        <f t="shared" si="13"/>
        <v>172702.9540750506</v>
      </c>
      <c r="J27" s="1269">
        <f t="shared" si="13"/>
        <v>173245.74145917367</v>
      </c>
      <c r="K27" s="1269">
        <f t="shared" si="13"/>
        <v>237888.28212727894</v>
      </c>
      <c r="L27" s="1269">
        <f t="shared" si="13"/>
        <v>291581.35464551323</v>
      </c>
      <c r="M27" s="1270">
        <f t="shared" si="13"/>
        <v>242293.22649000553</v>
      </c>
      <c r="N27" s="1268">
        <f t="shared" si="10"/>
        <v>98112.924097701165</v>
      </c>
      <c r="O27" s="1269">
        <f t="shared" si="14"/>
        <v>171302.32635442045</v>
      </c>
      <c r="P27" s="1269">
        <f t="shared" si="14"/>
        <v>171542.76722501739</v>
      </c>
      <c r="Q27" s="1269">
        <f t="shared" si="14"/>
        <v>177656.12668431978</v>
      </c>
      <c r="R27" s="1269">
        <f t="shared" si="14"/>
        <v>224030.5781144136</v>
      </c>
      <c r="S27" s="1270">
        <f t="shared" si="14"/>
        <v>262798.946440225</v>
      </c>
    </row>
    <row r="28" spans="1:19" s="1177" customFormat="1" ht="15" x14ac:dyDescent="0.2">
      <c r="A28" s="1192">
        <v>2026</v>
      </c>
      <c r="B28" s="1271">
        <f t="shared" si="6"/>
        <v>166900</v>
      </c>
      <c r="C28" s="1272">
        <f t="shared" si="12"/>
        <v>168262.46412568403</v>
      </c>
      <c r="D28" s="1272">
        <f t="shared" si="12"/>
        <v>175789.29745901731</v>
      </c>
      <c r="E28" s="1272">
        <f t="shared" si="12"/>
        <v>684690.29745901714</v>
      </c>
      <c r="F28" s="1272">
        <f t="shared" si="12"/>
        <v>292118.13079235062</v>
      </c>
      <c r="G28" s="1273">
        <f t="shared" si="12"/>
        <v>1166900</v>
      </c>
      <c r="H28" s="1271">
        <f t="shared" si="8"/>
        <v>139088.32283276951</v>
      </c>
      <c r="I28" s="1272">
        <f t="shared" si="13"/>
        <v>172729.51837607712</v>
      </c>
      <c r="J28" s="1272">
        <f t="shared" si="13"/>
        <v>173211.03259469784</v>
      </c>
      <c r="K28" s="1272">
        <f t="shared" si="13"/>
        <v>230339.25086035026</v>
      </c>
      <c r="L28" s="1272">
        <f t="shared" si="13"/>
        <v>277955.27571971854</v>
      </c>
      <c r="M28" s="1273">
        <f t="shared" si="13"/>
        <v>231834.80570293451</v>
      </c>
      <c r="N28" s="1271">
        <f t="shared" si="10"/>
        <v>98535.258281973045</v>
      </c>
      <c r="O28" s="1272">
        <f t="shared" si="14"/>
        <v>171273.81523360495</v>
      </c>
      <c r="P28" s="1272">
        <f t="shared" si="14"/>
        <v>171479.00864290138</v>
      </c>
      <c r="Q28" s="1272">
        <f t="shared" si="14"/>
        <v>177305.35133531765</v>
      </c>
      <c r="R28" s="1272">
        <f t="shared" si="14"/>
        <v>218911.7237543599</v>
      </c>
      <c r="S28" s="1273">
        <f t="shared" si="14"/>
        <v>252983.46885796799</v>
      </c>
    </row>
    <row r="29" spans="1:19" s="1177" customFormat="1" ht="15" x14ac:dyDescent="0.2">
      <c r="A29" s="1192">
        <v>2027</v>
      </c>
      <c r="B29" s="1263">
        <f t="shared" si="6"/>
        <v>169800</v>
      </c>
      <c r="C29" s="1266">
        <f t="shared" ref="C29:G38" si="15">$B29+INDEX(COST_Cls1,MATCH($A29,Years,0),MATCH(C$6,TECHOPTS_Cls1,0))</f>
        <v>171419.80035876716</v>
      </c>
      <c r="D29" s="1266">
        <f t="shared" si="15"/>
        <v>178513.80035876716</v>
      </c>
      <c r="E29" s="1266">
        <f t="shared" si="15"/>
        <v>630472.80035876716</v>
      </c>
      <c r="F29" s="1266">
        <f t="shared" si="15"/>
        <v>280619.80035876716</v>
      </c>
      <c r="G29" s="1267">
        <f t="shared" si="15"/>
        <v>1169800</v>
      </c>
      <c r="H29" s="1263">
        <f t="shared" si="8"/>
        <v>139747.69887781641</v>
      </c>
      <c r="I29" s="1266">
        <f t="shared" ref="I29:M38" si="16">$B29+INDEX(COST_Cls2,MATCH($A29,Years,0),MATCH(I$6,TECHOPTS_Cls1,0))</f>
        <v>175856.08267710364</v>
      </c>
      <c r="J29" s="1266">
        <f t="shared" si="16"/>
        <v>176276.32373022204</v>
      </c>
      <c r="K29" s="1266">
        <f t="shared" si="16"/>
        <v>225890.21959342156</v>
      </c>
      <c r="L29" s="1266">
        <f t="shared" si="16"/>
        <v>267429.19679392385</v>
      </c>
      <c r="M29" s="1267">
        <f t="shared" si="16"/>
        <v>224476.38491586351</v>
      </c>
      <c r="N29" s="1263">
        <f t="shared" si="10"/>
        <v>98957.592466244925</v>
      </c>
      <c r="O29" s="1266">
        <f t="shared" ref="O29:S38" si="17">$B29+INDEX(COST_Cls3,MATCH($A29,Years,0),MATCH(O$6,TECHOPTS_Cls1,0))</f>
        <v>174345.30411278945</v>
      </c>
      <c r="P29" s="1266">
        <f t="shared" si="17"/>
        <v>174515.25006078533</v>
      </c>
      <c r="Q29" s="1266">
        <f t="shared" si="17"/>
        <v>180054.57598631555</v>
      </c>
      <c r="R29" s="1266">
        <f t="shared" si="17"/>
        <v>216892.86939430621</v>
      </c>
      <c r="S29" s="1267">
        <f t="shared" si="17"/>
        <v>246267.99127571099</v>
      </c>
    </row>
    <row r="30" spans="1:19" s="1177" customFormat="1" ht="15" x14ac:dyDescent="0.2">
      <c r="A30" s="1192">
        <v>2028</v>
      </c>
      <c r="B30" s="1263">
        <f t="shared" si="6"/>
        <v>169500</v>
      </c>
      <c r="C30" s="1266">
        <f t="shared" si="15"/>
        <v>171415.8597325756</v>
      </c>
      <c r="D30" s="1266">
        <f t="shared" si="15"/>
        <v>178407.2347325756</v>
      </c>
      <c r="E30" s="1266">
        <f t="shared" si="15"/>
        <v>603530.1097325756</v>
      </c>
      <c r="F30" s="1266">
        <f t="shared" si="15"/>
        <v>278317.9847325756</v>
      </c>
      <c r="G30" s="1267">
        <f t="shared" si="15"/>
        <v>1169500</v>
      </c>
      <c r="H30" s="1263">
        <f t="shared" si="8"/>
        <v>140407.07492286331</v>
      </c>
      <c r="I30" s="1266">
        <f t="shared" si="16"/>
        <v>175782.64697813021</v>
      </c>
      <c r="J30" s="1266">
        <f t="shared" si="16"/>
        <v>176141.61486574623</v>
      </c>
      <c r="K30" s="1266">
        <f t="shared" si="16"/>
        <v>218241.18832649285</v>
      </c>
      <c r="L30" s="1266">
        <f t="shared" si="16"/>
        <v>253703.11786812911</v>
      </c>
      <c r="M30" s="1267">
        <f t="shared" si="16"/>
        <v>213917.96412879252</v>
      </c>
      <c r="N30" s="1263">
        <f t="shared" si="10"/>
        <v>99379.926650516805</v>
      </c>
      <c r="O30" s="1266">
        <f t="shared" si="17"/>
        <v>174216.79299197393</v>
      </c>
      <c r="P30" s="1266">
        <f t="shared" si="17"/>
        <v>174351.49147866928</v>
      </c>
      <c r="Q30" s="1266">
        <f t="shared" si="17"/>
        <v>179603.80063731346</v>
      </c>
      <c r="R30" s="1266">
        <f t="shared" si="17"/>
        <v>211674.01503425254</v>
      </c>
      <c r="S30" s="1267">
        <f t="shared" si="17"/>
        <v>236352.51369345395</v>
      </c>
    </row>
    <row r="31" spans="1:19" s="1177" customFormat="1" ht="15" x14ac:dyDescent="0.2">
      <c r="A31" s="1192">
        <v>2029</v>
      </c>
      <c r="B31" s="1263">
        <f t="shared" si="6"/>
        <v>169300</v>
      </c>
      <c r="C31" s="1266">
        <f t="shared" si="15"/>
        <v>171440.24603140104</v>
      </c>
      <c r="D31" s="1266">
        <f t="shared" si="15"/>
        <v>178328.99603140104</v>
      </c>
      <c r="E31" s="1266">
        <f t="shared" si="15"/>
        <v>576615.7460314011</v>
      </c>
      <c r="F31" s="1266">
        <f t="shared" si="15"/>
        <v>276044.49603140104</v>
      </c>
      <c r="G31" s="1267">
        <f t="shared" si="15"/>
        <v>1169300</v>
      </c>
      <c r="H31" s="1263">
        <f t="shared" si="8"/>
        <v>141066.45096791023</v>
      </c>
      <c r="I31" s="1266">
        <f t="shared" si="16"/>
        <v>175809.21127915673</v>
      </c>
      <c r="J31" s="1266">
        <f t="shared" si="16"/>
        <v>176106.9060012704</v>
      </c>
      <c r="K31" s="1266">
        <f t="shared" si="16"/>
        <v>210692.15705956417</v>
      </c>
      <c r="L31" s="1266">
        <f t="shared" si="16"/>
        <v>240077.03894233442</v>
      </c>
      <c r="M31" s="1267">
        <f t="shared" si="16"/>
        <v>203459.5433417215</v>
      </c>
      <c r="N31" s="1263">
        <f t="shared" si="10"/>
        <v>99802.260834788685</v>
      </c>
      <c r="O31" s="1266">
        <f t="shared" si="17"/>
        <v>174188.2818711584</v>
      </c>
      <c r="P31" s="1266">
        <f t="shared" si="17"/>
        <v>174287.73289655327</v>
      </c>
      <c r="Q31" s="1266">
        <f t="shared" si="17"/>
        <v>179253.02528831133</v>
      </c>
      <c r="R31" s="1266">
        <f t="shared" si="17"/>
        <v>206555.16067419888</v>
      </c>
      <c r="S31" s="1267">
        <f t="shared" si="17"/>
        <v>226537.03611119691</v>
      </c>
    </row>
    <row r="32" spans="1:19" s="1177" customFormat="1" ht="15" x14ac:dyDescent="0.2">
      <c r="A32" s="1198">
        <v>2030</v>
      </c>
      <c r="B32" s="1268">
        <f t="shared" si="6"/>
        <v>169300</v>
      </c>
      <c r="C32" s="1269">
        <f t="shared" si="15"/>
        <v>171695.87401313928</v>
      </c>
      <c r="D32" s="1269">
        <f t="shared" si="15"/>
        <v>178481.99901313928</v>
      </c>
      <c r="E32" s="1269">
        <f t="shared" si="15"/>
        <v>549932.62401313928</v>
      </c>
      <c r="F32" s="1269">
        <f t="shared" si="15"/>
        <v>274002.24901313928</v>
      </c>
      <c r="G32" s="1270">
        <f t="shared" si="15"/>
        <v>1169300</v>
      </c>
      <c r="H32" s="1268">
        <f t="shared" si="8"/>
        <v>141725.82701295713</v>
      </c>
      <c r="I32" s="1269">
        <f t="shared" si="16"/>
        <v>176035.77558018328</v>
      </c>
      <c r="J32" s="1269">
        <f t="shared" si="16"/>
        <v>176272.19713679462</v>
      </c>
      <c r="K32" s="1269">
        <f t="shared" si="16"/>
        <v>203343.12579263543</v>
      </c>
      <c r="L32" s="1269">
        <f t="shared" si="16"/>
        <v>226650.96001653979</v>
      </c>
      <c r="M32" s="1270">
        <f t="shared" si="16"/>
        <v>193201.12255465053</v>
      </c>
      <c r="N32" s="1268">
        <f t="shared" si="10"/>
        <v>100224.59501906054</v>
      </c>
      <c r="O32" s="1269">
        <f t="shared" si="17"/>
        <v>174359.77075034293</v>
      </c>
      <c r="P32" s="1269">
        <f t="shared" si="17"/>
        <v>174423.97431443725</v>
      </c>
      <c r="Q32" s="1269">
        <f t="shared" si="17"/>
        <v>179102.24993930926</v>
      </c>
      <c r="R32" s="1269">
        <f t="shared" si="17"/>
        <v>201636.30631414527</v>
      </c>
      <c r="S32" s="1270">
        <f t="shared" si="17"/>
        <v>216921.55852893987</v>
      </c>
    </row>
    <row r="33" spans="1:19" s="1177" customFormat="1" ht="15" x14ac:dyDescent="0.2">
      <c r="A33" s="1192">
        <v>2031</v>
      </c>
      <c r="B33" s="1271">
        <f t="shared" si="6"/>
        <v>169300</v>
      </c>
      <c r="C33" s="1272">
        <f t="shared" si="15"/>
        <v>171906.49626233912</v>
      </c>
      <c r="D33" s="1272">
        <f t="shared" si="15"/>
        <v>178589.99626233912</v>
      </c>
      <c r="E33" s="1272">
        <f t="shared" si="15"/>
        <v>523204.49626233912</v>
      </c>
      <c r="F33" s="1272">
        <f t="shared" si="15"/>
        <v>271914.99626233912</v>
      </c>
      <c r="G33" s="1273">
        <f t="shared" si="15"/>
        <v>1169300</v>
      </c>
      <c r="H33" s="1271">
        <f t="shared" si="8"/>
        <v>141725.82701295713</v>
      </c>
      <c r="I33" s="1272">
        <f t="shared" si="16"/>
        <v>176035.77558018328</v>
      </c>
      <c r="J33" s="1272">
        <f t="shared" si="16"/>
        <v>176272.19713679462</v>
      </c>
      <c r="K33" s="1272">
        <f t="shared" si="16"/>
        <v>200813.33684042041</v>
      </c>
      <c r="L33" s="1272">
        <f t="shared" si="16"/>
        <v>221304.5117068984</v>
      </c>
      <c r="M33" s="1273">
        <f t="shared" si="16"/>
        <v>190956.2253359915</v>
      </c>
      <c r="N33" s="1271">
        <f t="shared" si="10"/>
        <v>100224.59501906054</v>
      </c>
      <c r="O33" s="1272">
        <f t="shared" si="17"/>
        <v>174359.77075034293</v>
      </c>
      <c r="P33" s="1272">
        <f t="shared" si="17"/>
        <v>174423.97431443725</v>
      </c>
      <c r="Q33" s="1272">
        <f t="shared" si="17"/>
        <v>179376.40173298662</v>
      </c>
      <c r="R33" s="1272">
        <f t="shared" si="17"/>
        <v>199765.13995946973</v>
      </c>
      <c r="S33" s="1273">
        <f t="shared" si="17"/>
        <v>212997.80865736277</v>
      </c>
    </row>
    <row r="34" spans="1:19" s="1177" customFormat="1" ht="15" x14ac:dyDescent="0.2">
      <c r="A34" s="1192">
        <v>2032</v>
      </c>
      <c r="B34" s="1263">
        <f t="shared" si="6"/>
        <v>169300</v>
      </c>
      <c r="C34" s="1266">
        <f t="shared" si="15"/>
        <v>172038.43678309239</v>
      </c>
      <c r="D34" s="1266">
        <f t="shared" si="15"/>
        <v>178619.31178309239</v>
      </c>
      <c r="E34" s="1266">
        <f t="shared" si="15"/>
        <v>496397.68678309239</v>
      </c>
      <c r="F34" s="1266">
        <f t="shared" si="15"/>
        <v>269749.06178309239</v>
      </c>
      <c r="G34" s="1267">
        <f t="shared" si="15"/>
        <v>1169300</v>
      </c>
      <c r="H34" s="1263">
        <f t="shared" si="8"/>
        <v>141725.82701295713</v>
      </c>
      <c r="I34" s="1266">
        <f t="shared" si="16"/>
        <v>176035.77558018328</v>
      </c>
      <c r="J34" s="1266">
        <f t="shared" si="16"/>
        <v>176272.19713679462</v>
      </c>
      <c r="K34" s="1266">
        <f t="shared" si="16"/>
        <v>198283.54788820539</v>
      </c>
      <c r="L34" s="1266">
        <f t="shared" si="16"/>
        <v>215958.06339725701</v>
      </c>
      <c r="M34" s="1267">
        <f t="shared" si="16"/>
        <v>188711.32811733248</v>
      </c>
      <c r="N34" s="1263">
        <f t="shared" si="10"/>
        <v>100224.59501906054</v>
      </c>
      <c r="O34" s="1266">
        <f t="shared" si="17"/>
        <v>174359.77075034293</v>
      </c>
      <c r="P34" s="1266">
        <f t="shared" si="17"/>
        <v>174423.97431443725</v>
      </c>
      <c r="Q34" s="1266">
        <f t="shared" si="17"/>
        <v>179650.55352666398</v>
      </c>
      <c r="R34" s="1266">
        <f t="shared" si="17"/>
        <v>197893.97360479418</v>
      </c>
      <c r="S34" s="1267">
        <f t="shared" si="17"/>
        <v>209074.05878578566</v>
      </c>
    </row>
    <row r="35" spans="1:19" s="1177" customFormat="1" ht="15" x14ac:dyDescent="0.2">
      <c r="A35" s="1192">
        <v>2033</v>
      </c>
      <c r="B35" s="1263">
        <f t="shared" si="6"/>
        <v>169300</v>
      </c>
      <c r="C35" s="1266">
        <f t="shared" si="15"/>
        <v>172107.45655830717</v>
      </c>
      <c r="D35" s="1266">
        <f t="shared" si="15"/>
        <v>178585.70655830717</v>
      </c>
      <c r="E35" s="1266">
        <f t="shared" si="15"/>
        <v>469527.95655830717</v>
      </c>
      <c r="F35" s="1266">
        <f t="shared" si="15"/>
        <v>267520.20655830717</v>
      </c>
      <c r="G35" s="1267">
        <f t="shared" si="15"/>
        <v>1169300</v>
      </c>
      <c r="H35" s="1263">
        <f t="shared" si="8"/>
        <v>141725.82701295713</v>
      </c>
      <c r="I35" s="1266">
        <f t="shared" si="16"/>
        <v>176035.77558018328</v>
      </c>
      <c r="J35" s="1266">
        <f t="shared" si="16"/>
        <v>176272.19713679462</v>
      </c>
      <c r="K35" s="1266">
        <f t="shared" si="16"/>
        <v>195753.75893599036</v>
      </c>
      <c r="L35" s="1266">
        <f t="shared" si="16"/>
        <v>210611.61508761562</v>
      </c>
      <c r="M35" s="1267">
        <f t="shared" si="16"/>
        <v>186466.43089867345</v>
      </c>
      <c r="N35" s="1263">
        <f t="shared" si="10"/>
        <v>100224.59501906054</v>
      </c>
      <c r="O35" s="1266">
        <f t="shared" si="17"/>
        <v>174359.77075034293</v>
      </c>
      <c r="P35" s="1266">
        <f t="shared" si="17"/>
        <v>174423.97431443725</v>
      </c>
      <c r="Q35" s="1266">
        <f t="shared" si="17"/>
        <v>179924.70532034134</v>
      </c>
      <c r="R35" s="1266">
        <f t="shared" si="17"/>
        <v>196022.80725011864</v>
      </c>
      <c r="S35" s="1267">
        <f t="shared" si="17"/>
        <v>205150.30891420855</v>
      </c>
    </row>
    <row r="36" spans="1:19" s="1177" customFormat="1" ht="15" x14ac:dyDescent="0.2">
      <c r="A36" s="1192">
        <v>2034</v>
      </c>
      <c r="B36" s="1263">
        <f t="shared" si="6"/>
        <v>169300</v>
      </c>
      <c r="C36" s="1266">
        <f t="shared" si="15"/>
        <v>172140.18065776303</v>
      </c>
      <c r="D36" s="1266">
        <f t="shared" si="15"/>
        <v>178515.80565776303</v>
      </c>
      <c r="E36" s="1266">
        <f t="shared" si="15"/>
        <v>442621.93065776303</v>
      </c>
      <c r="F36" s="1266">
        <f t="shared" si="15"/>
        <v>265255.05565776303</v>
      </c>
      <c r="G36" s="1267">
        <f t="shared" si="15"/>
        <v>1169300</v>
      </c>
      <c r="H36" s="1263">
        <f t="shared" si="8"/>
        <v>141725.82701295713</v>
      </c>
      <c r="I36" s="1266">
        <f t="shared" si="16"/>
        <v>176035.77558018328</v>
      </c>
      <c r="J36" s="1266">
        <f t="shared" si="16"/>
        <v>176272.19713679462</v>
      </c>
      <c r="K36" s="1266">
        <f t="shared" si="16"/>
        <v>193223.96998377534</v>
      </c>
      <c r="L36" s="1266">
        <f t="shared" si="16"/>
        <v>205265.16677797423</v>
      </c>
      <c r="M36" s="1267">
        <f t="shared" si="16"/>
        <v>184221.53368001443</v>
      </c>
      <c r="N36" s="1263">
        <f t="shared" si="10"/>
        <v>100224.59501906054</v>
      </c>
      <c r="O36" s="1266">
        <f t="shared" si="17"/>
        <v>174359.77075034293</v>
      </c>
      <c r="P36" s="1266">
        <f t="shared" si="17"/>
        <v>174423.97431443725</v>
      </c>
      <c r="Q36" s="1266">
        <f t="shared" si="17"/>
        <v>180198.8571140187</v>
      </c>
      <c r="R36" s="1266">
        <f t="shared" si="17"/>
        <v>194151.6408954431</v>
      </c>
      <c r="S36" s="1267">
        <f t="shared" si="17"/>
        <v>201226.55904263144</v>
      </c>
    </row>
    <row r="37" spans="1:19" s="1177" customFormat="1" ht="15" x14ac:dyDescent="0.2">
      <c r="A37" s="1198">
        <v>2035</v>
      </c>
      <c r="B37" s="1268">
        <f t="shared" si="6"/>
        <v>169300</v>
      </c>
      <c r="C37" s="1269">
        <f t="shared" si="15"/>
        <v>172166.58647871119</v>
      </c>
      <c r="D37" s="1269">
        <f t="shared" si="15"/>
        <v>178439.58647871119</v>
      </c>
      <c r="E37" s="1269">
        <f t="shared" si="15"/>
        <v>415709.58647871116</v>
      </c>
      <c r="F37" s="1269">
        <f t="shared" si="15"/>
        <v>262983.58647871122</v>
      </c>
      <c r="G37" s="1270">
        <f t="shared" si="15"/>
        <v>1169300</v>
      </c>
      <c r="H37" s="1268">
        <f t="shared" si="8"/>
        <v>141725.82701295713</v>
      </c>
      <c r="I37" s="1269">
        <f t="shared" si="16"/>
        <v>176035.77558018328</v>
      </c>
      <c r="J37" s="1269">
        <f t="shared" si="16"/>
        <v>176272.19713679462</v>
      </c>
      <c r="K37" s="1269">
        <f t="shared" si="16"/>
        <v>190694.18103156026</v>
      </c>
      <c r="L37" s="1269">
        <f t="shared" si="16"/>
        <v>199918.71846833284</v>
      </c>
      <c r="M37" s="1270">
        <f t="shared" si="16"/>
        <v>181976.63646135543</v>
      </c>
      <c r="N37" s="1268">
        <f t="shared" si="10"/>
        <v>100224.59501906054</v>
      </c>
      <c r="O37" s="1269">
        <f t="shared" si="17"/>
        <v>174359.77075034293</v>
      </c>
      <c r="P37" s="1269">
        <f t="shared" si="17"/>
        <v>174423.97431443725</v>
      </c>
      <c r="Q37" s="1269">
        <f t="shared" si="17"/>
        <v>180473.00890769606</v>
      </c>
      <c r="R37" s="1269">
        <f t="shared" si="17"/>
        <v>192280.47454076752</v>
      </c>
      <c r="S37" s="1270">
        <f t="shared" si="17"/>
        <v>197302.8091710544</v>
      </c>
    </row>
    <row r="38" spans="1:19" s="1177" customFormat="1" ht="15" x14ac:dyDescent="0.2">
      <c r="A38" s="1192">
        <v>2036</v>
      </c>
      <c r="B38" s="1271">
        <f t="shared" si="6"/>
        <v>169300</v>
      </c>
      <c r="C38" s="1272">
        <f t="shared" si="15"/>
        <v>172749.55379122862</v>
      </c>
      <c r="D38" s="1272">
        <f t="shared" si="15"/>
        <v>178866.55379122862</v>
      </c>
      <c r="E38" s="1272">
        <f t="shared" si="15"/>
        <v>402840.68712456198</v>
      </c>
      <c r="F38" s="1272">
        <f t="shared" si="15"/>
        <v>259064.28712456196</v>
      </c>
      <c r="G38" s="1273">
        <f t="shared" si="15"/>
        <v>1169300</v>
      </c>
      <c r="H38" s="1271">
        <f t="shared" si="8"/>
        <v>141725.82701295713</v>
      </c>
      <c r="I38" s="1272">
        <f t="shared" si="16"/>
        <v>176035.77558018328</v>
      </c>
      <c r="J38" s="1272">
        <f t="shared" si="16"/>
        <v>176272.19713679462</v>
      </c>
      <c r="K38" s="1272">
        <f t="shared" si="16"/>
        <v>190547.82687529884</v>
      </c>
      <c r="L38" s="1272">
        <f t="shared" si="16"/>
        <v>199339.7510299719</v>
      </c>
      <c r="M38" s="1273">
        <f t="shared" si="16"/>
        <v>181443.8925543465</v>
      </c>
      <c r="N38" s="1271">
        <f t="shared" si="10"/>
        <v>100224.59501906054</v>
      </c>
      <c r="O38" s="1272">
        <f t="shared" si="17"/>
        <v>174359.77075034293</v>
      </c>
      <c r="P38" s="1272">
        <f t="shared" si="17"/>
        <v>174423.97431443725</v>
      </c>
      <c r="Q38" s="1272">
        <f t="shared" si="17"/>
        <v>180772.42318488029</v>
      </c>
      <c r="R38" s="1272">
        <f t="shared" si="17"/>
        <v>192295.14195353107</v>
      </c>
      <c r="S38" s="1273">
        <f t="shared" si="17"/>
        <v>196942.70335396036</v>
      </c>
    </row>
    <row r="39" spans="1:19" s="1177" customFormat="1" ht="15" x14ac:dyDescent="0.2">
      <c r="A39" s="1192">
        <v>2037</v>
      </c>
      <c r="B39" s="1263">
        <f t="shared" si="6"/>
        <v>169300</v>
      </c>
      <c r="C39" s="1266">
        <f t="shared" ref="C39:G52" si="18">$B39+INDEX(COST_Cls1,MATCH($A39,Years,0),MATCH(C$6,TECHOPTS_Cls1,0))</f>
        <v>173105.013319588</v>
      </c>
      <c r="D39" s="1266">
        <f t="shared" si="18"/>
        <v>179066.013319588</v>
      </c>
      <c r="E39" s="1266">
        <f t="shared" si="18"/>
        <v>389744.27998625475</v>
      </c>
      <c r="F39" s="1266">
        <f t="shared" si="18"/>
        <v>254917.47998625468</v>
      </c>
      <c r="G39" s="1267">
        <f t="shared" si="18"/>
        <v>1169300</v>
      </c>
      <c r="H39" s="1263">
        <f t="shared" si="8"/>
        <v>141725.82701295713</v>
      </c>
      <c r="I39" s="1266">
        <f t="shared" ref="I39:M52" si="19">$B39+INDEX(COST_Cls2,MATCH($A39,Years,0),MATCH(I$6,TECHOPTS_Cls1,0))</f>
        <v>176035.77558018328</v>
      </c>
      <c r="J39" s="1266">
        <f t="shared" si="19"/>
        <v>176272.19713679462</v>
      </c>
      <c r="K39" s="1266">
        <f t="shared" si="19"/>
        <v>190401.47271903741</v>
      </c>
      <c r="L39" s="1266">
        <f t="shared" si="19"/>
        <v>198760.78359161096</v>
      </c>
      <c r="M39" s="1267">
        <f t="shared" si="19"/>
        <v>180911.14864733757</v>
      </c>
      <c r="N39" s="1263">
        <f t="shared" si="10"/>
        <v>100224.59501906054</v>
      </c>
      <c r="O39" s="1266">
        <f t="shared" ref="O39:S52" si="20">$B39+INDEX(COST_Cls3,MATCH($A39,Years,0),MATCH(O$6,TECHOPTS_Cls1,0))</f>
        <v>174359.77075034293</v>
      </c>
      <c r="P39" s="1266">
        <f t="shared" si="20"/>
        <v>174423.97431443725</v>
      </c>
      <c r="Q39" s="1266">
        <f t="shared" si="20"/>
        <v>180772.42318488029</v>
      </c>
      <c r="R39" s="1266">
        <f t="shared" si="20"/>
        <v>192309.80936629462</v>
      </c>
      <c r="S39" s="1267">
        <f t="shared" si="20"/>
        <v>196582.59753686629</v>
      </c>
    </row>
    <row r="40" spans="1:19" s="1177" customFormat="1" ht="15" x14ac:dyDescent="0.2">
      <c r="A40" s="1192">
        <v>2038</v>
      </c>
      <c r="B40" s="1263">
        <f t="shared" si="6"/>
        <v>169300</v>
      </c>
      <c r="C40" s="1266">
        <f t="shared" si="18"/>
        <v>173655.74416790574</v>
      </c>
      <c r="D40" s="1266">
        <f t="shared" si="18"/>
        <v>179460.74416790574</v>
      </c>
      <c r="E40" s="1266">
        <f t="shared" si="18"/>
        <v>376843.14416790579</v>
      </c>
      <c r="F40" s="1266">
        <f t="shared" si="18"/>
        <v>250965.94416790575</v>
      </c>
      <c r="G40" s="1267">
        <f t="shared" si="18"/>
        <v>1169300</v>
      </c>
      <c r="H40" s="1263">
        <f t="shared" si="8"/>
        <v>141725.82701295713</v>
      </c>
      <c r="I40" s="1266">
        <f t="shared" si="19"/>
        <v>176035.77558018328</v>
      </c>
      <c r="J40" s="1266">
        <f t="shared" si="19"/>
        <v>176272.19713679462</v>
      </c>
      <c r="K40" s="1266">
        <f t="shared" si="19"/>
        <v>190255.11856277598</v>
      </c>
      <c r="L40" s="1266">
        <f t="shared" si="19"/>
        <v>198181.81615325002</v>
      </c>
      <c r="M40" s="1267">
        <f t="shared" si="19"/>
        <v>180378.40474032864</v>
      </c>
      <c r="N40" s="1263">
        <f t="shared" si="10"/>
        <v>100224.59501906054</v>
      </c>
      <c r="O40" s="1266">
        <f t="shared" si="20"/>
        <v>174359.77075034293</v>
      </c>
      <c r="P40" s="1266">
        <f t="shared" si="20"/>
        <v>174423.97431443725</v>
      </c>
      <c r="Q40" s="1266">
        <f t="shared" si="20"/>
        <v>180772.42318488029</v>
      </c>
      <c r="R40" s="1266">
        <f t="shared" si="20"/>
        <v>192324.47677905817</v>
      </c>
      <c r="S40" s="1267">
        <f t="shared" si="20"/>
        <v>196222.49171977222</v>
      </c>
    </row>
    <row r="41" spans="1:19" s="1177" customFormat="1" ht="15" x14ac:dyDescent="0.2">
      <c r="A41" s="1192">
        <v>2039</v>
      </c>
      <c r="B41" s="1263">
        <f t="shared" si="6"/>
        <v>169300</v>
      </c>
      <c r="C41" s="1266">
        <f t="shared" si="18"/>
        <v>174478.77169701183</v>
      </c>
      <c r="D41" s="1266">
        <f t="shared" si="18"/>
        <v>180127.77169701183</v>
      </c>
      <c r="E41" s="1266">
        <f t="shared" si="18"/>
        <v>364214.30503034528</v>
      </c>
      <c r="F41" s="1266">
        <f t="shared" si="18"/>
        <v>247286.70503034518</v>
      </c>
      <c r="G41" s="1267">
        <f t="shared" si="18"/>
        <v>1169300</v>
      </c>
      <c r="H41" s="1263">
        <f t="shared" si="8"/>
        <v>141725.82701295713</v>
      </c>
      <c r="I41" s="1266">
        <f t="shared" si="19"/>
        <v>176035.77558018328</v>
      </c>
      <c r="J41" s="1266">
        <f t="shared" si="19"/>
        <v>176272.19713679462</v>
      </c>
      <c r="K41" s="1266">
        <f t="shared" si="19"/>
        <v>190108.76440651456</v>
      </c>
      <c r="L41" s="1266">
        <f t="shared" si="19"/>
        <v>197602.84871488909</v>
      </c>
      <c r="M41" s="1267">
        <f t="shared" si="19"/>
        <v>179845.66083331971</v>
      </c>
      <c r="N41" s="1263">
        <f t="shared" si="10"/>
        <v>100224.59501906054</v>
      </c>
      <c r="O41" s="1266">
        <f t="shared" si="20"/>
        <v>174359.77075034293</v>
      </c>
      <c r="P41" s="1266">
        <f t="shared" si="20"/>
        <v>174423.97431443725</v>
      </c>
      <c r="Q41" s="1266">
        <f t="shared" si="20"/>
        <v>180772.42318488029</v>
      </c>
      <c r="R41" s="1266">
        <f t="shared" si="20"/>
        <v>192339.14419182172</v>
      </c>
      <c r="S41" s="1267">
        <f t="shared" si="20"/>
        <v>195862.38590267819</v>
      </c>
    </row>
    <row r="42" spans="1:19" s="1177" customFormat="1" ht="15" x14ac:dyDescent="0.2">
      <c r="A42" s="1198">
        <v>2040</v>
      </c>
      <c r="B42" s="1268">
        <f t="shared" si="6"/>
        <v>169300</v>
      </c>
      <c r="C42" s="1269">
        <f t="shared" si="18"/>
        <v>175644.69329836991</v>
      </c>
      <c r="D42" s="1269">
        <f t="shared" si="18"/>
        <v>181137.69329836991</v>
      </c>
      <c r="E42" s="1269">
        <f t="shared" si="18"/>
        <v>351928.35996503668</v>
      </c>
      <c r="F42" s="1269">
        <f t="shared" si="18"/>
        <v>243950.35996503659</v>
      </c>
      <c r="G42" s="1270">
        <f t="shared" si="18"/>
        <v>1169300</v>
      </c>
      <c r="H42" s="1277">
        <f t="shared" si="8"/>
        <v>141725.82701295713</v>
      </c>
      <c r="I42" s="1278">
        <f t="shared" si="19"/>
        <v>176035.77558018328</v>
      </c>
      <c r="J42" s="1278">
        <f t="shared" si="19"/>
        <v>176272.19713679462</v>
      </c>
      <c r="K42" s="1278">
        <f t="shared" si="19"/>
        <v>189962.41025025313</v>
      </c>
      <c r="L42" s="1278">
        <f t="shared" si="19"/>
        <v>197023.88127652815</v>
      </c>
      <c r="M42" s="1279">
        <f t="shared" si="19"/>
        <v>179312.91692631078</v>
      </c>
      <c r="N42" s="1277">
        <f t="shared" si="10"/>
        <v>100224.59501906054</v>
      </c>
      <c r="O42" s="1278">
        <f t="shared" si="20"/>
        <v>174359.77075034293</v>
      </c>
      <c r="P42" s="1278">
        <f t="shared" si="20"/>
        <v>174423.97431443725</v>
      </c>
      <c r="Q42" s="1278">
        <f t="shared" si="20"/>
        <v>180772.42318488029</v>
      </c>
      <c r="R42" s="1278">
        <f t="shared" si="20"/>
        <v>192353.81160458527</v>
      </c>
      <c r="S42" s="1279">
        <f t="shared" si="20"/>
        <v>195502.28008558415</v>
      </c>
    </row>
    <row r="43" spans="1:19" s="1177" customFormat="1" ht="15" x14ac:dyDescent="0.2">
      <c r="A43" s="1192">
        <v>2041</v>
      </c>
      <c r="B43" s="1271">
        <f t="shared" si="6"/>
        <v>169300</v>
      </c>
      <c r="C43" s="1272">
        <f t="shared" si="18"/>
        <v>177177.13905481508</v>
      </c>
      <c r="D43" s="1272">
        <f t="shared" si="18"/>
        <v>182514.13905481508</v>
      </c>
      <c r="E43" s="1272">
        <f t="shared" si="18"/>
        <v>340008.93905481527</v>
      </c>
      <c r="F43" s="1272">
        <f t="shared" si="18"/>
        <v>240980.5390548151</v>
      </c>
      <c r="G43" s="1273">
        <f t="shared" si="18"/>
        <v>1169300</v>
      </c>
      <c r="H43" s="1271">
        <f t="shared" si="8"/>
        <v>141725.82701295713</v>
      </c>
      <c r="I43" s="1272">
        <f t="shared" si="19"/>
        <v>176035.77558018328</v>
      </c>
      <c r="J43" s="1272">
        <f t="shared" si="19"/>
        <v>176272.19713679462</v>
      </c>
      <c r="K43" s="1272">
        <f t="shared" si="19"/>
        <v>189816.0560939917</v>
      </c>
      <c r="L43" s="1272">
        <f t="shared" si="19"/>
        <v>196444.91383816721</v>
      </c>
      <c r="M43" s="1273">
        <f t="shared" si="19"/>
        <v>178780.17301930184</v>
      </c>
      <c r="N43" s="1271">
        <f t="shared" si="10"/>
        <v>100224.59501906054</v>
      </c>
      <c r="O43" s="1272">
        <f t="shared" si="20"/>
        <v>174359.77075034293</v>
      </c>
      <c r="P43" s="1272">
        <f t="shared" si="20"/>
        <v>174423.97431443725</v>
      </c>
      <c r="Q43" s="1272">
        <f t="shared" si="20"/>
        <v>180772.42318488029</v>
      </c>
      <c r="R43" s="1272">
        <f t="shared" si="20"/>
        <v>192368.47901734881</v>
      </c>
      <c r="S43" s="1273">
        <f t="shared" si="20"/>
        <v>195142.17426849008</v>
      </c>
    </row>
    <row r="44" spans="1:19" s="1177" customFormat="1" ht="15" x14ac:dyDescent="0.2">
      <c r="A44" s="1192">
        <v>2042</v>
      </c>
      <c r="B44" s="1263">
        <f t="shared" si="6"/>
        <v>169300</v>
      </c>
      <c r="C44" s="1266">
        <f t="shared" si="18"/>
        <v>179004.46680563127</v>
      </c>
      <c r="D44" s="1266">
        <f t="shared" si="18"/>
        <v>184185.46680563127</v>
      </c>
      <c r="E44" s="1266">
        <f t="shared" si="18"/>
        <v>328384.40013896482</v>
      </c>
      <c r="F44" s="1266">
        <f t="shared" si="18"/>
        <v>238305.60013896463</v>
      </c>
      <c r="G44" s="1267">
        <f t="shared" si="18"/>
        <v>1169300</v>
      </c>
      <c r="H44" s="1263">
        <f t="shared" si="8"/>
        <v>141725.82701295713</v>
      </c>
      <c r="I44" s="1266">
        <f t="shared" si="19"/>
        <v>176035.77558018328</v>
      </c>
      <c r="J44" s="1266">
        <f t="shared" si="19"/>
        <v>176272.19713679462</v>
      </c>
      <c r="K44" s="1266">
        <f t="shared" si="19"/>
        <v>189669.70193773028</v>
      </c>
      <c r="L44" s="1266">
        <f t="shared" si="19"/>
        <v>195865.94639980627</v>
      </c>
      <c r="M44" s="1267">
        <f t="shared" si="19"/>
        <v>178247.42911229291</v>
      </c>
      <c r="N44" s="1263">
        <f t="shared" si="10"/>
        <v>100224.59501906054</v>
      </c>
      <c r="O44" s="1266">
        <f t="shared" si="20"/>
        <v>174359.77075034293</v>
      </c>
      <c r="P44" s="1266">
        <f t="shared" si="20"/>
        <v>174423.97431443725</v>
      </c>
      <c r="Q44" s="1266">
        <f t="shared" si="20"/>
        <v>180772.42318488029</v>
      </c>
      <c r="R44" s="1266">
        <f t="shared" si="20"/>
        <v>192383.14643011236</v>
      </c>
      <c r="S44" s="1267">
        <f t="shared" si="20"/>
        <v>194782.06845139602</v>
      </c>
    </row>
    <row r="45" spans="1:19" s="1177" customFormat="1" ht="15" x14ac:dyDescent="0.2">
      <c r="A45" s="1192">
        <v>2043</v>
      </c>
      <c r="B45" s="1263">
        <f t="shared" si="6"/>
        <v>169300</v>
      </c>
      <c r="C45" s="1266">
        <f t="shared" si="18"/>
        <v>180946.59861474566</v>
      </c>
      <c r="D45" s="1266">
        <f t="shared" si="18"/>
        <v>185971.59861474566</v>
      </c>
      <c r="E45" s="1266">
        <f t="shared" si="18"/>
        <v>316874.66528141254</v>
      </c>
      <c r="F45" s="1266">
        <f t="shared" si="18"/>
        <v>235745.46528141235</v>
      </c>
      <c r="G45" s="1267">
        <f t="shared" si="18"/>
        <v>1169300</v>
      </c>
      <c r="H45" s="1263">
        <f t="shared" si="8"/>
        <v>141725.82701295713</v>
      </c>
      <c r="I45" s="1266">
        <f t="shared" si="19"/>
        <v>176035.77558018328</v>
      </c>
      <c r="J45" s="1266">
        <f t="shared" si="19"/>
        <v>176272.19713679462</v>
      </c>
      <c r="K45" s="1266">
        <f t="shared" si="19"/>
        <v>189523.34778146885</v>
      </c>
      <c r="L45" s="1266">
        <f t="shared" si="19"/>
        <v>195286.97896144533</v>
      </c>
      <c r="M45" s="1267">
        <f t="shared" si="19"/>
        <v>177714.68520528398</v>
      </c>
      <c r="N45" s="1263">
        <f t="shared" si="10"/>
        <v>100224.59501906054</v>
      </c>
      <c r="O45" s="1266">
        <f t="shared" si="20"/>
        <v>174359.77075034293</v>
      </c>
      <c r="P45" s="1266">
        <f t="shared" si="20"/>
        <v>174423.97431443725</v>
      </c>
      <c r="Q45" s="1266">
        <f t="shared" si="20"/>
        <v>180772.42318488029</v>
      </c>
      <c r="R45" s="1266">
        <f t="shared" si="20"/>
        <v>192397.81384287591</v>
      </c>
      <c r="S45" s="1267">
        <f t="shared" si="20"/>
        <v>194421.96263430198</v>
      </c>
    </row>
    <row r="46" spans="1:19" s="1177" customFormat="1" ht="15" x14ac:dyDescent="0.2">
      <c r="A46" s="1192">
        <v>2044</v>
      </c>
      <c r="B46" s="1263">
        <f t="shared" si="6"/>
        <v>169300</v>
      </c>
      <c r="C46" s="1266">
        <f t="shared" si="18"/>
        <v>182773.92636556184</v>
      </c>
      <c r="D46" s="1266">
        <f t="shared" si="18"/>
        <v>187642.92636556184</v>
      </c>
      <c r="E46" s="1266">
        <f t="shared" si="18"/>
        <v>305250.12636556209</v>
      </c>
      <c r="F46" s="1266">
        <f t="shared" si="18"/>
        <v>233070.52636556188</v>
      </c>
      <c r="G46" s="1267">
        <f t="shared" si="18"/>
        <v>1169300</v>
      </c>
      <c r="H46" s="1263">
        <f t="shared" si="8"/>
        <v>141725.82701295713</v>
      </c>
      <c r="I46" s="1266">
        <f t="shared" si="19"/>
        <v>176035.77558018328</v>
      </c>
      <c r="J46" s="1266">
        <f t="shared" si="19"/>
        <v>176272.19713679462</v>
      </c>
      <c r="K46" s="1266">
        <f t="shared" si="19"/>
        <v>189376.99362520743</v>
      </c>
      <c r="L46" s="1266">
        <f t="shared" si="19"/>
        <v>194708.01152308439</v>
      </c>
      <c r="M46" s="1267">
        <f t="shared" si="19"/>
        <v>177181.94129827505</v>
      </c>
      <c r="N46" s="1263">
        <f t="shared" si="10"/>
        <v>100224.59501906054</v>
      </c>
      <c r="O46" s="1266">
        <f t="shared" si="20"/>
        <v>174359.77075034293</v>
      </c>
      <c r="P46" s="1266">
        <f t="shared" si="20"/>
        <v>174423.97431443725</v>
      </c>
      <c r="Q46" s="1266">
        <f t="shared" si="20"/>
        <v>180772.42318488029</v>
      </c>
      <c r="R46" s="1266">
        <f t="shared" si="20"/>
        <v>192412.48125563946</v>
      </c>
      <c r="S46" s="1267">
        <f t="shared" si="20"/>
        <v>194061.85681720794</v>
      </c>
    </row>
    <row r="47" spans="1:19" s="1177" customFormat="1" ht="15" x14ac:dyDescent="0.2">
      <c r="A47" s="1198">
        <v>2045</v>
      </c>
      <c r="B47" s="1268">
        <f t="shared" si="6"/>
        <v>169300</v>
      </c>
      <c r="C47" s="1269">
        <f t="shared" si="18"/>
        <v>184306.37212200701</v>
      </c>
      <c r="D47" s="1269">
        <f t="shared" si="18"/>
        <v>189019.37212200701</v>
      </c>
      <c r="E47" s="1269">
        <f t="shared" si="18"/>
        <v>293330.70545534056</v>
      </c>
      <c r="F47" s="1269">
        <f t="shared" si="18"/>
        <v>230100.70545534039</v>
      </c>
      <c r="G47" s="1270">
        <f t="shared" si="18"/>
        <v>1169300</v>
      </c>
      <c r="H47" s="1268">
        <f t="shared" si="8"/>
        <v>141725.82701295713</v>
      </c>
      <c r="I47" s="1269">
        <f t="shared" si="19"/>
        <v>176035.77558018328</v>
      </c>
      <c r="J47" s="1269">
        <f t="shared" si="19"/>
        <v>176272.19713679462</v>
      </c>
      <c r="K47" s="1269">
        <f t="shared" si="19"/>
        <v>189230.639468946</v>
      </c>
      <c r="L47" s="1269">
        <f t="shared" si="19"/>
        <v>194129.04408472346</v>
      </c>
      <c r="M47" s="1270">
        <f t="shared" si="19"/>
        <v>176649.19739126612</v>
      </c>
      <c r="N47" s="1268">
        <f t="shared" si="10"/>
        <v>100224.59501906054</v>
      </c>
      <c r="O47" s="1269">
        <f t="shared" si="20"/>
        <v>174359.77075034293</v>
      </c>
      <c r="P47" s="1269">
        <f t="shared" si="20"/>
        <v>174423.97431443725</v>
      </c>
      <c r="Q47" s="1269">
        <f t="shared" si="20"/>
        <v>180772.42318488029</v>
      </c>
      <c r="R47" s="1269">
        <f t="shared" si="20"/>
        <v>192427.14866840301</v>
      </c>
      <c r="S47" s="1270">
        <f t="shared" si="20"/>
        <v>193701.75100011387</v>
      </c>
    </row>
    <row r="48" spans="1:19" s="1177" customFormat="1" ht="15" x14ac:dyDescent="0.2">
      <c r="A48" s="1192">
        <v>2046</v>
      </c>
      <c r="B48" s="1271">
        <f t="shared" si="6"/>
        <v>169300</v>
      </c>
      <c r="C48" s="1272">
        <f t="shared" si="18"/>
        <v>185472.29372336506</v>
      </c>
      <c r="D48" s="1272">
        <f t="shared" si="18"/>
        <v>190029.29372336506</v>
      </c>
      <c r="E48" s="1272">
        <f t="shared" si="18"/>
        <v>281044.76039003197</v>
      </c>
      <c r="F48" s="1272">
        <f t="shared" si="18"/>
        <v>226764.36039003177</v>
      </c>
      <c r="G48" s="1273">
        <f t="shared" si="18"/>
        <v>1169300</v>
      </c>
      <c r="H48" s="1271">
        <f t="shared" si="8"/>
        <v>141725.82701295713</v>
      </c>
      <c r="I48" s="1272">
        <f t="shared" si="19"/>
        <v>176035.77558018328</v>
      </c>
      <c r="J48" s="1272">
        <f t="shared" si="19"/>
        <v>176272.19713679462</v>
      </c>
      <c r="K48" s="1272">
        <f t="shared" si="19"/>
        <v>189084.28531268457</v>
      </c>
      <c r="L48" s="1272">
        <f t="shared" si="19"/>
        <v>193550.07664636252</v>
      </c>
      <c r="M48" s="1273">
        <f t="shared" si="19"/>
        <v>176116.45348425719</v>
      </c>
      <c r="N48" s="1271">
        <f t="shared" si="10"/>
        <v>100224.59501906054</v>
      </c>
      <c r="O48" s="1272">
        <f t="shared" si="20"/>
        <v>174359.77075034293</v>
      </c>
      <c r="P48" s="1272">
        <f t="shared" si="20"/>
        <v>174423.97431443725</v>
      </c>
      <c r="Q48" s="1272">
        <f t="shared" si="20"/>
        <v>180772.42318488029</v>
      </c>
      <c r="R48" s="1272">
        <f t="shared" si="20"/>
        <v>192441.81608116656</v>
      </c>
      <c r="S48" s="1273">
        <f t="shared" si="20"/>
        <v>193341.64518301981</v>
      </c>
    </row>
    <row r="49" spans="1:19" s="1177" customFormat="1" ht="15" x14ac:dyDescent="0.2">
      <c r="A49" s="1192">
        <v>2047</v>
      </c>
      <c r="B49" s="1263">
        <f t="shared" si="6"/>
        <v>169300</v>
      </c>
      <c r="C49" s="1266">
        <f t="shared" si="18"/>
        <v>186295.32125247119</v>
      </c>
      <c r="D49" s="1266">
        <f t="shared" si="18"/>
        <v>190696.32125247119</v>
      </c>
      <c r="E49" s="1266">
        <f t="shared" si="18"/>
        <v>268415.92125247139</v>
      </c>
      <c r="F49" s="1266">
        <f t="shared" si="18"/>
        <v>223085.12125247123</v>
      </c>
      <c r="G49" s="1267">
        <f t="shared" si="18"/>
        <v>1169300</v>
      </c>
      <c r="H49" s="1263">
        <f t="shared" si="8"/>
        <v>141725.82701295713</v>
      </c>
      <c r="I49" s="1266">
        <f t="shared" si="19"/>
        <v>176035.77558018328</v>
      </c>
      <c r="J49" s="1266">
        <f t="shared" si="19"/>
        <v>176272.19713679462</v>
      </c>
      <c r="K49" s="1266">
        <f t="shared" si="19"/>
        <v>188937.93115642315</v>
      </c>
      <c r="L49" s="1266">
        <f t="shared" si="19"/>
        <v>192971.10920800158</v>
      </c>
      <c r="M49" s="1267">
        <f t="shared" si="19"/>
        <v>175583.70957724826</v>
      </c>
      <c r="N49" s="1263">
        <f t="shared" si="10"/>
        <v>100224.59501906054</v>
      </c>
      <c r="O49" s="1266">
        <f t="shared" si="20"/>
        <v>174359.77075034293</v>
      </c>
      <c r="P49" s="1266">
        <f t="shared" si="20"/>
        <v>174423.97431443725</v>
      </c>
      <c r="Q49" s="1266">
        <f t="shared" si="20"/>
        <v>180772.42318488029</v>
      </c>
      <c r="R49" s="1266">
        <f t="shared" si="20"/>
        <v>192456.48349393011</v>
      </c>
      <c r="S49" s="1267">
        <f t="shared" si="20"/>
        <v>192981.53936592577</v>
      </c>
    </row>
    <row r="50" spans="1:19" s="1177" customFormat="1" ht="15" x14ac:dyDescent="0.2">
      <c r="A50" s="1192">
        <v>2048</v>
      </c>
      <c r="B50" s="1263">
        <f t="shared" si="6"/>
        <v>169300</v>
      </c>
      <c r="C50" s="1266">
        <f t="shared" si="18"/>
        <v>186846.05210078892</v>
      </c>
      <c r="D50" s="1266">
        <f t="shared" si="18"/>
        <v>191091.05210078892</v>
      </c>
      <c r="E50" s="1266">
        <f t="shared" si="18"/>
        <v>255514.78543412249</v>
      </c>
      <c r="F50" s="1266">
        <f t="shared" si="18"/>
        <v>219133.5854341223</v>
      </c>
      <c r="G50" s="1267">
        <f t="shared" si="18"/>
        <v>1169300</v>
      </c>
      <c r="H50" s="1263">
        <f t="shared" si="8"/>
        <v>141725.82701295713</v>
      </c>
      <c r="I50" s="1266">
        <f t="shared" si="19"/>
        <v>176035.77558018328</v>
      </c>
      <c r="J50" s="1266">
        <f t="shared" si="19"/>
        <v>176272.19713679462</v>
      </c>
      <c r="K50" s="1266">
        <f t="shared" si="19"/>
        <v>188791.57700016172</v>
      </c>
      <c r="L50" s="1266">
        <f t="shared" si="19"/>
        <v>192392.14176964064</v>
      </c>
      <c r="M50" s="1267">
        <f t="shared" si="19"/>
        <v>175050.96567023933</v>
      </c>
      <c r="N50" s="1263">
        <f t="shared" si="10"/>
        <v>100224.59501906054</v>
      </c>
      <c r="O50" s="1266">
        <f t="shared" si="20"/>
        <v>174359.77075034293</v>
      </c>
      <c r="P50" s="1266">
        <f t="shared" si="20"/>
        <v>174423.97431443725</v>
      </c>
      <c r="Q50" s="1266">
        <f t="shared" si="20"/>
        <v>180772.42318488029</v>
      </c>
      <c r="R50" s="1266">
        <f t="shared" si="20"/>
        <v>192471.15090669366</v>
      </c>
      <c r="S50" s="1267">
        <f t="shared" si="20"/>
        <v>192621.43354883173</v>
      </c>
    </row>
    <row r="51" spans="1:19" s="1177" customFormat="1" ht="15" x14ac:dyDescent="0.2">
      <c r="A51" s="1192">
        <v>2049</v>
      </c>
      <c r="B51" s="1263">
        <f t="shared" si="6"/>
        <v>169300</v>
      </c>
      <c r="C51" s="1266">
        <f t="shared" si="18"/>
        <v>187201.5116291483</v>
      </c>
      <c r="D51" s="1266">
        <f t="shared" si="18"/>
        <v>191290.5116291483</v>
      </c>
      <c r="E51" s="1266">
        <f t="shared" si="18"/>
        <v>242418.3782958152</v>
      </c>
      <c r="F51" s="1266">
        <f t="shared" si="18"/>
        <v>214986.77829581502</v>
      </c>
      <c r="G51" s="1267">
        <f t="shared" si="18"/>
        <v>1169300</v>
      </c>
      <c r="H51" s="1263">
        <f t="shared" si="8"/>
        <v>141725.82701295713</v>
      </c>
      <c r="I51" s="1266">
        <f t="shared" si="19"/>
        <v>176035.77558018328</v>
      </c>
      <c r="J51" s="1266">
        <f t="shared" si="19"/>
        <v>176272.19713679462</v>
      </c>
      <c r="K51" s="1266">
        <f t="shared" si="19"/>
        <v>188645.22284390029</v>
      </c>
      <c r="L51" s="1266">
        <f t="shared" si="19"/>
        <v>191813.1743312797</v>
      </c>
      <c r="M51" s="1267">
        <f t="shared" si="19"/>
        <v>174518.22176323039</v>
      </c>
      <c r="N51" s="1263">
        <f t="shared" si="10"/>
        <v>100224.59501906054</v>
      </c>
      <c r="O51" s="1266">
        <f t="shared" si="20"/>
        <v>174359.77075034293</v>
      </c>
      <c r="P51" s="1266">
        <f t="shared" si="20"/>
        <v>174423.97431443725</v>
      </c>
      <c r="Q51" s="1266">
        <f t="shared" si="20"/>
        <v>180772.42318488029</v>
      </c>
      <c r="R51" s="1266">
        <f t="shared" si="20"/>
        <v>192485.8183194572</v>
      </c>
      <c r="S51" s="1267">
        <f t="shared" si="20"/>
        <v>192261.32773173766</v>
      </c>
    </row>
    <row r="52" spans="1:19" s="1177" customFormat="1" ht="16" thickBot="1" x14ac:dyDescent="0.25">
      <c r="A52" s="1205">
        <v>2050</v>
      </c>
      <c r="B52" s="1274">
        <f t="shared" si="6"/>
        <v>169300</v>
      </c>
      <c r="C52" s="1275">
        <f t="shared" si="18"/>
        <v>187784.47894166573</v>
      </c>
      <c r="D52" s="1275">
        <f t="shared" si="18"/>
        <v>191717.47894166573</v>
      </c>
      <c r="E52" s="1275">
        <f t="shared" si="18"/>
        <v>229549.47894166573</v>
      </c>
      <c r="F52" s="1275">
        <f t="shared" si="18"/>
        <v>211067.47894166573</v>
      </c>
      <c r="G52" s="1276">
        <f t="shared" si="18"/>
        <v>1169300</v>
      </c>
      <c r="H52" s="1274">
        <f t="shared" si="8"/>
        <v>141725.82701295713</v>
      </c>
      <c r="I52" s="1275">
        <f t="shared" si="19"/>
        <v>176035.77558018328</v>
      </c>
      <c r="J52" s="1275">
        <f t="shared" si="19"/>
        <v>176272.19713679462</v>
      </c>
      <c r="K52" s="1275">
        <f t="shared" si="19"/>
        <v>188498.86868763875</v>
      </c>
      <c r="L52" s="1275">
        <f t="shared" si="19"/>
        <v>191234.20689291874</v>
      </c>
      <c r="M52" s="1276">
        <f t="shared" si="19"/>
        <v>173985.47785622161</v>
      </c>
      <c r="N52" s="1274">
        <f t="shared" si="10"/>
        <v>100224.59501906054</v>
      </c>
      <c r="O52" s="1275">
        <f t="shared" si="20"/>
        <v>174359.77075034293</v>
      </c>
      <c r="P52" s="1275">
        <f t="shared" si="20"/>
        <v>174423.97431443725</v>
      </c>
      <c r="Q52" s="1275">
        <f t="shared" si="20"/>
        <v>180772.42318488029</v>
      </c>
      <c r="R52" s="1275">
        <f t="shared" si="20"/>
        <v>192500.48573222072</v>
      </c>
      <c r="S52" s="1276">
        <f t="shared" si="20"/>
        <v>191901.22191464357</v>
      </c>
    </row>
  </sheetData>
  <mergeCells count="6">
    <mergeCell ref="B4:G4"/>
    <mergeCell ref="H4:M4"/>
    <mergeCell ref="N4:S4"/>
    <mergeCell ref="B5:G5"/>
    <mergeCell ref="H5:M5"/>
    <mergeCell ref="N5:S5"/>
  </mergeCells>
  <conditionalFormatting sqref="B6:S52">
    <cfRule type="expression" dxfId="13" priority="1">
      <formula>B$7="not used"</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zoomScale="85" zoomScaleNormal="85" workbookViewId="0">
      <selection activeCell="O14" sqref="O14"/>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2"/>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4" t="s">
        <v>291</v>
      </c>
    </row>
    <row r="2" spans="1:31" x14ac:dyDescent="0.2">
      <c r="M2" s="1625" t="s">
        <v>365</v>
      </c>
      <c r="N2" s="1626"/>
    </row>
    <row r="3" spans="1:31" x14ac:dyDescent="0.2">
      <c r="M3" s="1627"/>
      <c r="N3" s="1628"/>
      <c r="P3" s="1132" t="s">
        <v>358</v>
      </c>
    </row>
    <row r="4" spans="1:31" ht="15" thickBot="1" x14ac:dyDescent="0.25">
      <c r="J4" s="1381" t="b">
        <v>1</v>
      </c>
      <c r="K4" s="1381" t="b">
        <v>1</v>
      </c>
      <c r="M4" s="1128" t="s">
        <v>294</v>
      </c>
      <c r="N4" s="1129">
        <v>4</v>
      </c>
    </row>
    <row r="5" spans="1:31" ht="15" thickBot="1" x14ac:dyDescent="0.25">
      <c r="B5" s="1169"/>
      <c r="C5" s="1164" t="str">
        <f t="array" ref="C5:K5">Fuels</f>
        <v>LPG</v>
      </c>
      <c r="D5" s="1164" t="str">
        <v>E85</v>
      </c>
      <c r="E5" s="1164" t="str">
        <v>Gasoline</v>
      </c>
      <c r="F5" s="1164" t="str">
        <v>Jet Fuel</v>
      </c>
      <c r="G5" s="1164" t="str">
        <v>Diesel</v>
      </c>
      <c r="H5" s="1164" t="str">
        <v>Residual Fuel Oil</v>
      </c>
      <c r="I5" s="1164" t="str">
        <v>CNG</v>
      </c>
      <c r="J5" s="1520" t="str">
        <v>Electricity</v>
      </c>
      <c r="K5" s="1521" t="str">
        <v>Hydrogen</v>
      </c>
      <c r="M5" s="1128" t="s">
        <v>295</v>
      </c>
      <c r="N5" s="1129">
        <v>0.5</v>
      </c>
      <c r="P5" s="1133" t="s">
        <v>289</v>
      </c>
      <c r="Q5" s="571" t="s">
        <v>290</v>
      </c>
      <c r="W5" s="1116"/>
    </row>
    <row r="6" spans="1:31" ht="15" thickBot="1" x14ac:dyDescent="0.25">
      <c r="B6" s="1161">
        <v>2007</v>
      </c>
      <c r="C6" s="1165">
        <v>1</v>
      </c>
      <c r="D6" s="1166">
        <v>1</v>
      </c>
      <c r="E6" s="1166">
        <v>1</v>
      </c>
      <c r="F6" s="1166">
        <v>1</v>
      </c>
      <c r="G6" s="1166">
        <v>1</v>
      </c>
      <c r="H6" s="1166">
        <v>1</v>
      </c>
      <c r="I6" s="1166">
        <v>1</v>
      </c>
      <c r="J6" s="1305">
        <f>IF(J$4,VLOOKUP(Q23/Y23,$M$9:$N$109,2),1)</f>
        <v>0</v>
      </c>
      <c r="K6" s="1306">
        <f>IF(K$4,VLOOKUP(U23/Y23,$M$9:$N$109,2),1)</f>
        <v>0</v>
      </c>
      <c r="M6" s="1130" t="s">
        <v>296</v>
      </c>
      <c r="N6" s="1131">
        <v>1</v>
      </c>
      <c r="P6" s="1132" t="s">
        <v>331</v>
      </c>
      <c r="Q6" s="496">
        <v>2</v>
      </c>
    </row>
    <row r="7" spans="1:31" x14ac:dyDescent="0.2">
      <c r="B7" s="1161">
        <v>2008</v>
      </c>
      <c r="C7" s="1167">
        <v>1</v>
      </c>
      <c r="D7" s="1159">
        <v>1</v>
      </c>
      <c r="E7" s="1159">
        <v>1</v>
      </c>
      <c r="F7" s="1159">
        <v>1</v>
      </c>
      <c r="G7" s="1159">
        <v>1</v>
      </c>
      <c r="H7" s="1159">
        <v>1</v>
      </c>
      <c r="I7" s="1159">
        <v>1</v>
      </c>
      <c r="J7" s="1307">
        <f t="shared" ref="J7:J49" si="0">IF(J$4,VLOOKUP(Q24/Y24,$M$9:$N$109,2),1)</f>
        <v>0</v>
      </c>
      <c r="K7" s="1308">
        <f t="shared" ref="K7:K49" si="1">IF(K$4,VLOOKUP(U24/Y24,$M$9:$N$109,2),1)</f>
        <v>0</v>
      </c>
      <c r="P7" s="1134" t="s">
        <v>3</v>
      </c>
      <c r="Q7" s="1117" t="s">
        <v>6</v>
      </c>
      <c r="R7" s="1117" t="s">
        <v>285</v>
      </c>
      <c r="S7" s="1117" t="s">
        <v>286</v>
      </c>
      <c r="T7" s="1117" t="s">
        <v>287</v>
      </c>
      <c r="U7" s="1117" t="s">
        <v>207</v>
      </c>
      <c r="V7" s="1117" t="s">
        <v>288</v>
      </c>
      <c r="W7" s="1117" t="s">
        <v>1</v>
      </c>
      <c r="X7" s="1117" t="s">
        <v>50</v>
      </c>
      <c r="Y7" s="538" t="s">
        <v>0</v>
      </c>
      <c r="Z7" s="1352" t="s">
        <v>412</v>
      </c>
      <c r="AD7" s="496" t="s">
        <v>6</v>
      </c>
      <c r="AE7" s="496" t="s">
        <v>207</v>
      </c>
    </row>
    <row r="8" spans="1:31" x14ac:dyDescent="0.2">
      <c r="B8" s="1161">
        <v>2009</v>
      </c>
      <c r="C8" s="1167">
        <v>1</v>
      </c>
      <c r="D8" s="1159">
        <v>1</v>
      </c>
      <c r="E8" s="1159">
        <v>1</v>
      </c>
      <c r="F8" s="1159">
        <v>1</v>
      </c>
      <c r="G8" s="1159">
        <v>1</v>
      </c>
      <c r="H8" s="1159">
        <v>1</v>
      </c>
      <c r="I8" s="1159">
        <v>1</v>
      </c>
      <c r="J8" s="1307">
        <f t="shared" si="0"/>
        <v>0</v>
      </c>
      <c r="K8" s="1308">
        <f t="shared" si="1"/>
        <v>0</v>
      </c>
      <c r="M8" s="496" t="s">
        <v>292</v>
      </c>
      <c r="N8" s="496" t="s">
        <v>293</v>
      </c>
      <c r="P8" s="1135">
        <v>1992</v>
      </c>
      <c r="Q8" s="1118"/>
      <c r="R8" s="1118">
        <v>3297</v>
      </c>
      <c r="S8" s="1118">
        <v>43</v>
      </c>
      <c r="T8" s="1118"/>
      <c r="U8" s="1118"/>
      <c r="V8" s="1118"/>
      <c r="W8" s="1118">
        <v>349</v>
      </c>
      <c r="X8" s="1118">
        <v>2</v>
      </c>
      <c r="Y8" s="1127"/>
      <c r="AC8" s="496">
        <v>1992</v>
      </c>
      <c r="AD8" s="1302" t="e">
        <f>Table1[[#This Row],[Electricity]]/Table1[[#This Row],[Gasoline]]</f>
        <v>#DIV/0!</v>
      </c>
      <c r="AE8" s="1302" t="e">
        <f>Table1[[#This Row],[Hydrogen]]/Table1[[#This Row],[Gasoline]]</f>
        <v>#DIV/0!</v>
      </c>
    </row>
    <row r="9" spans="1:31" x14ac:dyDescent="0.2">
      <c r="B9" s="1162">
        <v>2010</v>
      </c>
      <c r="C9" s="1167">
        <v>1</v>
      </c>
      <c r="D9" s="1159">
        <v>1</v>
      </c>
      <c r="E9" s="1159">
        <v>1</v>
      </c>
      <c r="F9" s="1159">
        <v>1</v>
      </c>
      <c r="G9" s="1159">
        <v>1</v>
      </c>
      <c r="H9" s="1159">
        <v>1</v>
      </c>
      <c r="I9" s="1159">
        <v>1</v>
      </c>
      <c r="J9" s="1307">
        <f t="shared" si="0"/>
        <v>0</v>
      </c>
      <c r="K9" s="1308">
        <f t="shared" si="1"/>
        <v>0</v>
      </c>
      <c r="M9" s="1303">
        <v>0</v>
      </c>
      <c r="N9" s="1288">
        <f t="shared" ref="N9:N40" si="2">WEIBULL(M9,$N$4,$N$5,$N$6)</f>
        <v>0</v>
      </c>
      <c r="P9" s="1135">
        <v>1993</v>
      </c>
      <c r="Q9" s="1118"/>
      <c r="R9" s="1118">
        <v>3297</v>
      </c>
      <c r="S9" s="1118">
        <v>50</v>
      </c>
      <c r="T9" s="1118"/>
      <c r="U9" s="1118"/>
      <c r="V9" s="1118"/>
      <c r="W9" s="1118">
        <v>497</v>
      </c>
      <c r="X9" s="1118">
        <v>7</v>
      </c>
      <c r="Y9" s="1127"/>
      <c r="AC9" s="496">
        <v>1993</v>
      </c>
      <c r="AD9" s="1302" t="e">
        <f>Table1[[#This Row],[Electricity]]/Table1[[#This Row],[Gasoline]]</f>
        <v>#DIV/0!</v>
      </c>
      <c r="AE9" s="1302" t="e">
        <f>Table1[[#This Row],[Hydrogen]]/Table1[[#This Row],[Gasoline]]</f>
        <v>#DIV/0!</v>
      </c>
    </row>
    <row r="10" spans="1:31" x14ac:dyDescent="0.2">
      <c r="B10" s="1162">
        <v>2011</v>
      </c>
      <c r="C10" s="1167">
        <v>1</v>
      </c>
      <c r="D10" s="1159">
        <v>1</v>
      </c>
      <c r="E10" s="1159">
        <v>1</v>
      </c>
      <c r="F10" s="1159">
        <v>1</v>
      </c>
      <c r="G10" s="1159">
        <v>1</v>
      </c>
      <c r="H10" s="1159">
        <v>1</v>
      </c>
      <c r="I10" s="1159">
        <v>1</v>
      </c>
      <c r="J10" s="1307">
        <f t="shared" si="0"/>
        <v>1.5999998720000074E-7</v>
      </c>
      <c r="K10" s="1308">
        <f t="shared" si="1"/>
        <v>0</v>
      </c>
      <c r="M10" s="1303">
        <v>0.01</v>
      </c>
      <c r="N10" s="1288">
        <f t="shared" si="2"/>
        <v>1.5999998720000074E-7</v>
      </c>
      <c r="P10" s="1135">
        <v>1994</v>
      </c>
      <c r="Q10" s="1118"/>
      <c r="R10" s="1118">
        <v>3299</v>
      </c>
      <c r="S10" s="1118">
        <v>82</v>
      </c>
      <c r="T10" s="1118"/>
      <c r="U10" s="1118"/>
      <c r="V10" s="1118"/>
      <c r="W10" s="1118">
        <v>1042</v>
      </c>
      <c r="X10" s="1118">
        <v>32</v>
      </c>
      <c r="Y10" s="1127"/>
      <c r="AC10" s="496">
        <v>1994</v>
      </c>
      <c r="AD10" s="1302" t="e">
        <f>Table1[[#This Row],[Electricity]]/Table1[[#This Row],[Gasoline]]</f>
        <v>#DIV/0!</v>
      </c>
      <c r="AE10" s="1302" t="e">
        <f>Table1[[#This Row],[Hydrogen]]/Table1[[#This Row],[Gasoline]]</f>
        <v>#DIV/0!</v>
      </c>
    </row>
    <row r="11" spans="1:31" x14ac:dyDescent="0.2">
      <c r="B11" s="1162">
        <v>2012</v>
      </c>
      <c r="C11" s="1167">
        <v>1</v>
      </c>
      <c r="D11" s="1159">
        <v>1</v>
      </c>
      <c r="E11" s="1159">
        <v>1</v>
      </c>
      <c r="F11" s="1159">
        <v>1</v>
      </c>
      <c r="G11" s="1159">
        <v>1</v>
      </c>
      <c r="H11" s="1159">
        <v>1</v>
      </c>
      <c r="I11" s="1159">
        <v>1</v>
      </c>
      <c r="J11" s="1307">
        <f t="shared" si="0"/>
        <v>4.0959161150653103E-5</v>
      </c>
      <c r="K11" s="1308">
        <f t="shared" si="1"/>
        <v>0</v>
      </c>
      <c r="M11" s="1303">
        <f>M10+0.01</f>
        <v>0.02</v>
      </c>
      <c r="N11" s="1288">
        <f t="shared" si="2"/>
        <v>2.559996723202798E-6</v>
      </c>
      <c r="P11" s="1135">
        <v>1995</v>
      </c>
      <c r="Q11" s="1118">
        <f>188</f>
        <v>188</v>
      </c>
      <c r="R11" s="1118">
        <v>3299</v>
      </c>
      <c r="S11" s="1118">
        <v>88</v>
      </c>
      <c r="T11" s="1118"/>
      <c r="U11" s="1118"/>
      <c r="V11" s="1118"/>
      <c r="W11" s="1118">
        <v>1065</v>
      </c>
      <c r="X11" s="1118">
        <v>37</v>
      </c>
      <c r="Y11" s="1127"/>
      <c r="AC11" s="496">
        <v>1995</v>
      </c>
      <c r="AD11" s="1302" t="e">
        <f>Table1[[#This Row],[Electricity]]/Table1[[#This Row],[Gasoline]]</f>
        <v>#DIV/0!</v>
      </c>
      <c r="AE11" s="1302" t="e">
        <f>Table1[[#This Row],[Hydrogen]]/Table1[[#This Row],[Gasoline]]</f>
        <v>#DIV/0!</v>
      </c>
    </row>
    <row r="12" spans="1:31" x14ac:dyDescent="0.2">
      <c r="B12" s="1162">
        <v>2013</v>
      </c>
      <c r="C12" s="1167">
        <v>1</v>
      </c>
      <c r="D12" s="1159">
        <v>1</v>
      </c>
      <c r="E12" s="1159">
        <v>1</v>
      </c>
      <c r="F12" s="1159">
        <v>1</v>
      </c>
      <c r="G12" s="1159">
        <v>1</v>
      </c>
      <c r="H12" s="1159">
        <v>1</v>
      </c>
      <c r="I12" s="1159">
        <v>1</v>
      </c>
      <c r="J12" s="1307">
        <f t="shared" si="0"/>
        <v>2.0733850240113979E-4</v>
      </c>
      <c r="K12" s="1308">
        <f t="shared" si="1"/>
        <v>0</v>
      </c>
      <c r="M12" s="1303">
        <f t="shared" ref="M12:M75" si="3">M11+0.01</f>
        <v>0.03</v>
      </c>
      <c r="N12" s="1288">
        <f t="shared" si="2"/>
        <v>1.2959916019562793E-5</v>
      </c>
      <c r="P12" s="1135">
        <v>1996</v>
      </c>
      <c r="Q12" s="1118">
        <f>194</f>
        <v>194</v>
      </c>
      <c r="R12" s="1118">
        <v>4252</v>
      </c>
      <c r="S12" s="1118">
        <v>95</v>
      </c>
      <c r="T12" s="1118">
        <v>72</v>
      </c>
      <c r="U12" s="1118"/>
      <c r="V12" s="1118"/>
      <c r="W12" s="1118">
        <v>1419</v>
      </c>
      <c r="X12" s="1118">
        <v>68</v>
      </c>
      <c r="Y12" s="1127">
        <v>190246</v>
      </c>
      <c r="AC12" s="496">
        <v>1996</v>
      </c>
      <c r="AD12" s="1302">
        <f>Table1[[#This Row],[Electricity]]/Table1[[#This Row],[Gasoline]]</f>
        <v>1.0197323465407945E-3</v>
      </c>
      <c r="AE12" s="1302">
        <f>Table1[[#This Row],[Hydrogen]]/Table1[[#This Row],[Gasoline]]</f>
        <v>0</v>
      </c>
    </row>
    <row r="13" spans="1:31" x14ac:dyDescent="0.2">
      <c r="B13" s="1162">
        <v>2014</v>
      </c>
      <c r="C13" s="1167">
        <v>1</v>
      </c>
      <c r="D13" s="1159">
        <v>1</v>
      </c>
      <c r="E13" s="1159">
        <v>1</v>
      </c>
      <c r="F13" s="1159">
        <v>1</v>
      </c>
      <c r="G13" s="1159">
        <v>1</v>
      </c>
      <c r="H13" s="1159">
        <v>1</v>
      </c>
      <c r="I13" s="1159">
        <v>1</v>
      </c>
      <c r="J13" s="1307">
        <f t="shared" si="0"/>
        <v>6.5514529854001074E-4</v>
      </c>
      <c r="K13" s="1308">
        <f t="shared" si="1"/>
        <v>0</v>
      </c>
      <c r="M13" s="1303">
        <f t="shared" si="3"/>
        <v>0.04</v>
      </c>
      <c r="N13" s="1288">
        <f t="shared" si="2"/>
        <v>4.0959161150653103E-5</v>
      </c>
      <c r="P13" s="1135">
        <v>1997</v>
      </c>
      <c r="Q13" s="1118">
        <f>310</f>
        <v>310</v>
      </c>
      <c r="R13" s="1118">
        <v>4255</v>
      </c>
      <c r="S13" s="1118">
        <v>106</v>
      </c>
      <c r="T13" s="1118">
        <v>71</v>
      </c>
      <c r="U13" s="1118"/>
      <c r="V13" s="1118"/>
      <c r="W13" s="1118">
        <v>1426</v>
      </c>
      <c r="X13" s="1118">
        <v>71</v>
      </c>
      <c r="Y13" s="1127">
        <v>187892</v>
      </c>
      <c r="AC13" s="496">
        <v>1997</v>
      </c>
      <c r="AD13" s="1302">
        <f>Table1[[#This Row],[Electricity]]/Table1[[#This Row],[Gasoline]]</f>
        <v>1.6498839759010496E-3</v>
      </c>
      <c r="AE13" s="1302">
        <f>Table1[[#This Row],[Hydrogen]]/Table1[[#This Row],[Gasoline]]</f>
        <v>0</v>
      </c>
    </row>
    <row r="14" spans="1:31" x14ac:dyDescent="0.2">
      <c r="B14" s="1162">
        <v>2015</v>
      </c>
      <c r="C14" s="1167">
        <v>1</v>
      </c>
      <c r="D14" s="1159">
        <v>1</v>
      </c>
      <c r="E14" s="1159">
        <v>1</v>
      </c>
      <c r="F14" s="1159">
        <v>1</v>
      </c>
      <c r="G14" s="1159">
        <v>1</v>
      </c>
      <c r="H14" s="1159">
        <v>1</v>
      </c>
      <c r="I14" s="1159">
        <v>1</v>
      </c>
      <c r="J14" s="1307">
        <f t="shared" si="0"/>
        <v>1.0492091947258413E-3</v>
      </c>
      <c r="K14" s="1308">
        <f t="shared" si="1"/>
        <v>0</v>
      </c>
      <c r="M14" s="1303">
        <f t="shared" si="3"/>
        <v>0.05</v>
      </c>
      <c r="N14" s="1288">
        <f t="shared" si="2"/>
        <v>9.999500016666259E-5</v>
      </c>
      <c r="P14" s="1135">
        <v>1998</v>
      </c>
      <c r="Q14" s="1118">
        <f>486</f>
        <v>486</v>
      </c>
      <c r="R14" s="1118">
        <v>5318</v>
      </c>
      <c r="S14" s="1118">
        <v>91</v>
      </c>
      <c r="T14" s="1118">
        <v>66</v>
      </c>
      <c r="U14" s="1118"/>
      <c r="V14" s="1118"/>
      <c r="W14" s="1118">
        <v>1268</v>
      </c>
      <c r="X14" s="1118">
        <v>40</v>
      </c>
      <c r="Y14" s="1127">
        <v>182596</v>
      </c>
      <c r="AC14" s="496">
        <v>1998</v>
      </c>
      <c r="AD14" s="1302">
        <f>Table1[[#This Row],[Electricity]]/Table1[[#This Row],[Gasoline]]</f>
        <v>2.6616136169467018E-3</v>
      </c>
      <c r="AE14" s="1302">
        <f>Table1[[#This Row],[Hydrogen]]/Table1[[#This Row],[Gasoline]]</f>
        <v>0</v>
      </c>
    </row>
    <row r="15" spans="1:31" x14ac:dyDescent="0.2">
      <c r="B15" s="1162">
        <v>2016</v>
      </c>
      <c r="C15" s="1167">
        <v>1</v>
      </c>
      <c r="D15" s="1159">
        <v>1</v>
      </c>
      <c r="E15" s="1159">
        <v>1</v>
      </c>
      <c r="F15" s="1159">
        <v>1</v>
      </c>
      <c r="G15" s="1159">
        <v>1</v>
      </c>
      <c r="H15" s="1159">
        <v>1</v>
      </c>
      <c r="I15" s="1159">
        <v>1</v>
      </c>
      <c r="J15" s="1307">
        <f t="shared" si="0"/>
        <v>4.5593345334435922E-3</v>
      </c>
      <c r="K15" s="1308">
        <f t="shared" si="1"/>
        <v>0</v>
      </c>
      <c r="M15" s="1303">
        <f t="shared" si="3"/>
        <v>6.0000000000000005E-2</v>
      </c>
      <c r="N15" s="1288">
        <f t="shared" si="2"/>
        <v>2.0733850240113979E-4</v>
      </c>
      <c r="P15" s="1135">
        <v>1999</v>
      </c>
      <c r="Q15" s="1118">
        <f>490</f>
        <v>490</v>
      </c>
      <c r="R15" s="1118">
        <v>4153</v>
      </c>
      <c r="S15" s="1118">
        <v>51</v>
      </c>
      <c r="T15" s="1118">
        <v>46</v>
      </c>
      <c r="U15" s="1118"/>
      <c r="V15" s="1118"/>
      <c r="W15" s="1118">
        <v>1267</v>
      </c>
      <c r="X15" s="1118">
        <v>49</v>
      </c>
      <c r="Y15" s="1127">
        <v>180567</v>
      </c>
      <c r="AC15" s="496">
        <v>1999</v>
      </c>
      <c r="AD15" s="1302">
        <f>Table1[[#This Row],[Electricity]]/Table1[[#This Row],[Gasoline]]</f>
        <v>2.7136741486539621E-3</v>
      </c>
      <c r="AE15" s="1302">
        <f>Table1[[#This Row],[Hydrogen]]/Table1[[#This Row],[Gasoline]]</f>
        <v>0</v>
      </c>
    </row>
    <row r="16" spans="1:31" x14ac:dyDescent="0.2">
      <c r="B16" s="1162">
        <v>2017</v>
      </c>
      <c r="C16" s="1167">
        <v>1</v>
      </c>
      <c r="D16" s="1159">
        <v>1</v>
      </c>
      <c r="E16" s="1159">
        <v>1</v>
      </c>
      <c r="F16" s="1159">
        <v>1</v>
      </c>
      <c r="G16" s="1159">
        <v>1</v>
      </c>
      <c r="H16" s="1159">
        <v>1</v>
      </c>
      <c r="I16" s="1159">
        <v>1</v>
      </c>
      <c r="J16" s="1307">
        <f t="shared" si="0"/>
        <v>1.0430976069530742E-2</v>
      </c>
      <c r="K16" s="1308">
        <f t="shared" si="1"/>
        <v>0</v>
      </c>
      <c r="M16" s="1303">
        <f t="shared" si="3"/>
        <v>7.0000000000000007E-2</v>
      </c>
      <c r="N16" s="1288">
        <f t="shared" si="2"/>
        <v>3.8408621999527803E-4</v>
      </c>
      <c r="P16" s="1135">
        <v>2000</v>
      </c>
      <c r="Q16" s="1118">
        <f>558</f>
        <v>558</v>
      </c>
      <c r="R16" s="1118">
        <v>3268</v>
      </c>
      <c r="S16" s="1118">
        <v>3</v>
      </c>
      <c r="T16" s="1118">
        <v>44</v>
      </c>
      <c r="U16" s="1118"/>
      <c r="V16" s="1118">
        <v>2</v>
      </c>
      <c r="W16" s="1118">
        <v>1217</v>
      </c>
      <c r="X16" s="1118">
        <v>113</v>
      </c>
      <c r="Y16" s="1127">
        <v>175941</v>
      </c>
      <c r="AC16" s="496">
        <v>2000</v>
      </c>
      <c r="AD16" s="1302">
        <f>Table1[[#This Row],[Electricity]]/Table1[[#This Row],[Gasoline]]</f>
        <v>3.1715177246918001E-3</v>
      </c>
      <c r="AE16" s="1302">
        <f>Table1[[#This Row],[Hydrogen]]/Table1[[#This Row],[Gasoline]]</f>
        <v>0</v>
      </c>
    </row>
    <row r="17" spans="2:31" x14ac:dyDescent="0.2">
      <c r="B17" s="1162">
        <v>2018</v>
      </c>
      <c r="C17" s="1167">
        <v>1</v>
      </c>
      <c r="D17" s="1159">
        <v>1</v>
      </c>
      <c r="E17" s="1159">
        <v>1</v>
      </c>
      <c r="F17" s="1159">
        <v>1</v>
      </c>
      <c r="G17" s="1159">
        <v>1</v>
      </c>
      <c r="H17" s="1159">
        <v>1</v>
      </c>
      <c r="I17" s="1159">
        <v>1</v>
      </c>
      <c r="J17" s="1307">
        <f t="shared" si="0"/>
        <v>2.063547350575257E-2</v>
      </c>
      <c r="K17" s="1308">
        <f t="shared" si="1"/>
        <v>0</v>
      </c>
      <c r="M17" s="1303">
        <f t="shared" si="3"/>
        <v>0.08</v>
      </c>
      <c r="N17" s="1288">
        <f t="shared" si="2"/>
        <v>6.5514529854001074E-4</v>
      </c>
      <c r="P17" s="1135">
        <v>2001</v>
      </c>
      <c r="Q17" s="1118">
        <f>693</f>
        <v>693</v>
      </c>
      <c r="R17" s="1118">
        <v>3403</v>
      </c>
      <c r="S17" s="1118"/>
      <c r="T17" s="1118">
        <v>44</v>
      </c>
      <c r="U17" s="1118"/>
      <c r="V17" s="1118">
        <v>16</v>
      </c>
      <c r="W17" s="1118">
        <v>1232</v>
      </c>
      <c r="X17" s="1118">
        <v>154</v>
      </c>
      <c r="Y17" s="1127">
        <v>172169</v>
      </c>
      <c r="AC17" s="496">
        <v>2001</v>
      </c>
      <c r="AD17" s="1302">
        <f>Table1[[#This Row],[Electricity]]/Table1[[#This Row],[Gasoline]]</f>
        <v>4.0251148580754958E-3</v>
      </c>
      <c r="AE17" s="1302">
        <f>Table1[[#This Row],[Hydrogen]]/Table1[[#This Row],[Gasoline]]</f>
        <v>0</v>
      </c>
    </row>
    <row r="18" spans="2:31" x14ac:dyDescent="0.2">
      <c r="B18" s="1162">
        <v>2019</v>
      </c>
      <c r="C18" s="1167">
        <v>1</v>
      </c>
      <c r="D18" s="1159">
        <v>1</v>
      </c>
      <c r="E18" s="1159">
        <v>1</v>
      </c>
      <c r="F18" s="1159">
        <v>1</v>
      </c>
      <c r="G18" s="1159">
        <v>1</v>
      </c>
      <c r="H18" s="1159">
        <v>1</v>
      </c>
      <c r="I18" s="1159">
        <v>1</v>
      </c>
      <c r="J18" s="1307">
        <f t="shared" si="0"/>
        <v>2.5275098398206075E-2</v>
      </c>
      <c r="K18" s="1308">
        <f t="shared" si="1"/>
        <v>0</v>
      </c>
      <c r="M18" s="1303">
        <f t="shared" si="3"/>
        <v>0.09</v>
      </c>
      <c r="N18" s="1288">
        <f t="shared" si="2"/>
        <v>1.0492091947258413E-3</v>
      </c>
      <c r="P18" s="1135">
        <v>2002</v>
      </c>
      <c r="Q18" s="1118">
        <f>873</f>
        <v>873</v>
      </c>
      <c r="R18" s="1118">
        <v>3431</v>
      </c>
      <c r="S18" s="1118"/>
      <c r="T18" s="1118">
        <v>36</v>
      </c>
      <c r="U18" s="1118">
        <v>7</v>
      </c>
      <c r="V18" s="1118">
        <v>79</v>
      </c>
      <c r="W18" s="1118">
        <v>1166</v>
      </c>
      <c r="X18" s="1118">
        <v>149</v>
      </c>
      <c r="Y18" s="1127">
        <v>170018</v>
      </c>
      <c r="AC18" s="496">
        <v>2002</v>
      </c>
      <c r="AD18" s="1302">
        <f>Table1[[#This Row],[Electricity]]/Table1[[#This Row],[Gasoline]]</f>
        <v>5.1347504381888979E-3</v>
      </c>
      <c r="AE18" s="1302">
        <f>Table1[[#This Row],[Hydrogen]]/Table1[[#This Row],[Gasoline]]</f>
        <v>4.1172111188227128E-5</v>
      </c>
    </row>
    <row r="19" spans="2:31" x14ac:dyDescent="0.2">
      <c r="B19" s="1162">
        <v>2020</v>
      </c>
      <c r="C19" s="1167">
        <v>1</v>
      </c>
      <c r="D19" s="1159">
        <v>1</v>
      </c>
      <c r="E19" s="1159">
        <v>1</v>
      </c>
      <c r="F19" s="1159">
        <v>1</v>
      </c>
      <c r="G19" s="1159">
        <v>1</v>
      </c>
      <c r="H19" s="1159">
        <v>1</v>
      </c>
      <c r="I19" s="1159">
        <v>1</v>
      </c>
      <c r="J19" s="1307">
        <f t="shared" si="0"/>
        <v>4.3786973799347463E-2</v>
      </c>
      <c r="K19" s="1308">
        <f t="shared" si="1"/>
        <v>0</v>
      </c>
      <c r="M19" s="1303">
        <f t="shared" si="3"/>
        <v>9.9999999999999992E-2</v>
      </c>
      <c r="N19" s="1288">
        <f t="shared" si="2"/>
        <v>1.5987206823936864E-3</v>
      </c>
      <c r="P19" s="1135">
        <v>2003</v>
      </c>
      <c r="Q19" s="1118">
        <f>830</f>
        <v>830</v>
      </c>
      <c r="R19" s="1118">
        <v>3966</v>
      </c>
      <c r="S19" s="1118"/>
      <c r="T19" s="1118">
        <v>62</v>
      </c>
      <c r="U19" s="1118">
        <v>7</v>
      </c>
      <c r="V19" s="1118">
        <v>142</v>
      </c>
      <c r="W19" s="1118">
        <v>1035</v>
      </c>
      <c r="X19" s="1118">
        <v>188</v>
      </c>
      <c r="Y19" s="1127">
        <v>167571</v>
      </c>
      <c r="AC19" s="496">
        <v>2003</v>
      </c>
      <c r="AD19" s="1302">
        <f>Table1[[#This Row],[Electricity]]/Table1[[#This Row],[Gasoline]]</f>
        <v>4.9531243472915954E-3</v>
      </c>
      <c r="AE19" s="1302">
        <f>Table1[[#This Row],[Hydrogen]]/Table1[[#This Row],[Gasoline]]</f>
        <v>4.1773337868724299E-5</v>
      </c>
    </row>
    <row r="20" spans="2:31" x14ac:dyDescent="0.2">
      <c r="B20" s="1162">
        <v>2021</v>
      </c>
      <c r="C20" s="1167">
        <v>1</v>
      </c>
      <c r="D20" s="1159">
        <v>1</v>
      </c>
      <c r="E20" s="1159">
        <v>1</v>
      </c>
      <c r="F20" s="1159">
        <v>1</v>
      </c>
      <c r="G20" s="1159">
        <v>1</v>
      </c>
      <c r="H20" s="1159">
        <v>1</v>
      </c>
      <c r="I20" s="1159">
        <v>1</v>
      </c>
      <c r="J20" s="1307">
        <f t="shared" si="0"/>
        <v>6.0586937186524262E-2</v>
      </c>
      <c r="K20" s="1308">
        <f t="shared" si="1"/>
        <v>0</v>
      </c>
      <c r="M20" s="1303">
        <f t="shared" si="3"/>
        <v>0.10999999999999999</v>
      </c>
      <c r="N20" s="1288">
        <f t="shared" si="2"/>
        <v>2.3398183475694901E-3</v>
      </c>
      <c r="P20" s="1135">
        <v>2004</v>
      </c>
      <c r="Q20" s="1118">
        <f>671</f>
        <v>671</v>
      </c>
      <c r="R20" s="1118">
        <v>3689</v>
      </c>
      <c r="S20" s="1119"/>
      <c r="T20" s="1118">
        <v>58</v>
      </c>
      <c r="U20" s="1118">
        <v>9</v>
      </c>
      <c r="V20" s="1118">
        <v>176</v>
      </c>
      <c r="W20" s="1118">
        <v>917</v>
      </c>
      <c r="X20" s="1118">
        <v>200</v>
      </c>
      <c r="Y20" s="1127">
        <v>167346</v>
      </c>
      <c r="AC20" s="496">
        <v>2004</v>
      </c>
      <c r="AD20" s="1302">
        <f>Table1[[#This Row],[Electricity]]/Table1[[#This Row],[Gasoline]]</f>
        <v>4.0096566395372464E-3</v>
      </c>
      <c r="AE20" s="1302">
        <f>Table1[[#This Row],[Hydrogen]]/Table1[[#This Row],[Gasoline]]</f>
        <v>5.378078950198989E-5</v>
      </c>
    </row>
    <row r="21" spans="2:31" x14ac:dyDescent="0.2">
      <c r="B21" s="1162">
        <v>2022</v>
      </c>
      <c r="C21" s="1167">
        <v>1</v>
      </c>
      <c r="D21" s="1159">
        <v>1</v>
      </c>
      <c r="E21" s="1159">
        <v>1</v>
      </c>
      <c r="F21" s="1159">
        <v>1</v>
      </c>
      <c r="G21" s="1159">
        <v>1</v>
      </c>
      <c r="H21" s="1159">
        <v>1</v>
      </c>
      <c r="I21" s="1159">
        <v>1</v>
      </c>
      <c r="J21" s="1307">
        <f t="shared" si="0"/>
        <v>9.3663799913688631E-2</v>
      </c>
      <c r="K21" s="1308">
        <f t="shared" si="1"/>
        <v>0</v>
      </c>
      <c r="M21" s="1303">
        <f t="shared" si="3"/>
        <v>0.11999999999999998</v>
      </c>
      <c r="N21" s="1288">
        <f t="shared" si="2"/>
        <v>3.3122623159705469E-3</v>
      </c>
      <c r="P21" s="1135">
        <v>2005</v>
      </c>
      <c r="Q21" s="1118">
        <f>588</f>
        <v>588</v>
      </c>
      <c r="R21" s="1118">
        <v>2995</v>
      </c>
      <c r="S21" s="1119"/>
      <c r="T21" s="1118">
        <v>40</v>
      </c>
      <c r="U21" s="1118">
        <v>14</v>
      </c>
      <c r="V21" s="1118">
        <v>304</v>
      </c>
      <c r="W21" s="1118">
        <v>787</v>
      </c>
      <c r="X21" s="1118">
        <v>436</v>
      </c>
      <c r="Y21" s="1127">
        <v>168987</v>
      </c>
      <c r="AC21" s="496">
        <v>2005</v>
      </c>
      <c r="AD21" s="1302">
        <f>Table1[[#This Row],[Electricity]]/Table1[[#This Row],[Gasoline]]</f>
        <v>3.4795575991052566E-3</v>
      </c>
      <c r="AE21" s="1302">
        <f>Table1[[#This Row],[Hydrogen]]/Table1[[#This Row],[Gasoline]]</f>
        <v>8.284660950250611E-5</v>
      </c>
    </row>
    <row r="22" spans="2:31" x14ac:dyDescent="0.2">
      <c r="B22" s="1162">
        <v>2023</v>
      </c>
      <c r="C22" s="1167">
        <v>1</v>
      </c>
      <c r="D22" s="1159">
        <v>1</v>
      </c>
      <c r="E22" s="1159">
        <v>1</v>
      </c>
      <c r="F22" s="1159">
        <v>1</v>
      </c>
      <c r="G22" s="1159">
        <v>1</v>
      </c>
      <c r="H22" s="1159">
        <v>1</v>
      </c>
      <c r="I22" s="1159">
        <v>1</v>
      </c>
      <c r="J22" s="1307">
        <f t="shared" si="0"/>
        <v>0.12155326065006883</v>
      </c>
      <c r="K22" s="1308">
        <f t="shared" si="1"/>
        <v>0</v>
      </c>
      <c r="M22" s="1303">
        <f t="shared" si="3"/>
        <v>0.12999999999999998</v>
      </c>
      <c r="N22" s="1288">
        <f t="shared" si="2"/>
        <v>4.5593345334435922E-3</v>
      </c>
      <c r="P22" s="1135">
        <v>2006</v>
      </c>
      <c r="Q22" s="1118">
        <f>465</f>
        <v>465</v>
      </c>
      <c r="R22" s="1118">
        <v>2619</v>
      </c>
      <c r="S22" s="1118"/>
      <c r="T22" s="1118">
        <v>37</v>
      </c>
      <c r="U22" s="1118">
        <v>17</v>
      </c>
      <c r="V22" s="1118">
        <v>459</v>
      </c>
      <c r="W22" s="1118">
        <v>732</v>
      </c>
      <c r="X22" s="1118">
        <v>762</v>
      </c>
      <c r="Y22" s="1127">
        <v>167476</v>
      </c>
      <c r="AC22" s="496">
        <v>2006</v>
      </c>
      <c r="AD22" s="1302">
        <f>Table1[[#This Row],[Electricity]]/Table1[[#This Row],[Gasoline]]</f>
        <v>2.7765172323198548E-3</v>
      </c>
      <c r="AE22" s="1302">
        <f>Table1[[#This Row],[Hydrogen]]/Table1[[#This Row],[Gasoline]]</f>
        <v>1.0150708161169362E-4</v>
      </c>
    </row>
    <row r="23" spans="2:31" x14ac:dyDescent="0.2">
      <c r="B23" s="1162">
        <v>2024</v>
      </c>
      <c r="C23" s="1167">
        <v>1</v>
      </c>
      <c r="D23" s="1159">
        <v>1</v>
      </c>
      <c r="E23" s="1159">
        <v>1</v>
      </c>
      <c r="F23" s="1159">
        <v>1</v>
      </c>
      <c r="G23" s="1159">
        <v>1</v>
      </c>
      <c r="H23" s="1159">
        <v>1</v>
      </c>
      <c r="I23" s="1159">
        <v>1</v>
      </c>
      <c r="J23" s="1307">
        <f t="shared" si="0"/>
        <v>0.15445353795437128</v>
      </c>
      <c r="K23" s="1308">
        <f t="shared" si="1"/>
        <v>0</v>
      </c>
      <c r="M23" s="1303">
        <f t="shared" si="3"/>
        <v>0.13999999999999999</v>
      </c>
      <c r="N23" s="1288">
        <f t="shared" si="2"/>
        <v>6.1277085437277685E-3</v>
      </c>
      <c r="P23" s="1135">
        <v>2007</v>
      </c>
      <c r="Q23" s="1120">
        <f>442</f>
        <v>442</v>
      </c>
      <c r="R23" s="1120">
        <v>2371</v>
      </c>
      <c r="S23" s="1118"/>
      <c r="T23" s="1118">
        <v>35</v>
      </c>
      <c r="U23" s="1118">
        <v>32</v>
      </c>
      <c r="V23" s="1120">
        <v>742</v>
      </c>
      <c r="W23" s="1120">
        <v>721</v>
      </c>
      <c r="X23" s="1120">
        <v>1208</v>
      </c>
      <c r="Y23" s="1127">
        <v>164292</v>
      </c>
      <c r="AC23" s="496">
        <v>2007</v>
      </c>
      <c r="AD23" s="1302">
        <f>Table1[[#This Row],[Electricity]]/Table1[[#This Row],[Gasoline]]</f>
        <v>2.6903318481727658E-3</v>
      </c>
      <c r="AE23" s="1302">
        <f>Table1[[#This Row],[Hydrogen]]/Table1[[#This Row],[Gasoline]]</f>
        <v>1.9477515642879752E-4</v>
      </c>
    </row>
    <row r="24" spans="2:31" x14ac:dyDescent="0.2">
      <c r="B24" s="1162">
        <v>2025</v>
      </c>
      <c r="C24" s="1167">
        <v>1</v>
      </c>
      <c r="D24" s="1159">
        <v>1</v>
      </c>
      <c r="E24" s="1159">
        <v>1</v>
      </c>
      <c r="F24" s="1159">
        <v>1</v>
      </c>
      <c r="G24" s="1159">
        <v>1</v>
      </c>
      <c r="H24" s="1159">
        <v>1</v>
      </c>
      <c r="I24" s="1159">
        <v>1</v>
      </c>
      <c r="J24" s="1307">
        <f t="shared" si="0"/>
        <v>0.21345079778654535</v>
      </c>
      <c r="K24" s="1308">
        <f t="shared" si="1"/>
        <v>1.5999998720000074E-7</v>
      </c>
      <c r="M24" s="1303">
        <f t="shared" si="3"/>
        <v>0.15</v>
      </c>
      <c r="N24" s="1288">
        <f t="shared" si="2"/>
        <v>8.0672833944288314E-3</v>
      </c>
      <c r="P24" s="1135">
        <v>2008</v>
      </c>
      <c r="Q24" s="1120">
        <f>430</f>
        <v>430</v>
      </c>
      <c r="R24" s="1120">
        <v>2175</v>
      </c>
      <c r="S24" s="1118"/>
      <c r="T24" s="1124">
        <v>38</v>
      </c>
      <c r="U24" s="1118">
        <v>46</v>
      </c>
      <c r="V24" s="1120">
        <v>645</v>
      </c>
      <c r="W24" s="1120">
        <v>778</v>
      </c>
      <c r="X24" s="1120">
        <v>1644</v>
      </c>
      <c r="Y24" s="1127">
        <v>161078</v>
      </c>
      <c r="AC24" s="496">
        <v>2008</v>
      </c>
      <c r="AD24" s="1302">
        <f>Table1[[#This Row],[Electricity]]/Table1[[#This Row],[Gasoline]]</f>
        <v>2.6695141484249867E-3</v>
      </c>
      <c r="AE24" s="1302">
        <f>Table1[[#This Row],[Hydrogen]]/Table1[[#This Row],[Gasoline]]</f>
        <v>2.8557593215709158E-4</v>
      </c>
    </row>
    <row r="25" spans="2:31" x14ac:dyDescent="0.2">
      <c r="B25" s="1162">
        <v>2026</v>
      </c>
      <c r="C25" s="1167">
        <v>1</v>
      </c>
      <c r="D25" s="1159">
        <v>1</v>
      </c>
      <c r="E25" s="1159">
        <v>1</v>
      </c>
      <c r="F25" s="1159">
        <v>1</v>
      </c>
      <c r="G25" s="1159">
        <v>1</v>
      </c>
      <c r="H25" s="1159">
        <v>1</v>
      </c>
      <c r="I25" s="1159">
        <v>1</v>
      </c>
      <c r="J25" s="1307">
        <f t="shared" si="0"/>
        <v>0.25908232520512747</v>
      </c>
      <c r="K25" s="1308">
        <f t="shared" si="1"/>
        <v>2.559996723202798E-6</v>
      </c>
      <c r="M25" s="1303">
        <f t="shared" si="3"/>
        <v>0.16</v>
      </c>
      <c r="N25" s="1288">
        <f t="shared" si="2"/>
        <v>1.0430976069530742E-2</v>
      </c>
      <c r="P25" s="1135">
        <v>2009</v>
      </c>
      <c r="Q25" s="1120">
        <f>465</f>
        <v>465</v>
      </c>
      <c r="R25" s="1120">
        <v>2468</v>
      </c>
      <c r="S25" s="1118"/>
      <c r="T25" s="1124">
        <v>36</v>
      </c>
      <c r="U25" s="1118">
        <v>63</v>
      </c>
      <c r="V25" s="1120">
        <v>679</v>
      </c>
      <c r="W25" s="1120">
        <v>772</v>
      </c>
      <c r="X25" s="1120">
        <v>1928</v>
      </c>
      <c r="Y25" s="1127">
        <v>162350</v>
      </c>
      <c r="AC25" s="496">
        <v>2009</v>
      </c>
      <c r="AD25" s="1302">
        <f>Table1[[#This Row],[Electricity]]/Table1[[#This Row],[Gasoline]]</f>
        <v>2.864182322143517E-3</v>
      </c>
      <c r="AE25" s="1302">
        <f>Table1[[#This Row],[Hydrogen]]/Table1[[#This Row],[Gasoline]]</f>
        <v>3.8805050816137976E-4</v>
      </c>
    </row>
    <row r="26" spans="2:31" x14ac:dyDescent="0.2">
      <c r="B26" s="1162">
        <v>2027</v>
      </c>
      <c r="C26" s="1167">
        <v>1</v>
      </c>
      <c r="D26" s="1159">
        <v>1</v>
      </c>
      <c r="E26" s="1159">
        <v>1</v>
      </c>
      <c r="F26" s="1159">
        <v>1</v>
      </c>
      <c r="G26" s="1159">
        <v>1</v>
      </c>
      <c r="H26" s="1159">
        <v>1</v>
      </c>
      <c r="I26" s="1159">
        <v>1</v>
      </c>
      <c r="J26" s="1307">
        <f t="shared" si="0"/>
        <v>0.33608423666452697</v>
      </c>
      <c r="K26" s="1308">
        <f t="shared" si="1"/>
        <v>2.559996723202798E-6</v>
      </c>
      <c r="M26" s="1303">
        <f t="shared" si="3"/>
        <v>0.17</v>
      </c>
      <c r="N26" s="1288">
        <f t="shared" si="2"/>
        <v>1.3274466716304363E-2</v>
      </c>
      <c r="P26" s="1135">
        <v>2010</v>
      </c>
      <c r="Q26" s="1120">
        <f>541</f>
        <v>541</v>
      </c>
      <c r="R26" s="1120">
        <v>2647</v>
      </c>
      <c r="S26" s="1118"/>
      <c r="T26" s="1124">
        <v>39</v>
      </c>
      <c r="U26" s="1118">
        <v>58</v>
      </c>
      <c r="V26" s="1120">
        <v>644</v>
      </c>
      <c r="W26" s="1120">
        <v>841</v>
      </c>
      <c r="X26" s="1120">
        <v>2142</v>
      </c>
      <c r="Y26" s="1127">
        <v>159006</v>
      </c>
      <c r="AC26" s="496">
        <v>2010</v>
      </c>
      <c r="AD26" s="1302">
        <f>Table1[[#This Row],[Electricity]]/Table1[[#This Row],[Gasoline]]</f>
        <v>3.4023873312956743E-3</v>
      </c>
      <c r="AE26" s="1302">
        <f>Table1[[#This Row],[Hydrogen]]/Table1[[#This Row],[Gasoline]]</f>
        <v>3.6476610945498911E-4</v>
      </c>
    </row>
    <row r="27" spans="2:31" x14ac:dyDescent="0.2">
      <c r="B27" s="1162">
        <v>2028</v>
      </c>
      <c r="C27" s="1167">
        <v>1</v>
      </c>
      <c r="D27" s="1159">
        <v>1</v>
      </c>
      <c r="E27" s="1159">
        <v>1</v>
      </c>
      <c r="F27" s="1159">
        <v>1</v>
      </c>
      <c r="G27" s="1159">
        <v>1</v>
      </c>
      <c r="H27" s="1159">
        <v>1</v>
      </c>
      <c r="I27" s="1159">
        <v>1</v>
      </c>
      <c r="J27" s="1307">
        <f t="shared" si="0"/>
        <v>0.39217687976031146</v>
      </c>
      <c r="K27" s="1308">
        <f t="shared" si="1"/>
        <v>4.0959161150653103E-5</v>
      </c>
      <c r="M27" s="1303">
        <f t="shared" si="3"/>
        <v>0.18000000000000002</v>
      </c>
      <c r="N27" s="1288">
        <f t="shared" si="2"/>
        <v>1.665589092984994E-2</v>
      </c>
      <c r="P27" s="1135">
        <v>2011</v>
      </c>
      <c r="Q27" s="1121">
        <f>3394/plugs_per_station</f>
        <v>1697</v>
      </c>
      <c r="R27" s="1121">
        <v>2597</v>
      </c>
      <c r="S27" s="1122"/>
      <c r="T27" s="1124">
        <v>45</v>
      </c>
      <c r="U27" s="1118">
        <v>56</v>
      </c>
      <c r="V27" s="1121">
        <v>627</v>
      </c>
      <c r="W27" s="1121">
        <v>910</v>
      </c>
      <c r="X27" s="1121">
        <v>2442</v>
      </c>
      <c r="Y27" s="1127">
        <v>157393</v>
      </c>
      <c r="AC27" s="496">
        <v>2011</v>
      </c>
      <c r="AD27" s="1302">
        <f>Table1[[#This Row],[Electricity]]/Table1[[#This Row],[Gasoline]]</f>
        <v>1.0781928040001779E-2</v>
      </c>
      <c r="AE27" s="1302">
        <f>Table1[[#This Row],[Hydrogen]]/Table1[[#This Row],[Gasoline]]</f>
        <v>3.5579727179734806E-4</v>
      </c>
    </row>
    <row r="28" spans="2:31" x14ac:dyDescent="0.2">
      <c r="B28" s="1162">
        <v>2029</v>
      </c>
      <c r="C28" s="1167">
        <v>1</v>
      </c>
      <c r="D28" s="1159">
        <v>1</v>
      </c>
      <c r="E28" s="1159">
        <v>1</v>
      </c>
      <c r="F28" s="1159">
        <v>1</v>
      </c>
      <c r="G28" s="1159">
        <v>1</v>
      </c>
      <c r="H28" s="1159">
        <v>1</v>
      </c>
      <c r="I28" s="1159">
        <v>1</v>
      </c>
      <c r="J28" s="1307">
        <f t="shared" si="0"/>
        <v>0.45102114846019115</v>
      </c>
      <c r="K28" s="1308">
        <f t="shared" si="1"/>
        <v>9.999500016666259E-5</v>
      </c>
      <c r="M28" s="1303">
        <f t="shared" si="3"/>
        <v>0.19000000000000003</v>
      </c>
      <c r="N28" s="1288">
        <f t="shared" si="2"/>
        <v>2.063547350575257E-2</v>
      </c>
      <c r="P28" s="1135">
        <v>2012</v>
      </c>
      <c r="Q28" s="1121">
        <f>13392/plugs_per_station</f>
        <v>6696</v>
      </c>
      <c r="R28" s="1121">
        <v>2654</v>
      </c>
      <c r="S28" s="1122"/>
      <c r="T28" s="1124">
        <v>59</v>
      </c>
      <c r="U28" s="1118">
        <v>58</v>
      </c>
      <c r="V28" s="1121">
        <v>675</v>
      </c>
      <c r="W28" s="1121">
        <v>1107</v>
      </c>
      <c r="X28" s="1121">
        <v>2553</v>
      </c>
      <c r="Y28" s="1127">
        <v>156065</v>
      </c>
      <c r="AC28" s="496">
        <v>2012</v>
      </c>
      <c r="AD28" s="1302">
        <f>Table1[[#This Row],[Electricity]]/Table1[[#This Row],[Gasoline]]</f>
        <v>4.2905199756511712E-2</v>
      </c>
      <c r="AE28" s="1302">
        <f>Table1[[#This Row],[Hydrogen]]/Table1[[#This Row],[Gasoline]]</f>
        <v>3.7164002178579437E-4</v>
      </c>
    </row>
    <row r="29" spans="2:31" x14ac:dyDescent="0.2">
      <c r="B29" s="1162">
        <v>2030</v>
      </c>
      <c r="C29" s="1167">
        <v>1</v>
      </c>
      <c r="D29" s="1159">
        <v>1</v>
      </c>
      <c r="E29" s="1159">
        <v>1</v>
      </c>
      <c r="F29" s="1159">
        <v>1</v>
      </c>
      <c r="G29" s="1159">
        <v>1</v>
      </c>
      <c r="H29" s="1159">
        <v>1</v>
      </c>
      <c r="I29" s="1159">
        <v>1</v>
      </c>
      <c r="J29" s="1307">
        <f t="shared" si="0"/>
        <v>0.54193718792371426</v>
      </c>
      <c r="K29" s="1308">
        <f t="shared" si="1"/>
        <v>3.8408621999527803E-4</v>
      </c>
      <c r="M29" s="1303">
        <f t="shared" si="3"/>
        <v>0.20000000000000004</v>
      </c>
      <c r="N29" s="1288">
        <f t="shared" si="2"/>
        <v>2.5275098398206075E-2</v>
      </c>
      <c r="P29" s="1135">
        <v>2013</v>
      </c>
      <c r="Q29" s="1121">
        <f>19410/plugs_per_station</f>
        <v>9705</v>
      </c>
      <c r="R29" s="1121">
        <v>2956</v>
      </c>
      <c r="S29" s="1122"/>
      <c r="T29" s="1124">
        <v>81</v>
      </c>
      <c r="U29" s="1118">
        <v>53</v>
      </c>
      <c r="V29" s="1121">
        <v>757</v>
      </c>
      <c r="W29" s="1121">
        <v>1263</v>
      </c>
      <c r="X29" s="1121">
        <v>2639</v>
      </c>
      <c r="Y29" s="1127">
        <f>Y28</f>
        <v>156065</v>
      </c>
      <c r="Z29" s="496">
        <f>-1976.3*Table1[[#This Row],[Year]]+4130497.79</f>
        <v>152205.89000000013</v>
      </c>
      <c r="AC29" s="496">
        <v>2013</v>
      </c>
      <c r="AD29" s="1302">
        <f>Table1[[#This Row],[Electricity]]/Table1[[#This Row],[Gasoline]]</f>
        <v>6.2185627783295422E-2</v>
      </c>
      <c r="AE29" s="1302">
        <f>Table1[[#This Row],[Hydrogen]]/Table1[[#This Row],[Gasoline]]</f>
        <v>3.3960208887322588E-4</v>
      </c>
    </row>
    <row r="30" spans="2:31" x14ac:dyDescent="0.2">
      <c r="B30" s="1162">
        <v>2031</v>
      </c>
      <c r="C30" s="1167">
        <v>1</v>
      </c>
      <c r="D30" s="1159">
        <v>1</v>
      </c>
      <c r="E30" s="1159">
        <v>1</v>
      </c>
      <c r="F30" s="1159">
        <v>1</v>
      </c>
      <c r="G30" s="1159">
        <v>1</v>
      </c>
      <c r="H30" s="1159">
        <v>1</v>
      </c>
      <c r="I30" s="1159">
        <v>1</v>
      </c>
      <c r="J30" s="1307">
        <f t="shared" si="0"/>
        <v>0.60242359916581223</v>
      </c>
      <c r="K30" s="1308">
        <f t="shared" si="1"/>
        <v>6.5514529854001074E-4</v>
      </c>
      <c r="M30" s="1303">
        <f t="shared" si="3"/>
        <v>0.21000000000000005</v>
      </c>
      <c r="N30" s="1288">
        <f t="shared" si="2"/>
        <v>3.0637810156220375E-2</v>
      </c>
      <c r="P30" s="1135">
        <v>2014</v>
      </c>
      <c r="Q30" s="1121">
        <f>25602/plugs_per_station</f>
        <v>12801</v>
      </c>
      <c r="R30" s="1121">
        <v>2931</v>
      </c>
      <c r="S30" s="1122"/>
      <c r="T30" s="1124">
        <v>103</v>
      </c>
      <c r="U30" s="1118">
        <v>51</v>
      </c>
      <c r="V30" s="1121">
        <v>783</v>
      </c>
      <c r="W30" s="1121">
        <v>1495</v>
      </c>
      <c r="X30" s="1121">
        <v>2840</v>
      </c>
      <c r="Y30" s="1127">
        <f t="shared" ref="Y30:Y66" si="4">Y29</f>
        <v>156065</v>
      </c>
      <c r="Z30" s="496">
        <f>-1976.3*Table1[[#This Row],[Year]]+4130497.79</f>
        <v>150229.59000000032</v>
      </c>
      <c r="AC30" s="496">
        <v>2014</v>
      </c>
      <c r="AD30" s="1302">
        <f>Table1[[#This Row],[Electricity]]/Table1[[#This Row],[Gasoline]]</f>
        <v>8.2023515842757827E-2</v>
      </c>
      <c r="AE30" s="1302">
        <f>Table1[[#This Row],[Hydrogen]]/Table1[[#This Row],[Gasoline]]</f>
        <v>3.2678691570819853E-4</v>
      </c>
    </row>
    <row r="31" spans="2:31" x14ac:dyDescent="0.2">
      <c r="B31" s="1162">
        <v>2032</v>
      </c>
      <c r="C31" s="1167">
        <v>1</v>
      </c>
      <c r="D31" s="1159">
        <v>1</v>
      </c>
      <c r="E31" s="1159">
        <v>1</v>
      </c>
      <c r="F31" s="1159">
        <v>1</v>
      </c>
      <c r="G31" s="1159">
        <v>1</v>
      </c>
      <c r="H31" s="1159">
        <v>1</v>
      </c>
      <c r="I31" s="1159">
        <v>1</v>
      </c>
      <c r="J31" s="1307">
        <f t="shared" si="0"/>
        <v>0.68958915732970893</v>
      </c>
      <c r="K31" s="1308">
        <f t="shared" si="1"/>
        <v>1.5987206823936864E-3</v>
      </c>
      <c r="M31" s="1303">
        <f t="shared" si="3"/>
        <v>0.22000000000000006</v>
      </c>
      <c r="N31" s="1288">
        <f t="shared" si="2"/>
        <v>3.6787242882874376E-2</v>
      </c>
      <c r="P31" s="1135">
        <v>2015</v>
      </c>
      <c r="Q31" s="1125">
        <f>30945/plugs_per_station</f>
        <v>15472.5</v>
      </c>
      <c r="R31" s="1125">
        <v>3594</v>
      </c>
      <c r="S31" s="1122"/>
      <c r="T31" s="1125">
        <v>111</v>
      </c>
      <c r="U31" s="1125">
        <v>45</v>
      </c>
      <c r="V31" s="1125">
        <v>721</v>
      </c>
      <c r="W31" s="1125">
        <v>1563</v>
      </c>
      <c r="X31" s="1125">
        <v>2990</v>
      </c>
      <c r="Y31" s="1127">
        <f t="shared" si="4"/>
        <v>156065</v>
      </c>
      <c r="Z31" s="496">
        <f>-1976.3*Table1[[#This Row],[Year]]+4130497.79</f>
        <v>148253.29000000004</v>
      </c>
      <c r="AC31" s="496">
        <v>2015</v>
      </c>
      <c r="AD31" s="1302">
        <f>Table1[[#This Row],[Electricity]]/Table1[[#This Row],[Gasoline]]</f>
        <v>9.9141383397943164E-2</v>
      </c>
      <c r="AE31" s="1302">
        <f>Table1[[#This Row],[Hydrogen]]/Table1[[#This Row],[Gasoline]]</f>
        <v>2.8834139621311631E-4</v>
      </c>
    </row>
    <row r="32" spans="2:31" x14ac:dyDescent="0.2">
      <c r="B32" s="1162">
        <v>2033</v>
      </c>
      <c r="C32" s="1167">
        <v>1</v>
      </c>
      <c r="D32" s="1159">
        <v>1</v>
      </c>
      <c r="E32" s="1159">
        <v>1</v>
      </c>
      <c r="F32" s="1159">
        <v>1</v>
      </c>
      <c r="G32" s="1159">
        <v>1</v>
      </c>
      <c r="H32" s="1159">
        <v>1</v>
      </c>
      <c r="I32" s="1159">
        <v>1</v>
      </c>
      <c r="J32" s="1307">
        <f t="shared" si="0"/>
        <v>0.74346468922347331</v>
      </c>
      <c r="K32" s="1308">
        <f t="shared" si="1"/>
        <v>2.3398183475694901E-3</v>
      </c>
      <c r="M32" s="1303">
        <f t="shared" si="3"/>
        <v>0.23000000000000007</v>
      </c>
      <c r="N32" s="1288">
        <f t="shared" si="2"/>
        <v>4.3786973799347463E-2</v>
      </c>
      <c r="P32" s="1135">
        <v>2016</v>
      </c>
      <c r="Q32" s="1125">
        <f>42029/plugs_per_station</f>
        <v>21014.5</v>
      </c>
      <c r="R32" s="1125">
        <v>3665</v>
      </c>
      <c r="S32" s="1122"/>
      <c r="T32" s="1125">
        <v>140</v>
      </c>
      <c r="U32" s="1125">
        <v>54</v>
      </c>
      <c r="V32" s="1125">
        <v>697</v>
      </c>
      <c r="W32" s="1125">
        <v>1725</v>
      </c>
      <c r="X32" s="1125">
        <v>3090</v>
      </c>
      <c r="Y32" s="1127">
        <f t="shared" si="4"/>
        <v>156065</v>
      </c>
      <c r="Z32" s="496">
        <f>-1976.3*Table1[[#This Row],[Year]]+4130497.79</f>
        <v>146276.99000000022</v>
      </c>
      <c r="AC32" s="496">
        <v>2016</v>
      </c>
      <c r="AD32" s="1302">
        <f>Table1[[#This Row],[Electricity]]/Table1[[#This Row],[Gasoline]]</f>
        <v>0.13465222823823406</v>
      </c>
      <c r="AE32" s="1302">
        <f>Table1[[#This Row],[Hydrogen]]/Table1[[#This Row],[Gasoline]]</f>
        <v>3.4600967545573961E-4</v>
      </c>
    </row>
    <row r="33" spans="2:32" x14ac:dyDescent="0.2">
      <c r="B33" s="1162">
        <v>2034</v>
      </c>
      <c r="C33" s="1167">
        <v>1</v>
      </c>
      <c r="D33" s="1159">
        <v>1</v>
      </c>
      <c r="E33" s="1159">
        <v>1</v>
      </c>
      <c r="F33" s="1159">
        <v>1</v>
      </c>
      <c r="G33" s="1159">
        <v>1</v>
      </c>
      <c r="H33" s="1159">
        <v>1</v>
      </c>
      <c r="I33" s="1159">
        <v>1</v>
      </c>
      <c r="J33" s="1307">
        <f t="shared" si="0"/>
        <v>0.79268571663322196</v>
      </c>
      <c r="K33" s="1308">
        <f t="shared" si="1"/>
        <v>4.5593345334435922E-3</v>
      </c>
      <c r="M33" s="1303">
        <f t="shared" si="3"/>
        <v>0.24000000000000007</v>
      </c>
      <c r="N33" s="1288">
        <f t="shared" si="2"/>
        <v>5.1699799821003561E-2</v>
      </c>
      <c r="P33" s="1135">
        <v>2017</v>
      </c>
      <c r="Q33" s="1123">
        <f>50627/plugs_per_station</f>
        <v>25313.5</v>
      </c>
      <c r="R33" s="538"/>
      <c r="S33" s="538"/>
      <c r="T33" s="538"/>
      <c r="U33" s="1123">
        <v>63</v>
      </c>
      <c r="V33" s="538"/>
      <c r="W33" s="538"/>
      <c r="X33" s="538"/>
      <c r="Y33" s="1127">
        <f t="shared" si="4"/>
        <v>156065</v>
      </c>
      <c r="Z33" s="496">
        <f>-1976.3*Table1[[#This Row],[Year]]+4130497.79</f>
        <v>144300.68999999994</v>
      </c>
      <c r="AC33" s="496">
        <v>2017</v>
      </c>
      <c r="AD33" s="1302">
        <f>Table1[[#This Row],[Electricity]]/Table1[[#This Row],[Gasoline]]</f>
        <v>0.16219844295646044</v>
      </c>
      <c r="AE33" s="1302">
        <f>Table1[[#This Row],[Hydrogen]]/Table1[[#This Row],[Gasoline]]</f>
        <v>4.0367795469836286E-4</v>
      </c>
    </row>
    <row r="34" spans="2:32" x14ac:dyDescent="0.2">
      <c r="B34" s="1162">
        <v>2035</v>
      </c>
      <c r="C34" s="1167">
        <v>1</v>
      </c>
      <c r="D34" s="1159">
        <v>1</v>
      </c>
      <c r="E34" s="1159">
        <v>1</v>
      </c>
      <c r="F34" s="1159">
        <v>1</v>
      </c>
      <c r="G34" s="1159">
        <v>1</v>
      </c>
      <c r="H34" s="1159">
        <v>1</v>
      </c>
      <c r="I34" s="1159">
        <v>1</v>
      </c>
      <c r="J34" s="1307">
        <f t="shared" si="0"/>
        <v>0.85612030212542312</v>
      </c>
      <c r="K34" s="1308">
        <f t="shared" si="1"/>
        <v>6.1277085437277685E-3</v>
      </c>
      <c r="M34" s="1303">
        <f t="shared" si="3"/>
        <v>0.25000000000000006</v>
      </c>
      <c r="N34" s="1288">
        <f t="shared" si="2"/>
        <v>6.0586937186524262E-2</v>
      </c>
      <c r="P34" s="1135">
        <v>2018</v>
      </c>
      <c r="Q34" s="1123">
        <f>61067/plugs_per_station</f>
        <v>30533.5</v>
      </c>
      <c r="R34" s="538"/>
      <c r="S34" s="538"/>
      <c r="T34" s="538"/>
      <c r="U34" s="1123">
        <v>41</v>
      </c>
      <c r="V34" s="538"/>
      <c r="W34" s="538"/>
      <c r="X34" s="538"/>
      <c r="Y34" s="1127">
        <f t="shared" si="4"/>
        <v>156065</v>
      </c>
      <c r="Z34" s="496">
        <f>-1976.3*Table1[[#This Row],[Year]]+4130497.79</f>
        <v>142324.39000000013</v>
      </c>
      <c r="AC34" s="496">
        <v>2018</v>
      </c>
      <c r="AD34" s="1302">
        <f>Table1[[#This Row],[Electricity]]/Table1[[#This Row],[Gasoline]]</f>
        <v>0.19564604491718193</v>
      </c>
      <c r="AE34" s="1302">
        <f>Table1[[#This Row],[Hydrogen]]/Table1[[#This Row],[Gasoline]]</f>
        <v>2.6271104988306155E-4</v>
      </c>
    </row>
    <row r="35" spans="2:32" x14ac:dyDescent="0.2">
      <c r="B35" s="1162">
        <v>2036</v>
      </c>
      <c r="C35" s="1167">
        <v>1</v>
      </c>
      <c r="D35" s="1159">
        <v>1</v>
      </c>
      <c r="E35" s="1159">
        <v>1</v>
      </c>
      <c r="F35" s="1159">
        <v>1</v>
      </c>
      <c r="G35" s="1159">
        <v>1</v>
      </c>
      <c r="H35" s="1159">
        <v>1</v>
      </c>
      <c r="I35" s="1159">
        <v>1</v>
      </c>
      <c r="J35" s="1307">
        <f t="shared" si="0"/>
        <v>0.89088299804314675</v>
      </c>
      <c r="K35" s="1308">
        <f t="shared" si="1"/>
        <v>1.0430976069530742E-2</v>
      </c>
      <c r="M35" s="1303">
        <f t="shared" si="3"/>
        <v>0.26000000000000006</v>
      </c>
      <c r="N35" s="1288">
        <f t="shared" si="2"/>
        <v>7.0507146135246307E-2</v>
      </c>
      <c r="P35" s="1135">
        <v>2019</v>
      </c>
      <c r="Q35" s="1123">
        <f>$R$109+P35*$R$110</f>
        <v>32521.333333333954</v>
      </c>
      <c r="R35" s="538"/>
      <c r="S35" s="538"/>
      <c r="T35" s="538"/>
      <c r="U35" s="1123">
        <v>57</v>
      </c>
      <c r="V35" s="538"/>
      <c r="W35" s="538"/>
      <c r="X35" s="538"/>
      <c r="Y35" s="1127">
        <f t="shared" si="4"/>
        <v>156065</v>
      </c>
      <c r="Z35" s="496">
        <f>-1976.3*Table1[[#This Row],[Year]]+4130497.79</f>
        <v>140348.09000000032</v>
      </c>
      <c r="AC35" s="496">
        <v>2019</v>
      </c>
      <c r="AD35" s="1302">
        <f>Table1[[#This Row],[Electricity]]/Table1[[#This Row],[Gasoline]]</f>
        <v>0.20838325911212607</v>
      </c>
      <c r="AE35" s="1302">
        <f>Table1[[#This Row],[Hydrogen]]/Table1[[#This Row],[Gasoline]]</f>
        <v>3.652324352032807E-4</v>
      </c>
    </row>
    <row r="36" spans="2:32" x14ac:dyDescent="0.2">
      <c r="B36" s="1162">
        <v>2037</v>
      </c>
      <c r="C36" s="1167">
        <v>1</v>
      </c>
      <c r="D36" s="1159">
        <v>1</v>
      </c>
      <c r="E36" s="1159">
        <v>1</v>
      </c>
      <c r="F36" s="1159">
        <v>1</v>
      </c>
      <c r="G36" s="1159">
        <v>1</v>
      </c>
      <c r="H36" s="1159">
        <v>1</v>
      </c>
      <c r="I36" s="1159">
        <v>1</v>
      </c>
      <c r="J36" s="1307">
        <f t="shared" si="0"/>
        <v>0.93173475910294257</v>
      </c>
      <c r="K36" s="1308">
        <f t="shared" si="1"/>
        <v>1.665589092984994E-2</v>
      </c>
      <c r="M36" s="1303">
        <f t="shared" si="3"/>
        <v>0.27000000000000007</v>
      </c>
      <c r="N36" s="1288">
        <f t="shared" si="2"/>
        <v>8.1515784905052846E-2</v>
      </c>
      <c r="P36" s="1135">
        <v>2020</v>
      </c>
      <c r="Q36" s="1123">
        <f t="shared" ref="Q36:Q66" si="5">$R$109+P36*$R$110</f>
        <v>36275.06666666735</v>
      </c>
      <c r="R36" s="773"/>
      <c r="S36" s="773"/>
      <c r="T36" s="773"/>
      <c r="U36" s="1123">
        <v>75</v>
      </c>
      <c r="V36" s="773"/>
      <c r="W36" s="773"/>
      <c r="X36" s="773"/>
      <c r="Y36" s="1127">
        <f t="shared" si="4"/>
        <v>156065</v>
      </c>
      <c r="Z36" s="498">
        <f>-1976.3*Table1[[#This Row],[Year]]+4130497.79</f>
        <v>138371.79000000004</v>
      </c>
      <c r="AA36" s="498"/>
      <c r="AB36" s="498"/>
      <c r="AC36" s="498">
        <v>2020</v>
      </c>
      <c r="AD36" s="1302">
        <f>Table1[[#This Row],[Electricity]]/Table1[[#This Row],[Gasoline]]</f>
        <v>0.23243563045312754</v>
      </c>
      <c r="AE36" s="1302">
        <f>Table1[[#This Row],[Hydrogen]]/Table1[[#This Row],[Gasoline]]</f>
        <v>4.805689936885272E-4</v>
      </c>
      <c r="AF36" s="498"/>
    </row>
    <row r="37" spans="2:32" x14ac:dyDescent="0.2">
      <c r="B37" s="1162">
        <v>2038</v>
      </c>
      <c r="C37" s="1167">
        <v>1</v>
      </c>
      <c r="D37" s="1159">
        <v>1</v>
      </c>
      <c r="E37" s="1159">
        <v>1</v>
      </c>
      <c r="F37" s="1159">
        <v>1</v>
      </c>
      <c r="G37" s="1159">
        <v>1</v>
      </c>
      <c r="H37" s="1159">
        <v>1</v>
      </c>
      <c r="I37" s="1159">
        <v>1</v>
      </c>
      <c r="J37" s="1307">
        <f t="shared" si="0"/>
        <v>0.95197135907101305</v>
      </c>
      <c r="K37" s="1308">
        <f t="shared" si="1"/>
        <v>2.063547350575257E-2</v>
      </c>
      <c r="M37" s="1303">
        <f t="shared" si="3"/>
        <v>0.28000000000000008</v>
      </c>
      <c r="N37" s="1288">
        <f t="shared" si="2"/>
        <v>9.3663799913688631E-2</v>
      </c>
      <c r="P37" s="1135">
        <v>2021</v>
      </c>
      <c r="Q37" s="1123">
        <f t="shared" si="5"/>
        <v>40028.800000000745</v>
      </c>
      <c r="R37" s="538"/>
      <c r="S37" s="538"/>
      <c r="T37" s="538"/>
      <c r="U37" s="1123">
        <v>111</v>
      </c>
      <c r="V37" s="538"/>
      <c r="W37" s="538"/>
      <c r="X37" s="538"/>
      <c r="Y37" s="1127">
        <f t="shared" si="4"/>
        <v>156065</v>
      </c>
      <c r="Z37" s="496">
        <f>-1976.3*Table1[[#This Row],[Year]]+4130497.79</f>
        <v>136395.49000000022</v>
      </c>
      <c r="AC37" s="496">
        <v>2021</v>
      </c>
      <c r="AD37" s="1302">
        <f>Table1[[#This Row],[Electricity]]/Table1[[#This Row],[Gasoline]]</f>
        <v>0.25648800179412901</v>
      </c>
      <c r="AE37" s="1302">
        <f>Table1[[#This Row],[Hydrogen]]/Table1[[#This Row],[Gasoline]]</f>
        <v>7.1124211065902031E-4</v>
      </c>
    </row>
    <row r="38" spans="2:32" x14ac:dyDescent="0.2">
      <c r="B38" s="1162">
        <v>2039</v>
      </c>
      <c r="C38" s="1167">
        <v>1</v>
      </c>
      <c r="D38" s="1159">
        <v>1</v>
      </c>
      <c r="E38" s="1159">
        <v>1</v>
      </c>
      <c r="F38" s="1159">
        <v>1</v>
      </c>
      <c r="G38" s="1159">
        <v>1</v>
      </c>
      <c r="H38" s="1159">
        <v>1</v>
      </c>
      <c r="I38" s="1159">
        <v>1</v>
      </c>
      <c r="J38" s="1307">
        <f t="shared" si="0"/>
        <v>0.96732091996204717</v>
      </c>
      <c r="K38" s="1308">
        <f t="shared" si="1"/>
        <v>3.0637810156220375E-2</v>
      </c>
      <c r="M38" s="1303">
        <f t="shared" si="3"/>
        <v>0.29000000000000009</v>
      </c>
      <c r="N38" s="1288">
        <f t="shared" si="2"/>
        <v>0.10699666186542625</v>
      </c>
      <c r="P38" s="1135">
        <v>2022</v>
      </c>
      <c r="Q38" s="1123">
        <f t="shared" si="5"/>
        <v>43782.53333333414</v>
      </c>
      <c r="R38" s="538"/>
      <c r="S38" s="538"/>
      <c r="T38" s="538"/>
      <c r="U38" s="1123">
        <v>161</v>
      </c>
      <c r="V38" s="538"/>
      <c r="W38" s="538"/>
      <c r="X38" s="538"/>
      <c r="Y38" s="1127">
        <f t="shared" si="4"/>
        <v>156065</v>
      </c>
      <c r="Z38" s="496">
        <f>-1976.3*Table1[[#This Row],[Year]]+4130497.79</f>
        <v>134419.18999999994</v>
      </c>
      <c r="AC38" s="496">
        <v>2022</v>
      </c>
      <c r="AD38" s="1302">
        <f>Table1[[#This Row],[Electricity]]/Table1[[#This Row],[Gasoline]]</f>
        <v>0.28054037313513047</v>
      </c>
      <c r="AE38" s="1302">
        <f>Table1[[#This Row],[Hydrogen]]/Table1[[#This Row],[Gasoline]]</f>
        <v>1.0316214397847051E-3</v>
      </c>
    </row>
    <row r="39" spans="2:32" x14ac:dyDescent="0.2">
      <c r="B39" s="1162">
        <v>2040</v>
      </c>
      <c r="C39" s="1167">
        <v>1</v>
      </c>
      <c r="D39" s="1159">
        <v>1</v>
      </c>
      <c r="E39" s="1159">
        <v>1</v>
      </c>
      <c r="F39" s="1159">
        <v>1</v>
      </c>
      <c r="G39" s="1159">
        <v>1</v>
      </c>
      <c r="H39" s="1159">
        <v>1</v>
      </c>
      <c r="I39" s="1159">
        <v>1</v>
      </c>
      <c r="J39" s="1307">
        <f t="shared" si="0"/>
        <v>0.9828519181996197</v>
      </c>
      <c r="K39" s="1308">
        <f t="shared" si="1"/>
        <v>4.3786973799347463E-2</v>
      </c>
      <c r="M39" s="1303">
        <f t="shared" si="3"/>
        <v>0.3000000000000001</v>
      </c>
      <c r="N39" s="1288">
        <f t="shared" si="2"/>
        <v>0.12155326065006883</v>
      </c>
      <c r="P39" s="1135">
        <v>2023</v>
      </c>
      <c r="Q39" s="1123">
        <f t="shared" si="5"/>
        <v>47536.266666667536</v>
      </c>
      <c r="R39" s="538"/>
      <c r="S39" s="538"/>
      <c r="T39" s="538"/>
      <c r="U39" s="1123">
        <v>246</v>
      </c>
      <c r="V39" s="538"/>
      <c r="W39" s="538"/>
      <c r="X39" s="538"/>
      <c r="Y39" s="1127">
        <f t="shared" si="4"/>
        <v>156065</v>
      </c>
      <c r="Z39" s="496">
        <f>-1976.3*Table1[[#This Row],[Year]]+4130497.79</f>
        <v>132442.89000000013</v>
      </c>
      <c r="AC39" s="496">
        <v>2023</v>
      </c>
      <c r="AD39" s="1302">
        <f>Table1[[#This Row],[Electricity]]/Table1[[#This Row],[Gasoline]]</f>
        <v>0.30459274447613199</v>
      </c>
      <c r="AE39" s="1302">
        <f>Table1[[#This Row],[Hydrogen]]/Table1[[#This Row],[Gasoline]]</f>
        <v>1.5762662992983693E-3</v>
      </c>
    </row>
    <row r="40" spans="2:32" x14ac:dyDescent="0.2">
      <c r="B40" s="1162">
        <v>2041</v>
      </c>
      <c r="C40" s="1167">
        <v>1</v>
      </c>
      <c r="D40" s="1159">
        <v>1</v>
      </c>
      <c r="E40" s="1159">
        <v>1</v>
      </c>
      <c r="F40" s="1159">
        <v>1</v>
      </c>
      <c r="G40" s="1159">
        <v>1</v>
      </c>
      <c r="H40" s="1159">
        <v>1</v>
      </c>
      <c r="I40" s="1159">
        <v>1</v>
      </c>
      <c r="J40" s="1307">
        <f t="shared" si="0"/>
        <v>0.98936620944626497</v>
      </c>
      <c r="K40" s="1308">
        <f t="shared" si="1"/>
        <v>6.0586937186524262E-2</v>
      </c>
      <c r="M40" s="1303">
        <f t="shared" si="3"/>
        <v>0.31000000000000011</v>
      </c>
      <c r="N40" s="1288">
        <f t="shared" si="2"/>
        <v>0.13736477520959006</v>
      </c>
      <c r="P40" s="1135">
        <v>2024</v>
      </c>
      <c r="Q40" s="1123">
        <f t="shared" si="5"/>
        <v>51290.000000000931</v>
      </c>
      <c r="R40" s="538"/>
      <c r="S40" s="538"/>
      <c r="T40" s="538"/>
      <c r="U40" s="1123">
        <v>967</v>
      </c>
      <c r="V40" s="538"/>
      <c r="W40" s="538"/>
      <c r="X40" s="538"/>
      <c r="Y40" s="1127">
        <f t="shared" si="4"/>
        <v>156065</v>
      </c>
      <c r="Z40" s="496">
        <f>-1976.3*Table1[[#This Row],[Year]]+4130497.79</f>
        <v>130466.59000000032</v>
      </c>
      <c r="AC40" s="496">
        <v>2024</v>
      </c>
      <c r="AD40" s="1302">
        <f>Table1[[#This Row],[Electricity]]/Table1[[#This Row],[Gasoline]]</f>
        <v>0.32864511581713346</v>
      </c>
      <c r="AE40" s="1302">
        <f>Table1[[#This Row],[Hydrogen]]/Table1[[#This Row],[Gasoline]]</f>
        <v>6.1961362252907441E-3</v>
      </c>
    </row>
    <row r="41" spans="2:32" x14ac:dyDescent="0.2">
      <c r="B41" s="1162">
        <v>2042</v>
      </c>
      <c r="C41" s="1167">
        <v>1</v>
      </c>
      <c r="D41" s="1159">
        <v>1</v>
      </c>
      <c r="E41" s="1159">
        <v>1</v>
      </c>
      <c r="F41" s="1159">
        <v>1</v>
      </c>
      <c r="G41" s="1159">
        <v>1</v>
      </c>
      <c r="H41" s="1159">
        <v>1</v>
      </c>
      <c r="I41" s="1159">
        <v>1</v>
      </c>
      <c r="J41" s="1307">
        <f t="shared" si="0"/>
        <v>0.9951942788280157</v>
      </c>
      <c r="K41" s="1308">
        <f t="shared" si="1"/>
        <v>8.1515784905052846E-2</v>
      </c>
      <c r="M41" s="1303">
        <f t="shared" si="3"/>
        <v>0.32000000000000012</v>
      </c>
      <c r="N41" s="1288">
        <f t="shared" ref="N41:N59" si="6">WEIBULL(M41,$N$4,$N$5,$N$6)</f>
        <v>0.15445353795437128</v>
      </c>
      <c r="P41" s="1135">
        <v>2025</v>
      </c>
      <c r="Q41" s="1123">
        <f t="shared" si="5"/>
        <v>55043.733333334327</v>
      </c>
      <c r="R41" s="538"/>
      <c r="S41" s="538"/>
      <c r="T41" s="538"/>
      <c r="U41" s="1123">
        <v>1975</v>
      </c>
      <c r="V41" s="538"/>
      <c r="W41" s="538"/>
      <c r="X41" s="538"/>
      <c r="Y41" s="1127">
        <f t="shared" si="4"/>
        <v>156065</v>
      </c>
      <c r="Z41" s="496">
        <f>-1976.3*Table1[[#This Row],[Year]]+4130497.79</f>
        <v>128490.29000000004</v>
      </c>
      <c r="AC41" s="496">
        <v>2025</v>
      </c>
      <c r="AD41" s="1302">
        <f>Table1[[#This Row],[Electricity]]/Table1[[#This Row],[Gasoline]]</f>
        <v>0.35269748715813493</v>
      </c>
      <c r="AE41" s="1302">
        <f>Table1[[#This Row],[Hydrogen]]/Table1[[#This Row],[Gasoline]]</f>
        <v>1.265498350046455E-2</v>
      </c>
    </row>
    <row r="42" spans="2:32" x14ac:dyDescent="0.2">
      <c r="B42" s="1162">
        <v>2043</v>
      </c>
      <c r="C42" s="1167">
        <v>1</v>
      </c>
      <c r="D42" s="1159">
        <v>1</v>
      </c>
      <c r="E42" s="1159">
        <v>1</v>
      </c>
      <c r="F42" s="1159">
        <v>1</v>
      </c>
      <c r="G42" s="1159">
        <v>1</v>
      </c>
      <c r="H42" s="1159">
        <v>1</v>
      </c>
      <c r="I42" s="1159">
        <v>1</v>
      </c>
      <c r="J42" s="1307">
        <f t="shared" si="0"/>
        <v>0.99732126057789017</v>
      </c>
      <c r="K42" s="1308">
        <f t="shared" si="1"/>
        <v>0.10699666186542625</v>
      </c>
      <c r="M42" s="1303">
        <f t="shared" si="3"/>
        <v>0.33000000000000013</v>
      </c>
      <c r="N42" s="1288">
        <f t="shared" si="6"/>
        <v>0.17283191670766812</v>
      </c>
      <c r="P42" s="1135">
        <v>2026</v>
      </c>
      <c r="Q42" s="1123">
        <f t="shared" si="5"/>
        <v>58797.466666666791</v>
      </c>
      <c r="R42" s="538"/>
      <c r="S42" s="538"/>
      <c r="T42" s="538"/>
      <c r="U42" s="1123">
        <v>3242.3900000000003</v>
      </c>
      <c r="V42" s="538"/>
      <c r="W42" s="538"/>
      <c r="X42" s="538"/>
      <c r="Y42" s="1127">
        <f t="shared" si="4"/>
        <v>156065</v>
      </c>
      <c r="Z42" s="496">
        <f>-1976.3*Table1[[#This Row],[Year]]+4130497.79</f>
        <v>126513.99000000022</v>
      </c>
      <c r="AC42" s="496">
        <v>2026</v>
      </c>
      <c r="AD42" s="1302">
        <f>Table1[[#This Row],[Electricity]]/Table1[[#This Row],[Gasoline]]</f>
        <v>0.37674985849913045</v>
      </c>
      <c r="AE42" s="1302">
        <f>Table1[[#This Row],[Hydrogen]]/Table1[[#This Row],[Gasoline]]</f>
        <v>2.0775894659276584E-2</v>
      </c>
    </row>
    <row r="43" spans="2:32" x14ac:dyDescent="0.2">
      <c r="B43" s="1162">
        <v>2044</v>
      </c>
      <c r="C43" s="1167">
        <v>1</v>
      </c>
      <c r="D43" s="1159">
        <v>1</v>
      </c>
      <c r="E43" s="1159">
        <v>1</v>
      </c>
      <c r="F43" s="1159">
        <v>1</v>
      </c>
      <c r="G43" s="1159">
        <v>1</v>
      </c>
      <c r="H43" s="1159">
        <v>1</v>
      </c>
      <c r="I43" s="1159">
        <v>1</v>
      </c>
      <c r="J43" s="1307">
        <f t="shared" si="0"/>
        <v>0.99857502356180761</v>
      </c>
      <c r="K43" s="1308">
        <f t="shared" si="1"/>
        <v>0.12155326065006883</v>
      </c>
      <c r="M43" s="1303">
        <f t="shared" si="3"/>
        <v>0.34000000000000014</v>
      </c>
      <c r="N43" s="1288">
        <f t="shared" si="6"/>
        <v>0.19250124041164726</v>
      </c>
      <c r="P43" s="1135">
        <v>2027</v>
      </c>
      <c r="Q43" s="1123">
        <f t="shared" si="5"/>
        <v>62551.200000000186</v>
      </c>
      <c r="R43" s="538"/>
      <c r="S43" s="538"/>
      <c r="T43" s="538"/>
      <c r="U43" s="1123">
        <v>4626.9699999999993</v>
      </c>
      <c r="V43" s="538"/>
      <c r="W43" s="538"/>
      <c r="X43" s="538"/>
      <c r="Y43" s="1127">
        <f t="shared" si="4"/>
        <v>156065</v>
      </c>
      <c r="Z43" s="496">
        <f>-1976.3*Table1[[#This Row],[Year]]+4130497.79</f>
        <v>124537.68999999994</v>
      </c>
      <c r="AC43" s="496">
        <v>2027</v>
      </c>
      <c r="AD43" s="1302">
        <f>Table1[[#This Row],[Electricity]]/Table1[[#This Row],[Gasoline]]</f>
        <v>0.40080222984013192</v>
      </c>
      <c r="AE43" s="1302">
        <f>Table1[[#This Row],[Hydrogen]]/Table1[[#This Row],[Gasoline]]</f>
        <v>2.9647710889693393E-2</v>
      </c>
    </row>
    <row r="44" spans="2:32" x14ac:dyDescent="0.2">
      <c r="B44" s="1162">
        <v>2045</v>
      </c>
      <c r="C44" s="1167">
        <v>1</v>
      </c>
      <c r="D44" s="1159">
        <v>1</v>
      </c>
      <c r="E44" s="1159">
        <v>1</v>
      </c>
      <c r="F44" s="1159">
        <v>1</v>
      </c>
      <c r="G44" s="1159">
        <v>1</v>
      </c>
      <c r="H44" s="1159">
        <v>1</v>
      </c>
      <c r="I44" s="1159">
        <v>1</v>
      </c>
      <c r="J44" s="1307">
        <f t="shared" si="0"/>
        <v>0.99949620008360773</v>
      </c>
      <c r="K44" s="1308">
        <f t="shared" si="1"/>
        <v>0.15445353795437128</v>
      </c>
      <c r="M44" s="1303">
        <f t="shared" si="3"/>
        <v>0.35000000000000014</v>
      </c>
      <c r="N44" s="1288">
        <f t="shared" si="6"/>
        <v>0.21345079778654535</v>
      </c>
      <c r="P44" s="1135">
        <v>2028</v>
      </c>
      <c r="Q44" s="1123">
        <f t="shared" si="5"/>
        <v>66304.933333333582</v>
      </c>
      <c r="R44" s="538"/>
      <c r="S44" s="538"/>
      <c r="T44" s="538"/>
      <c r="U44" s="1123">
        <v>6873.7499999999991</v>
      </c>
      <c r="V44" s="538"/>
      <c r="W44" s="538"/>
      <c r="X44" s="538"/>
      <c r="Y44" s="1127">
        <f t="shared" si="4"/>
        <v>156065</v>
      </c>
      <c r="Z44" s="496">
        <f>-1976.3*Table1[[#This Row],[Year]]+4130497.79</f>
        <v>122561.39000000013</v>
      </c>
      <c r="AC44" s="496">
        <v>2028</v>
      </c>
      <c r="AD44" s="1302">
        <f>Table1[[#This Row],[Electricity]]/Table1[[#This Row],[Gasoline]]</f>
        <v>0.42485460118113338</v>
      </c>
      <c r="AE44" s="1302">
        <f>Table1[[#This Row],[Hydrogen]]/Table1[[#This Row],[Gasoline]]</f>
        <v>4.4044148271553514E-2</v>
      </c>
    </row>
    <row r="45" spans="2:32" x14ac:dyDescent="0.2">
      <c r="B45" s="1162">
        <v>2046</v>
      </c>
      <c r="C45" s="1167">
        <v>1</v>
      </c>
      <c r="D45" s="1159">
        <v>1</v>
      </c>
      <c r="E45" s="1159">
        <v>1</v>
      </c>
      <c r="F45" s="1159">
        <v>1</v>
      </c>
      <c r="G45" s="1159">
        <v>1</v>
      </c>
      <c r="H45" s="1159">
        <v>1</v>
      </c>
      <c r="I45" s="1159">
        <v>1</v>
      </c>
      <c r="J45" s="1307">
        <f t="shared" si="0"/>
        <v>0.99976409939337041</v>
      </c>
      <c r="K45" s="1308">
        <f t="shared" si="1"/>
        <v>0.19250124041164726</v>
      </c>
      <c r="M45" s="1303">
        <f t="shared" si="3"/>
        <v>0.36000000000000015</v>
      </c>
      <c r="N45" s="1288">
        <f t="shared" si="6"/>
        <v>0.23565694062183914</v>
      </c>
      <c r="P45" s="1135">
        <v>2029</v>
      </c>
      <c r="Q45" s="1123">
        <f t="shared" si="5"/>
        <v>70058.666666666977</v>
      </c>
      <c r="R45" s="538"/>
      <c r="S45" s="538"/>
      <c r="T45" s="538"/>
      <c r="U45" s="1123">
        <v>8874.9</v>
      </c>
      <c r="V45" s="538"/>
      <c r="W45" s="538"/>
      <c r="X45" s="538"/>
      <c r="Y45" s="1127">
        <f t="shared" si="4"/>
        <v>156065</v>
      </c>
      <c r="Z45" s="496">
        <f>-1976.3*Table1[[#This Row],[Year]]+4130497.79</f>
        <v>120585.09000000032</v>
      </c>
      <c r="AC45" s="496">
        <v>2029</v>
      </c>
      <c r="AD45" s="1302">
        <f>Table1[[#This Row],[Electricity]]/Table1[[#This Row],[Gasoline]]</f>
        <v>0.44890697252213485</v>
      </c>
      <c r="AE45" s="1302">
        <f>Table1[[#This Row],[Hydrogen]]/Table1[[#This Row],[Gasoline]]</f>
        <v>5.6866690161150799E-2</v>
      </c>
    </row>
    <row r="46" spans="2:32" x14ac:dyDescent="0.2">
      <c r="B46" s="1162">
        <v>2047</v>
      </c>
      <c r="C46" s="1167">
        <v>1</v>
      </c>
      <c r="D46" s="1159">
        <v>1</v>
      </c>
      <c r="E46" s="1159">
        <v>1</v>
      </c>
      <c r="F46" s="1159">
        <v>1</v>
      </c>
      <c r="G46" s="1159">
        <v>1</v>
      </c>
      <c r="H46" s="1159">
        <v>1</v>
      </c>
      <c r="I46" s="1159">
        <v>1</v>
      </c>
      <c r="J46" s="1307">
        <f t="shared" si="0"/>
        <v>0.99993194033152688</v>
      </c>
      <c r="K46" s="1308">
        <f t="shared" si="1"/>
        <v>0.23565694062183914</v>
      </c>
      <c r="M46" s="1303">
        <f t="shared" si="3"/>
        <v>0.37000000000000016</v>
      </c>
      <c r="N46" s="1288">
        <f t="shared" si="6"/>
        <v>0.25908232520512747</v>
      </c>
      <c r="P46" s="1135">
        <v>2030</v>
      </c>
      <c r="Q46" s="1123">
        <f t="shared" si="5"/>
        <v>73812.400000000373</v>
      </c>
      <c r="R46" s="538"/>
      <c r="S46" s="538"/>
      <c r="T46" s="538"/>
      <c r="U46" s="1123">
        <v>11075.6</v>
      </c>
      <c r="V46" s="538"/>
      <c r="W46" s="538"/>
      <c r="X46" s="538"/>
      <c r="Y46" s="1127">
        <f t="shared" si="4"/>
        <v>156065</v>
      </c>
      <c r="Z46" s="496">
        <f>-1976.3*Table1[[#This Row],[Year]]+4130497.79</f>
        <v>118608.79000000004</v>
      </c>
      <c r="AC46" s="496">
        <v>2030</v>
      </c>
      <c r="AD46" s="1302">
        <f>Table1[[#This Row],[Electricity]]/Table1[[#This Row],[Gasoline]]</f>
        <v>0.47295934386313632</v>
      </c>
      <c r="AE46" s="1302">
        <f>Table1[[#This Row],[Hydrogen]]/Table1[[#This Row],[Gasoline]]</f>
        <v>7.0967865953288703E-2</v>
      </c>
    </row>
    <row r="47" spans="2:32" x14ac:dyDescent="0.2">
      <c r="B47" s="1162">
        <v>2048</v>
      </c>
      <c r="C47" s="1167">
        <v>1</v>
      </c>
      <c r="D47" s="1159">
        <v>1</v>
      </c>
      <c r="E47" s="1159">
        <v>1</v>
      </c>
      <c r="F47" s="1159">
        <v>1</v>
      </c>
      <c r="G47" s="1159">
        <v>1</v>
      </c>
      <c r="H47" s="1159">
        <v>1</v>
      </c>
      <c r="I47" s="1159">
        <v>1</v>
      </c>
      <c r="J47" s="1307">
        <f t="shared" si="0"/>
        <v>0.99997239738380339</v>
      </c>
      <c r="K47" s="1308">
        <f t="shared" si="1"/>
        <v>0.25908232520512747</v>
      </c>
      <c r="M47" s="1303">
        <f t="shared" si="3"/>
        <v>0.38000000000000017</v>
      </c>
      <c r="N47" s="1288">
        <f t="shared" si="6"/>
        <v>0.28367532636244841</v>
      </c>
      <c r="P47" s="1135">
        <v>2031</v>
      </c>
      <c r="Q47" s="1123">
        <f t="shared" si="5"/>
        <v>77566.133333333768</v>
      </c>
      <c r="R47" s="538"/>
      <c r="S47" s="538"/>
      <c r="T47" s="538"/>
      <c r="U47" s="1123">
        <v>13478.789999999997</v>
      </c>
      <c r="V47" s="538"/>
      <c r="W47" s="538"/>
      <c r="X47" s="538"/>
      <c r="Y47" s="1127">
        <f t="shared" si="4"/>
        <v>156065</v>
      </c>
      <c r="Z47" s="496">
        <f>-1976.3*Table1[[#This Row],[Year]]+4130497.79</f>
        <v>116632.49000000022</v>
      </c>
      <c r="AC47" s="496">
        <v>2031</v>
      </c>
      <c r="AD47" s="1302">
        <f>Table1[[#This Row],[Electricity]]/Table1[[#This Row],[Gasoline]]</f>
        <v>0.49701171520413784</v>
      </c>
      <c r="AE47" s="1302">
        <f>Table1[[#This Row],[Hydrogen]]/Table1[[#This Row],[Gasoline]]</f>
        <v>8.6366513952519763E-2</v>
      </c>
    </row>
    <row r="48" spans="2:32" x14ac:dyDescent="0.2">
      <c r="B48" s="1162">
        <v>2049</v>
      </c>
      <c r="C48" s="1167">
        <v>1</v>
      </c>
      <c r="D48" s="1159">
        <v>1</v>
      </c>
      <c r="E48" s="1159">
        <v>1</v>
      </c>
      <c r="F48" s="1159">
        <v>1</v>
      </c>
      <c r="G48" s="1159">
        <v>1</v>
      </c>
      <c r="H48" s="1159">
        <v>1</v>
      </c>
      <c r="I48" s="1159">
        <v>1</v>
      </c>
      <c r="J48" s="1307">
        <f t="shared" si="0"/>
        <v>0.99998948057868242</v>
      </c>
      <c r="K48" s="1308">
        <f t="shared" si="1"/>
        <v>0.30936965849496828</v>
      </c>
      <c r="M48" s="1303">
        <f t="shared" si="3"/>
        <v>0.39000000000000018</v>
      </c>
      <c r="N48" s="1288">
        <f t="shared" si="6"/>
        <v>0.30936965849496828</v>
      </c>
      <c r="P48" s="1135">
        <v>2032</v>
      </c>
      <c r="Q48" s="1123">
        <f t="shared" si="5"/>
        <v>81319.866666667163</v>
      </c>
      <c r="R48" s="538"/>
      <c r="S48" s="538"/>
      <c r="T48" s="538"/>
      <c r="U48" s="1123">
        <v>16001.890000000003</v>
      </c>
      <c r="V48" s="538"/>
      <c r="W48" s="538"/>
      <c r="X48" s="538"/>
      <c r="Y48" s="1127">
        <f t="shared" si="4"/>
        <v>156065</v>
      </c>
      <c r="Z48" s="496">
        <f>-1976.3*Table1[[#This Row],[Year]]+4130497.79</f>
        <v>114656.18999999994</v>
      </c>
      <c r="AC48" s="496">
        <v>2032</v>
      </c>
      <c r="AD48" s="1302">
        <f>Table1[[#This Row],[Electricity]]/Table1[[#This Row],[Gasoline]]</f>
        <v>0.52106408654513925</v>
      </c>
      <c r="AE48" s="1302">
        <f>Table1[[#This Row],[Hydrogen]]/Table1[[#This Row],[Gasoline]]</f>
        <v>0.10253349565886011</v>
      </c>
    </row>
    <row r="49" spans="2:31" ht="15" thickBot="1" x14ac:dyDescent="0.25">
      <c r="B49" s="1163">
        <v>2050</v>
      </c>
      <c r="C49" s="1168">
        <v>1</v>
      </c>
      <c r="D49" s="1160">
        <v>1</v>
      </c>
      <c r="E49" s="1160">
        <v>1</v>
      </c>
      <c r="F49" s="1160">
        <v>1</v>
      </c>
      <c r="G49" s="1160">
        <v>1</v>
      </c>
      <c r="H49" s="1160">
        <v>1</v>
      </c>
      <c r="I49" s="1160">
        <v>1</v>
      </c>
      <c r="J49" s="1309">
        <f t="shared" si="0"/>
        <v>0.99999781107499508</v>
      </c>
      <c r="K49" s="1310">
        <f t="shared" si="1"/>
        <v>0.33608423666452697</v>
      </c>
      <c r="M49" s="1303">
        <f t="shared" si="3"/>
        <v>0.40000000000000019</v>
      </c>
      <c r="N49" s="1288">
        <f t="shared" si="6"/>
        <v>0.33608423666452697</v>
      </c>
      <c r="P49" s="1135">
        <v>2033</v>
      </c>
      <c r="Q49" s="1123">
        <f t="shared" si="5"/>
        <v>85073.600000000559</v>
      </c>
      <c r="R49" s="538"/>
      <c r="S49" s="538"/>
      <c r="T49" s="538"/>
      <c r="U49" s="1123">
        <v>18199.889999999996</v>
      </c>
      <c r="V49" s="538"/>
      <c r="W49" s="538"/>
      <c r="X49" s="538"/>
      <c r="Y49" s="1127">
        <f t="shared" si="4"/>
        <v>156065</v>
      </c>
      <c r="Z49" s="496">
        <f>-1976.3*Table1[[#This Row],[Year]]+4130497.79</f>
        <v>112679.89000000013</v>
      </c>
      <c r="AC49" s="496">
        <v>2033</v>
      </c>
      <c r="AD49" s="1302">
        <f>Table1[[#This Row],[Electricity]]/Table1[[#This Row],[Gasoline]]</f>
        <v>0.54511645788614072</v>
      </c>
      <c r="AE49" s="1302">
        <f>Table1[[#This Row],[Hydrogen]]/Table1[[#This Row],[Gasoline]]</f>
        <v>0.11661737096722517</v>
      </c>
    </row>
    <row r="50" spans="2:31" x14ac:dyDescent="0.2">
      <c r="M50" s="1303">
        <f t="shared" si="3"/>
        <v>0.4100000000000002</v>
      </c>
      <c r="N50" s="1288">
        <f t="shared" si="6"/>
        <v>0.36372330804167707</v>
      </c>
      <c r="P50" s="1135">
        <v>2034</v>
      </c>
      <c r="Q50" s="1123">
        <f t="shared" si="5"/>
        <v>88827.333333333954</v>
      </c>
      <c r="R50" s="538"/>
      <c r="S50" s="538"/>
      <c r="T50" s="538"/>
      <c r="U50" s="1123">
        <v>20480.889999999996</v>
      </c>
      <c r="V50" s="538"/>
      <c r="W50" s="538"/>
      <c r="X50" s="538"/>
      <c r="Y50" s="1127">
        <f t="shared" si="4"/>
        <v>156065</v>
      </c>
      <c r="Z50" s="496">
        <f>-1976.3*Table1[[#This Row],[Year]]+4130497.79</f>
        <v>110703.59000000032</v>
      </c>
      <c r="AC50" s="496">
        <v>2034</v>
      </c>
      <c r="AD50" s="1302">
        <f>Table1[[#This Row],[Electricity]]/Table1[[#This Row],[Gasoline]]</f>
        <v>0.56916882922714229</v>
      </c>
      <c r="AE50" s="1302">
        <f>Table1[[#This Row],[Hydrogen]]/Table1[[#This Row],[Gasoline]]</f>
        <v>0.13123307596193892</v>
      </c>
    </row>
    <row r="51" spans="2:31" x14ac:dyDescent="0.2">
      <c r="M51" s="1303">
        <f t="shared" si="3"/>
        <v>0.42000000000000021</v>
      </c>
      <c r="N51" s="1288">
        <f t="shared" si="6"/>
        <v>0.39217687976031146</v>
      </c>
      <c r="P51" s="1135">
        <v>2035</v>
      </c>
      <c r="Q51" s="1123">
        <f t="shared" si="5"/>
        <v>92581.06666666735</v>
      </c>
      <c r="R51" s="538"/>
      <c r="S51" s="538"/>
      <c r="T51" s="538"/>
      <c r="U51" s="1123">
        <v>22921.889999999996</v>
      </c>
      <c r="V51" s="538"/>
      <c r="W51" s="538"/>
      <c r="X51" s="538"/>
      <c r="Y51" s="1127">
        <f t="shared" si="4"/>
        <v>156065</v>
      </c>
      <c r="Z51" s="496">
        <f>-1976.3*Table1[[#This Row],[Year]]+4130497.79</f>
        <v>108727.29000000004</v>
      </c>
      <c r="AC51" s="496">
        <v>2035</v>
      </c>
      <c r="AD51" s="1302">
        <f>Table1[[#This Row],[Electricity]]/Table1[[#This Row],[Gasoline]]</f>
        <v>0.59322120056814376</v>
      </c>
      <c r="AE51" s="1302">
        <f>Table1[[#This Row],[Hydrogen]]/Table1[[#This Row],[Gasoline]]</f>
        <v>0.14687399480985483</v>
      </c>
    </row>
    <row r="52" spans="2:31" x14ac:dyDescent="0.2">
      <c r="M52" s="1303">
        <f t="shared" si="3"/>
        <v>0.43000000000000022</v>
      </c>
      <c r="N52" s="1288">
        <f t="shared" si="6"/>
        <v>0.42132146335212817</v>
      </c>
      <c r="P52" s="1135">
        <v>2036</v>
      </c>
      <c r="Q52" s="1123">
        <f t="shared" si="5"/>
        <v>96334.800000000745</v>
      </c>
      <c r="R52" s="538"/>
      <c r="S52" s="538"/>
      <c r="T52" s="538"/>
      <c r="U52" s="1123">
        <v>25534.889999999996</v>
      </c>
      <c r="V52" s="538"/>
      <c r="W52" s="538"/>
      <c r="X52" s="538"/>
      <c r="Y52" s="1127">
        <f t="shared" si="4"/>
        <v>156065</v>
      </c>
      <c r="Z52" s="496">
        <f>-1976.3*Table1[[#This Row],[Year]]+4130497.79</f>
        <v>106750.99000000022</v>
      </c>
      <c r="AC52" s="496">
        <v>2036</v>
      </c>
      <c r="AD52" s="1302">
        <f>Table1[[#This Row],[Electricity]]/Table1[[#This Row],[Gasoline]]</f>
        <v>0.61727357190914522</v>
      </c>
      <c r="AE52" s="1302">
        <f>Table1[[#This Row],[Hydrogen]]/Table1[[#This Row],[Gasoline]]</f>
        <v>0.16361701854996313</v>
      </c>
    </row>
    <row r="53" spans="2:31" x14ac:dyDescent="0.2">
      <c r="D53" s="496" t="b">
        <v>1</v>
      </c>
      <c r="M53" s="1303">
        <f t="shared" si="3"/>
        <v>0.44000000000000022</v>
      </c>
      <c r="N53" s="1288">
        <f t="shared" si="6"/>
        <v>0.45102114846019115</v>
      </c>
      <c r="P53" s="1135">
        <v>2037</v>
      </c>
      <c r="Q53" s="1123">
        <f t="shared" si="5"/>
        <v>100088.53333333414</v>
      </c>
      <c r="R53" s="538"/>
      <c r="S53" s="538"/>
      <c r="T53" s="538"/>
      <c r="U53" s="1123">
        <v>28238.889999999996</v>
      </c>
      <c r="V53" s="538"/>
      <c r="W53" s="538"/>
      <c r="X53" s="538"/>
      <c r="Y53" s="1127">
        <f t="shared" si="4"/>
        <v>156065</v>
      </c>
      <c r="Z53" s="496">
        <f>-1976.3*Table1[[#This Row],[Year]]+4130497.79</f>
        <v>104774.68999999994</v>
      </c>
      <c r="AC53" s="496">
        <v>2037</v>
      </c>
      <c r="AD53" s="1302">
        <f>Table1[[#This Row],[Electricity]]/Table1[[#This Row],[Gasoline]]</f>
        <v>0.64132594325014669</v>
      </c>
      <c r="AE53" s="1302">
        <f>Table1[[#This Row],[Hydrogen]]/Table1[[#This Row],[Gasoline]]</f>
        <v>0.18094313266908016</v>
      </c>
    </row>
    <row r="54" spans="2:31" x14ac:dyDescent="0.2">
      <c r="D54" s="496" t="b">
        <v>0</v>
      </c>
      <c r="M54" s="1303">
        <f t="shared" si="3"/>
        <v>0.45000000000000023</v>
      </c>
      <c r="N54" s="1288">
        <f t="shared" si="6"/>
        <v>0.48112900953454829</v>
      </c>
      <c r="P54" s="1135">
        <v>2038</v>
      </c>
      <c r="Q54" s="1123">
        <f t="shared" si="5"/>
        <v>103842.26666666754</v>
      </c>
      <c r="R54" s="538"/>
      <c r="S54" s="538"/>
      <c r="T54" s="538"/>
      <c r="U54" s="1123">
        <v>31005.889999999996</v>
      </c>
      <c r="V54" s="538"/>
      <c r="W54" s="538"/>
      <c r="X54" s="538"/>
      <c r="Y54" s="1127">
        <f t="shared" si="4"/>
        <v>156065</v>
      </c>
      <c r="Z54" s="496">
        <f>-1976.3*Table1[[#This Row],[Year]]+4130497.79</f>
        <v>102798.39000000013</v>
      </c>
      <c r="AC54" s="496">
        <v>2038</v>
      </c>
      <c r="AD54" s="1302">
        <f>Table1[[#This Row],[Electricity]]/Table1[[#This Row],[Gasoline]]</f>
        <v>0.66537831459114816</v>
      </c>
      <c r="AE54" s="1302">
        <f>Table1[[#This Row],[Hydrogen]]/Table1[[#This Row],[Gasoline]]</f>
        <v>0.19867292474289555</v>
      </c>
    </row>
    <row r="55" spans="2:31" x14ac:dyDescent="0.2">
      <c r="M55" s="1303">
        <f t="shared" si="3"/>
        <v>0.46000000000000024</v>
      </c>
      <c r="N55" s="1288">
        <f t="shared" si="6"/>
        <v>0.51148883886909147</v>
      </c>
      <c r="P55" s="1135">
        <v>2039</v>
      </c>
      <c r="Q55" s="1123">
        <f t="shared" si="5"/>
        <v>107596.00000000093</v>
      </c>
      <c r="R55" s="538"/>
      <c r="S55" s="538"/>
      <c r="T55" s="538"/>
      <c r="U55" s="1123">
        <v>33834.89</v>
      </c>
      <c r="V55" s="538"/>
      <c r="W55" s="538"/>
      <c r="X55" s="538"/>
      <c r="Y55" s="1127">
        <f t="shared" si="4"/>
        <v>156065</v>
      </c>
      <c r="Z55" s="496">
        <f>-1976.3*Table1[[#This Row],[Year]]+4130497.79</f>
        <v>100822.09000000032</v>
      </c>
      <c r="AC55" s="496">
        <v>2039</v>
      </c>
      <c r="AD55" s="1302">
        <f>Table1[[#This Row],[Electricity]]/Table1[[#This Row],[Gasoline]]</f>
        <v>0.68943068593214962</v>
      </c>
      <c r="AE55" s="1302">
        <f>Table1[[#This Row],[Hydrogen]]/Table1[[#This Row],[Gasoline]]</f>
        <v>0.21679998718482682</v>
      </c>
    </row>
    <row r="56" spans="2:31" x14ac:dyDescent="0.2">
      <c r="M56" s="1303">
        <f t="shared" si="3"/>
        <v>0.47000000000000025</v>
      </c>
      <c r="N56" s="1288">
        <f t="shared" si="6"/>
        <v>0.54193718792371426</v>
      </c>
      <c r="P56" s="1135">
        <v>2040</v>
      </c>
      <c r="Q56" s="1123">
        <f t="shared" si="5"/>
        <v>111349.73333333433</v>
      </c>
      <c r="R56" s="538"/>
      <c r="S56" s="538"/>
      <c r="T56" s="538"/>
      <c r="U56" s="1123">
        <v>36523.89</v>
      </c>
      <c r="V56" s="538"/>
      <c r="W56" s="538"/>
      <c r="X56" s="538"/>
      <c r="Y56" s="1127">
        <f t="shared" si="4"/>
        <v>156065</v>
      </c>
      <c r="Z56" s="496">
        <f>-1976.3*Table1[[#This Row],[Year]]+4130497.79</f>
        <v>98845.790000000037</v>
      </c>
      <c r="AC56" s="496">
        <v>2040</v>
      </c>
      <c r="AD56" s="1302">
        <f>Table1[[#This Row],[Electricity]]/Table1[[#This Row],[Gasoline]]</f>
        <v>0.71348305727315109</v>
      </c>
      <c r="AE56" s="1302">
        <f>Table1[[#This Row],[Hydrogen]]/Table1[[#This Row],[Gasoline]]</f>
        <v>0.23402998750520615</v>
      </c>
    </row>
    <row r="57" spans="2:31" x14ac:dyDescent="0.2">
      <c r="M57" s="1303">
        <f t="shared" si="3"/>
        <v>0.48000000000000026</v>
      </c>
      <c r="N57" s="1288">
        <f t="shared" si="6"/>
        <v>0.57230568676862981</v>
      </c>
      <c r="P57" s="1135">
        <v>2041</v>
      </c>
      <c r="Q57" s="1123">
        <f t="shared" si="5"/>
        <v>115103.46666666679</v>
      </c>
      <c r="R57" s="1126"/>
      <c r="S57" s="1126"/>
      <c r="T57" s="1126"/>
      <c r="U57" s="1123">
        <v>39429.890000000007</v>
      </c>
      <c r="V57" s="1126"/>
      <c r="W57" s="1126"/>
      <c r="X57" s="1126"/>
      <c r="Y57" s="1127">
        <f t="shared" si="4"/>
        <v>156065</v>
      </c>
      <c r="Z57" s="496">
        <f>-1976.3*Table1[[#This Row],[Year]]+4130497.79</f>
        <v>96869.490000000224</v>
      </c>
      <c r="AC57" s="496">
        <v>2041</v>
      </c>
      <c r="AD57" s="1302">
        <f>Table1[[#This Row],[Electricity]]/Table1[[#This Row],[Gasoline]]</f>
        <v>0.73753542861414656</v>
      </c>
      <c r="AE57" s="1302">
        <f>Table1[[#This Row],[Hydrogen]]/Table1[[#This Row],[Gasoline]]</f>
        <v>0.25265043411399102</v>
      </c>
    </row>
    <row r="58" spans="2:31" x14ac:dyDescent="0.2">
      <c r="M58" s="1303">
        <f t="shared" si="3"/>
        <v>0.49000000000000027</v>
      </c>
      <c r="N58" s="1288">
        <f t="shared" si="6"/>
        <v>0.60242359916581223</v>
      </c>
      <c r="P58" s="1135">
        <v>2042</v>
      </c>
      <c r="Q58" s="1123">
        <f t="shared" si="5"/>
        <v>118857.20000000019</v>
      </c>
      <c r="R58" s="1126"/>
      <c r="S58" s="1126"/>
      <c r="T58" s="1126"/>
      <c r="U58" s="1123">
        <v>42341.890000000007</v>
      </c>
      <c r="V58" s="1126"/>
      <c r="W58" s="1126"/>
      <c r="X58" s="1126"/>
      <c r="Y58" s="1127">
        <f t="shared" si="4"/>
        <v>156065</v>
      </c>
      <c r="Z58" s="496">
        <f>-1976.3*Table1[[#This Row],[Year]]+4130497.79</f>
        <v>94893.189999999944</v>
      </c>
      <c r="AC58" s="496">
        <v>2042</v>
      </c>
      <c r="AD58" s="1302">
        <f>Table1[[#This Row],[Electricity]]/Table1[[#This Row],[Gasoline]]</f>
        <v>0.76158779995514814</v>
      </c>
      <c r="AE58" s="1302">
        <f>Table1[[#This Row],[Hydrogen]]/Table1[[#This Row],[Gasoline]]</f>
        <v>0.27130932624227089</v>
      </c>
    </row>
    <row r="59" spans="2:31" x14ac:dyDescent="0.2">
      <c r="M59" s="1303">
        <f t="shared" si="3"/>
        <v>0.50000000000000022</v>
      </c>
      <c r="N59" s="1288">
        <f t="shared" si="6"/>
        <v>0.63212055882855833</v>
      </c>
      <c r="P59" s="1135">
        <v>2043</v>
      </c>
      <c r="Q59" s="1123">
        <f t="shared" si="5"/>
        <v>122610.93333333358</v>
      </c>
      <c r="R59" s="1126"/>
      <c r="S59" s="1126"/>
      <c r="T59" s="1126"/>
      <c r="U59" s="1123">
        <v>45272.890000000007</v>
      </c>
      <c r="V59" s="1126"/>
      <c r="W59" s="1126"/>
      <c r="X59" s="1126"/>
      <c r="Y59" s="1127">
        <f t="shared" si="4"/>
        <v>156065</v>
      </c>
      <c r="Z59" s="496">
        <f>-1976.3*Table1[[#This Row],[Year]]+4130497.79</f>
        <v>92916.89000000013</v>
      </c>
      <c r="AC59" s="496">
        <v>2043</v>
      </c>
      <c r="AD59" s="1302">
        <f>Table1[[#This Row],[Electricity]]/Table1[[#This Row],[Gasoline]]</f>
        <v>0.7856401712961496</v>
      </c>
      <c r="AE59" s="1302">
        <f>Table1[[#This Row],[Hydrogen]]/Table1[[#This Row],[Gasoline]]</f>
        <v>0.29008996251561853</v>
      </c>
    </row>
    <row r="60" spans="2:31" x14ac:dyDescent="0.2">
      <c r="M60" s="1303">
        <f t="shared" si="3"/>
        <v>0.51000000000000023</v>
      </c>
      <c r="N60" s="1288">
        <f t="shared" ref="N60:N109" si="7">WEIBULL(M60,$N$4,$N$5,$N$6)</f>
        <v>0.66122942140045338</v>
      </c>
      <c r="P60" s="1135">
        <v>2044</v>
      </c>
      <c r="Q60" s="1123">
        <f t="shared" si="5"/>
        <v>126364.66666666698</v>
      </c>
      <c r="R60" s="1126"/>
      <c r="S60" s="1126"/>
      <c r="T60" s="1126"/>
      <c r="U60" s="1123">
        <v>48191.890000000007</v>
      </c>
      <c r="V60" s="1126"/>
      <c r="W60" s="1126"/>
      <c r="X60" s="1126"/>
      <c r="Y60" s="1127">
        <f t="shared" si="4"/>
        <v>156065</v>
      </c>
      <c r="Z60" s="496">
        <f>-1976.3*Table1[[#This Row],[Year]]+4130497.79</f>
        <v>90940.590000000317</v>
      </c>
      <c r="AC60" s="496">
        <v>2044</v>
      </c>
      <c r="AD60" s="1302">
        <f>Table1[[#This Row],[Electricity]]/Table1[[#This Row],[Gasoline]]</f>
        <v>0.80969254263715107</v>
      </c>
      <c r="AE60" s="1302">
        <f>Table1[[#This Row],[Hydrogen]]/Table1[[#This Row],[Gasoline]]</f>
        <v>0.308793707749976</v>
      </c>
    </row>
    <row r="61" spans="2:31" x14ac:dyDescent="0.2">
      <c r="M61" s="1303">
        <f t="shared" si="3"/>
        <v>0.52000000000000024</v>
      </c>
      <c r="N61" s="1288">
        <f t="shared" si="7"/>
        <v>0.68958915732970893</v>
      </c>
      <c r="P61" s="1135">
        <v>2045</v>
      </c>
      <c r="Q61" s="1123">
        <f t="shared" si="5"/>
        <v>130118.40000000037</v>
      </c>
      <c r="R61" s="1126"/>
      <c r="S61" s="1126"/>
      <c r="T61" s="1126"/>
      <c r="U61" s="1123">
        <v>51068.890000000007</v>
      </c>
      <c r="V61" s="1126"/>
      <c r="W61" s="1126"/>
      <c r="X61" s="1126"/>
      <c r="Y61" s="1127">
        <f t="shared" si="4"/>
        <v>156065</v>
      </c>
      <c r="Z61" s="496">
        <f>-1976.3*Table1[[#This Row],[Year]]+4130497.79</f>
        <v>88964.290000000037</v>
      </c>
      <c r="AC61" s="496">
        <v>2045</v>
      </c>
      <c r="AD61" s="1302">
        <f>Table1[[#This Row],[Electricity]]/Table1[[#This Row],[Gasoline]]</f>
        <v>0.83374491397815254</v>
      </c>
      <c r="AE61" s="1302">
        <f>Table1[[#This Row],[Hydrogen]]/Table1[[#This Row],[Gasoline]]</f>
        <v>0.32722833434786791</v>
      </c>
    </row>
    <row r="62" spans="2:31" x14ac:dyDescent="0.2">
      <c r="M62" s="1303">
        <f t="shared" si="3"/>
        <v>0.53000000000000025</v>
      </c>
      <c r="N62" s="1288">
        <f t="shared" si="7"/>
        <v>0.71704770374006288</v>
      </c>
      <c r="P62" s="1135">
        <v>2046</v>
      </c>
      <c r="Q62" s="1123">
        <f t="shared" si="5"/>
        <v>133872.13333333377</v>
      </c>
      <c r="R62" s="1126"/>
      <c r="S62" s="1126"/>
      <c r="T62" s="1126"/>
      <c r="U62" s="1123">
        <v>53824.890000000007</v>
      </c>
      <c r="V62" s="1126"/>
      <c r="W62" s="1126"/>
      <c r="X62" s="1126"/>
      <c r="Y62" s="1127">
        <f t="shared" si="4"/>
        <v>156065</v>
      </c>
      <c r="Z62" s="496">
        <f>-1976.3*Table1[[#This Row],[Year]]+4130497.79</f>
        <v>86987.990000000224</v>
      </c>
      <c r="AC62" s="496">
        <v>2046</v>
      </c>
      <c r="AD62" s="1302">
        <f>Table1[[#This Row],[Electricity]]/Table1[[#This Row],[Gasoline]]</f>
        <v>0.857797285319154</v>
      </c>
      <c r="AE62" s="1302">
        <f>Table1[[#This Row],[Hydrogen]]/Table1[[#This Row],[Gasoline]]</f>
        <v>0.34488764296927565</v>
      </c>
    </row>
    <row r="63" spans="2:31" x14ac:dyDescent="0.2">
      <c r="M63" s="1303">
        <f t="shared" si="3"/>
        <v>0.54000000000000026</v>
      </c>
      <c r="N63" s="1288">
        <f t="shared" si="7"/>
        <v>0.74346468922347331</v>
      </c>
      <c r="P63" s="1135">
        <v>2047</v>
      </c>
      <c r="Q63" s="1123">
        <f t="shared" si="5"/>
        <v>137625.86666666716</v>
      </c>
      <c r="R63" s="1126"/>
      <c r="S63" s="1126"/>
      <c r="T63" s="1126"/>
      <c r="U63" s="1123">
        <v>56484.890000000007</v>
      </c>
      <c r="V63" s="1126"/>
      <c r="W63" s="1126"/>
      <c r="X63" s="1126"/>
      <c r="Y63" s="1127">
        <f t="shared" si="4"/>
        <v>156065</v>
      </c>
      <c r="Z63" s="496">
        <f>-1976.3*Table1[[#This Row],[Year]]+4130497.79</f>
        <v>85011.689999999944</v>
      </c>
      <c r="AC63" s="496">
        <v>2047</v>
      </c>
      <c r="AD63" s="1302">
        <f>Table1[[#This Row],[Electricity]]/Table1[[#This Row],[Gasoline]]</f>
        <v>0.88184965666015547</v>
      </c>
      <c r="AE63" s="1302">
        <f>Table1[[#This Row],[Hydrogen]]/Table1[[#This Row],[Gasoline]]</f>
        <v>0.36193182327876211</v>
      </c>
    </row>
    <row r="64" spans="2:31" x14ac:dyDescent="0.2">
      <c r="M64" s="1303">
        <f t="shared" si="3"/>
        <v>0.55000000000000027</v>
      </c>
      <c r="N64" s="1288">
        <f t="shared" si="7"/>
        <v>0.768713944715672</v>
      </c>
      <c r="P64" s="1135">
        <v>2048</v>
      </c>
      <c r="Q64" s="1123">
        <f t="shared" si="5"/>
        <v>141379.60000000056</v>
      </c>
      <c r="R64" s="1126"/>
      <c r="S64" s="1126"/>
      <c r="T64" s="1126"/>
      <c r="U64" s="1123">
        <v>59039.890000000007</v>
      </c>
      <c r="V64" s="1126"/>
      <c r="W64" s="1126"/>
      <c r="X64" s="1126"/>
      <c r="Y64" s="1127">
        <f t="shared" si="4"/>
        <v>156065</v>
      </c>
      <c r="Z64" s="496">
        <f>-1976.3*Table1[[#This Row],[Year]]+4130497.79</f>
        <v>83035.39000000013</v>
      </c>
      <c r="AC64" s="496">
        <v>2048</v>
      </c>
      <c r="AD64" s="1302">
        <f>Table1[[#This Row],[Electricity]]/Table1[[#This Row],[Gasoline]]</f>
        <v>0.90590202800115693</v>
      </c>
      <c r="AE64" s="1302">
        <f>Table1[[#This Row],[Hydrogen]]/Table1[[#This Row],[Gasoline]]</f>
        <v>0.37830320699708458</v>
      </c>
    </row>
    <row r="65" spans="13:31" x14ac:dyDescent="0.2">
      <c r="M65" s="1303">
        <f t="shared" si="3"/>
        <v>0.56000000000000028</v>
      </c>
      <c r="N65" s="1288">
        <f t="shared" si="7"/>
        <v>0.79268571663322196</v>
      </c>
      <c r="P65" s="1135">
        <v>2049</v>
      </c>
      <c r="Q65" s="1123">
        <f t="shared" si="5"/>
        <v>145133.33333333395</v>
      </c>
      <c r="R65" s="1126"/>
      <c r="S65" s="1126"/>
      <c r="T65" s="1126"/>
      <c r="U65" s="1123">
        <v>61442.890000000007</v>
      </c>
      <c r="V65" s="1126"/>
      <c r="W65" s="1126"/>
      <c r="X65" s="1126"/>
      <c r="Y65" s="1127">
        <f t="shared" si="4"/>
        <v>156065</v>
      </c>
      <c r="Z65" s="496">
        <f>-1976.3*Table1[[#This Row],[Year]]+4130497.79</f>
        <v>81059.090000000317</v>
      </c>
      <c r="AC65" s="496">
        <v>2049</v>
      </c>
      <c r="AD65" s="1302">
        <f>Table1[[#This Row],[Electricity]]/Table1[[#This Row],[Gasoline]]</f>
        <v>0.9299543993421584</v>
      </c>
      <c r="AE65" s="1302">
        <f>Table1[[#This Row],[Hydrogen]]/Table1[[#This Row],[Gasoline]]</f>
        <v>0.39370063755486501</v>
      </c>
    </row>
    <row r="66" spans="13:31" x14ac:dyDescent="0.2">
      <c r="M66" s="1303">
        <f t="shared" si="3"/>
        <v>0.57000000000000028</v>
      </c>
      <c r="N66" s="1288">
        <f t="shared" si="7"/>
        <v>0.81528850543313935</v>
      </c>
      <c r="P66" s="1135">
        <v>2050</v>
      </c>
      <c r="Q66" s="1123">
        <f t="shared" si="5"/>
        <v>148887.06666666735</v>
      </c>
      <c r="R66" s="1126"/>
      <c r="S66" s="1126"/>
      <c r="T66" s="1126"/>
      <c r="U66" s="1123">
        <v>63797.890000000007</v>
      </c>
      <c r="V66" s="1126"/>
      <c r="W66" s="1126"/>
      <c r="X66" s="1126"/>
      <c r="Y66" s="1127">
        <f t="shared" si="4"/>
        <v>156065</v>
      </c>
      <c r="Z66" s="496">
        <f>-1976.3*Table1[[#This Row],[Year]]+4130497.79</f>
        <v>79082.790000000037</v>
      </c>
      <c r="AC66" s="496">
        <v>2050</v>
      </c>
      <c r="AD66" s="1302">
        <f>Table1[[#This Row],[Electricity]]/Table1[[#This Row],[Gasoline]]</f>
        <v>0.95400677068315987</v>
      </c>
      <c r="AE66" s="1302">
        <f>Table1[[#This Row],[Hydrogen]]/Table1[[#This Row],[Gasoline]]</f>
        <v>0.40879050395668476</v>
      </c>
    </row>
    <row r="67" spans="13:31" x14ac:dyDescent="0.2">
      <c r="M67" s="1303">
        <f t="shared" si="3"/>
        <v>0.58000000000000029</v>
      </c>
      <c r="N67" s="1288">
        <f t="shared" si="7"/>
        <v>0.83645046366396225</v>
      </c>
      <c r="P67" s="1136"/>
      <c r="Q67"/>
      <c r="R67"/>
      <c r="S67"/>
      <c r="T67"/>
      <c r="U67"/>
      <c r="V67"/>
      <c r="W67"/>
      <c r="X67"/>
    </row>
    <row r="68" spans="13:31" x14ac:dyDescent="0.2">
      <c r="M68" s="1303">
        <f t="shared" si="3"/>
        <v>0.5900000000000003</v>
      </c>
      <c r="N68" s="1288">
        <f t="shared" si="7"/>
        <v>0.85612030212542312</v>
      </c>
      <c r="P68" s="1136"/>
      <c r="Q68"/>
      <c r="R68"/>
      <c r="S68"/>
      <c r="T68"/>
      <c r="U68"/>
      <c r="V68"/>
      <c r="W68"/>
      <c r="X68"/>
    </row>
    <row r="69" spans="13:31" x14ac:dyDescent="0.2">
      <c r="M69" s="1303">
        <f t="shared" si="3"/>
        <v>0.60000000000000031</v>
      </c>
      <c r="N69" s="1288">
        <f t="shared" si="7"/>
        <v>0.87426767040557263</v>
      </c>
      <c r="P69" s="1136"/>
      <c r="Q69"/>
      <c r="R69"/>
      <c r="S69"/>
      <c r="T69"/>
      <c r="U69"/>
      <c r="V69"/>
      <c r="W69"/>
      <c r="X69"/>
    </row>
    <row r="70" spans="13:31" x14ac:dyDescent="0.2">
      <c r="M70" s="1303">
        <f t="shared" si="3"/>
        <v>0.61000000000000032</v>
      </c>
      <c r="N70" s="1288">
        <f t="shared" si="7"/>
        <v>0.89088299804314675</v>
      </c>
      <c r="P70"/>
      <c r="Q70"/>
      <c r="R70"/>
      <c r="S70"/>
      <c r="T70"/>
      <c r="U70"/>
      <c r="V70"/>
      <c r="W70"/>
      <c r="X70"/>
      <c r="Y70"/>
      <c r="Z70"/>
    </row>
    <row r="71" spans="13:31" x14ac:dyDescent="0.2">
      <c r="M71" s="1303">
        <f t="shared" si="3"/>
        <v>0.62000000000000033</v>
      </c>
      <c r="N71" s="1288">
        <f t="shared" si="7"/>
        <v>0.90597680388751134</v>
      </c>
      <c r="P71"/>
      <c r="Q71" t="s">
        <v>332</v>
      </c>
      <c r="R71"/>
      <c r="S71"/>
      <c r="T71"/>
      <c r="U71"/>
      <c r="V71"/>
      <c r="W71"/>
      <c r="X71"/>
      <c r="Y71"/>
      <c r="Z71"/>
    </row>
    <row r="72" spans="13:31" ht="15" thickBot="1" x14ac:dyDescent="0.25">
      <c r="M72" s="1303">
        <f t="shared" si="3"/>
        <v>0.63000000000000034</v>
      </c>
      <c r="N72" s="1288">
        <f t="shared" si="7"/>
        <v>0.91957850276566688</v>
      </c>
      <c r="P72"/>
      <c r="Q72"/>
      <c r="R72"/>
      <c r="S72"/>
      <c r="T72"/>
      <c r="U72"/>
      <c r="V72"/>
      <c r="W72"/>
      <c r="X72"/>
      <c r="Y72"/>
      <c r="Z72"/>
    </row>
    <row r="73" spans="13:31" x14ac:dyDescent="0.2">
      <c r="M73" s="1303">
        <f t="shared" si="3"/>
        <v>0.64000000000000035</v>
      </c>
      <c r="N73" s="1288">
        <f t="shared" si="7"/>
        <v>0.93173475910294257</v>
      </c>
      <c r="P73"/>
      <c r="Q73" s="1283" t="s">
        <v>333</v>
      </c>
      <c r="R73" s="1283"/>
      <c r="S73"/>
      <c r="T73"/>
      <c r="U73"/>
      <c r="V73"/>
      <c r="W73"/>
      <c r="X73"/>
      <c r="Y73"/>
      <c r="Z73"/>
    </row>
    <row r="74" spans="13:31" x14ac:dyDescent="0.2">
      <c r="M74" s="1303">
        <f t="shared" si="3"/>
        <v>0.65000000000000036</v>
      </c>
      <c r="N74" s="1288">
        <f t="shared" si="7"/>
        <v>0.94250745547383585</v>
      </c>
      <c r="P74"/>
      <c r="Q74" s="1282" t="s">
        <v>334</v>
      </c>
      <c r="R74" s="1282">
        <v>0.99449967320782939</v>
      </c>
      <c r="S74"/>
      <c r="T74"/>
      <c r="U74"/>
      <c r="V74"/>
      <c r="W74"/>
      <c r="X74"/>
      <c r="Y74"/>
      <c r="Z74"/>
    </row>
    <row r="75" spans="13:31" x14ac:dyDescent="0.2">
      <c r="M75" s="1303">
        <f t="shared" si="3"/>
        <v>0.66000000000000036</v>
      </c>
      <c r="N75" s="1288">
        <f t="shared" si="7"/>
        <v>0.95197135907101305</v>
      </c>
      <c r="P75"/>
      <c r="Q75" s="1282" t="s">
        <v>335</v>
      </c>
      <c r="R75" s="1282">
        <v>0.98902960001047946</v>
      </c>
      <c r="S75"/>
      <c r="T75"/>
      <c r="U75"/>
      <c r="V75"/>
      <c r="W75"/>
      <c r="X75"/>
      <c r="Y75"/>
      <c r="Z75"/>
    </row>
    <row r="76" spans="13:31" x14ac:dyDescent="0.2">
      <c r="M76" s="1303">
        <f t="shared" ref="M76:M109" si="8">M75+0.01</f>
        <v>0.67000000000000037</v>
      </c>
      <c r="N76" s="1288">
        <f t="shared" si="7"/>
        <v>0.96021157984875782</v>
      </c>
      <c r="P76"/>
      <c r="Q76" s="1282" t="s">
        <v>336</v>
      </c>
      <c r="R76" s="1282">
        <v>0.98720120001222611</v>
      </c>
      <c r="S76"/>
      <c r="T76"/>
      <c r="U76"/>
      <c r="V76"/>
      <c r="W76"/>
      <c r="X76"/>
      <c r="Y76"/>
      <c r="Z76"/>
    </row>
    <row r="77" spans="13:31" x14ac:dyDescent="0.2">
      <c r="M77" s="1303">
        <f t="shared" si="8"/>
        <v>0.68000000000000038</v>
      </c>
      <c r="N77" s="1288">
        <f t="shared" si="7"/>
        <v>0.96732091996204717</v>
      </c>
      <c r="P77"/>
      <c r="Q77" s="1282" t="s">
        <v>337</v>
      </c>
      <c r="R77" s="1282">
        <v>1099.8062500724445</v>
      </c>
      <c r="S77"/>
      <c r="T77"/>
      <c r="U77"/>
      <c r="V77"/>
      <c r="W77"/>
      <c r="X77"/>
      <c r="Y77"/>
      <c r="Z77"/>
    </row>
    <row r="78" spans="13:31" ht="15" thickBot="1" x14ac:dyDescent="0.25">
      <c r="M78" s="1303">
        <f t="shared" si="8"/>
        <v>0.69000000000000039</v>
      </c>
      <c r="N78" s="1288">
        <f t="shared" si="7"/>
        <v>0.97339721474921714</v>
      </c>
      <c r="P78"/>
      <c r="Q78" s="1280" t="s">
        <v>338</v>
      </c>
      <c r="R78" s="1280">
        <v>8</v>
      </c>
      <c r="S78"/>
      <c r="T78"/>
      <c r="U78"/>
      <c r="V78"/>
      <c r="W78"/>
      <c r="X78"/>
      <c r="Y78"/>
      <c r="Z78"/>
    </row>
    <row r="79" spans="13:31" x14ac:dyDescent="0.2">
      <c r="M79" s="1303">
        <f t="shared" si="8"/>
        <v>0.7000000000000004</v>
      </c>
      <c r="N79" s="1288">
        <f t="shared" si="7"/>
        <v>0.97854076091991982</v>
      </c>
      <c r="P79"/>
      <c r="Q79"/>
      <c r="R79"/>
      <c r="S79"/>
      <c r="T79"/>
      <c r="U79"/>
      <c r="V79"/>
      <c r="W79"/>
      <c r="X79"/>
      <c r="Y79"/>
      <c r="Z79"/>
    </row>
    <row r="80" spans="13:31" ht="15" thickBot="1" x14ac:dyDescent="0.25">
      <c r="M80" s="1303">
        <f t="shared" si="8"/>
        <v>0.71000000000000041</v>
      </c>
      <c r="N80" s="1288">
        <f t="shared" si="7"/>
        <v>0.9828519181996197</v>
      </c>
      <c r="P80"/>
      <c r="Q80" t="s">
        <v>339</v>
      </c>
      <c r="R80"/>
      <c r="S80"/>
      <c r="T80"/>
      <c r="U80"/>
      <c r="V80"/>
      <c r="W80"/>
      <c r="X80"/>
      <c r="Y80"/>
      <c r="Z80"/>
    </row>
    <row r="81" spans="13:26" x14ac:dyDescent="0.2">
      <c r="M81" s="1303">
        <f t="shared" si="8"/>
        <v>0.72000000000000042</v>
      </c>
      <c r="N81" s="1288">
        <f t="shared" si="7"/>
        <v>0.98642895717144563</v>
      </c>
      <c r="P81"/>
      <c r="Q81" s="1281"/>
      <c r="R81" s="1281" t="s">
        <v>343</v>
      </c>
      <c r="S81" s="1281" t="s">
        <v>344</v>
      </c>
      <c r="T81" s="1281" t="s">
        <v>345</v>
      </c>
      <c r="U81" s="1281" t="s">
        <v>346</v>
      </c>
      <c r="V81" s="1281" t="s">
        <v>347</v>
      </c>
      <c r="W81"/>
      <c r="X81"/>
      <c r="Y81"/>
      <c r="Z81"/>
    </row>
    <row r="82" spans="13:26" x14ac:dyDescent="0.2">
      <c r="M82" s="1303">
        <f t="shared" si="8"/>
        <v>0.73000000000000043</v>
      </c>
      <c r="N82" s="1288">
        <f t="shared" si="7"/>
        <v>0.98936620944626497</v>
      </c>
      <c r="P82"/>
      <c r="Q82" s="1282" t="s">
        <v>340</v>
      </c>
      <c r="R82" s="1282">
        <v>1</v>
      </c>
      <c r="S82" s="1282">
        <v>654290243.14880955</v>
      </c>
      <c r="T82" s="1282">
        <v>654290243.14880955</v>
      </c>
      <c r="U82" s="1282">
        <v>540.92627486066692</v>
      </c>
      <c r="V82" s="1282">
        <v>4.1429738325697967E-7</v>
      </c>
      <c r="W82"/>
      <c r="X82"/>
      <c r="Y82"/>
      <c r="Z82"/>
    </row>
    <row r="83" spans="13:26" x14ac:dyDescent="0.2">
      <c r="M83" s="1303">
        <f t="shared" si="8"/>
        <v>0.74000000000000044</v>
      </c>
      <c r="N83" s="1288">
        <f t="shared" si="7"/>
        <v>0.99175255777467719</v>
      </c>
      <c r="P83"/>
      <c r="Q83" s="1282" t="s">
        <v>341</v>
      </c>
      <c r="R83" s="1282">
        <v>6</v>
      </c>
      <c r="S83" s="1282">
        <v>7257442.7261904757</v>
      </c>
      <c r="T83" s="1282">
        <v>1209573.7876984125</v>
      </c>
      <c r="U83" s="1282"/>
      <c r="V83" s="1282"/>
      <c r="W83"/>
      <c r="X83"/>
      <c r="Y83"/>
      <c r="Z83"/>
    </row>
    <row r="84" spans="13:26" ht="15" thickBot="1" x14ac:dyDescent="0.25">
      <c r="M84" s="1303">
        <f t="shared" si="8"/>
        <v>0.75000000000000044</v>
      </c>
      <c r="N84" s="1288">
        <f t="shared" si="7"/>
        <v>0.99367028457251438</v>
      </c>
      <c r="P84"/>
      <c r="Q84" s="1280" t="s">
        <v>18</v>
      </c>
      <c r="R84" s="1280">
        <v>7</v>
      </c>
      <c r="S84" s="1280">
        <v>661547685.875</v>
      </c>
      <c r="T84" s="1280"/>
      <c r="U84" s="1280"/>
      <c r="V84" s="1280"/>
      <c r="W84"/>
      <c r="X84"/>
      <c r="Y84"/>
      <c r="Z84"/>
    </row>
    <row r="85" spans="13:26" ht="15" thickBot="1" x14ac:dyDescent="0.25">
      <c r="M85" s="1303">
        <f t="shared" si="8"/>
        <v>0.76000000000000045</v>
      </c>
      <c r="N85" s="1288">
        <f t="shared" si="7"/>
        <v>0.9951942788280157</v>
      </c>
      <c r="P85"/>
      <c r="Q85"/>
      <c r="R85"/>
      <c r="S85"/>
      <c r="T85"/>
      <c r="U85"/>
      <c r="V85"/>
      <c r="W85"/>
      <c r="X85"/>
      <c r="Y85"/>
      <c r="Z85"/>
    </row>
    <row r="86" spans="13:26" x14ac:dyDescent="0.2">
      <c r="M86" s="1303">
        <f t="shared" si="8"/>
        <v>0.77000000000000046</v>
      </c>
      <c r="N86" s="1288">
        <f t="shared" si="7"/>
        <v>0.9963915846347442</v>
      </c>
      <c r="P86"/>
      <c r="Q86" s="1281"/>
      <c r="R86" s="1281" t="s">
        <v>348</v>
      </c>
      <c r="S86" s="1281" t="s">
        <v>337</v>
      </c>
      <c r="T86" s="1281" t="s">
        <v>349</v>
      </c>
      <c r="U86" s="1281" t="s">
        <v>350</v>
      </c>
      <c r="V86" s="1281" t="s">
        <v>351</v>
      </c>
      <c r="W86" s="1281" t="s">
        <v>352</v>
      </c>
      <c r="X86" s="1281" t="s">
        <v>353</v>
      </c>
      <c r="Y86" s="1281" t="s">
        <v>354</v>
      </c>
      <c r="Z86"/>
    </row>
    <row r="87" spans="13:26" x14ac:dyDescent="0.2">
      <c r="M87" s="1303">
        <f t="shared" si="8"/>
        <v>0.78000000000000047</v>
      </c>
      <c r="N87" s="1288">
        <f t="shared" si="7"/>
        <v>0.99732126057789017</v>
      </c>
      <c r="P87"/>
      <c r="Q87" s="1282" t="s">
        <v>342</v>
      </c>
      <c r="R87" s="1282">
        <v>-7935707.4642857136</v>
      </c>
      <c r="S87" s="1282">
        <v>341868.5034598693</v>
      </c>
      <c r="T87" s="1282">
        <v>-23.212748129683312</v>
      </c>
      <c r="U87" s="1282">
        <v>4.1910075053613936E-7</v>
      </c>
      <c r="V87" s="1282">
        <v>-8772229.5569348633</v>
      </c>
      <c r="W87" s="1282">
        <v>-7099185.3716365639</v>
      </c>
      <c r="X87" s="1282">
        <v>-8772229.5569348633</v>
      </c>
      <c r="Y87" s="1282">
        <v>-7099185.3716365639</v>
      </c>
      <c r="Z87"/>
    </row>
    <row r="88" spans="13:26" ht="15" thickBot="1" x14ac:dyDescent="0.25">
      <c r="M88" s="1303">
        <f t="shared" si="8"/>
        <v>0.79000000000000048</v>
      </c>
      <c r="N88" s="1288">
        <f t="shared" si="7"/>
        <v>0.99803450854380882</v>
      </c>
      <c r="P88"/>
      <c r="Q88" s="1280" t="s">
        <v>355</v>
      </c>
      <c r="R88" s="1280">
        <v>3946.9404761904757</v>
      </c>
      <c r="S88" s="1280">
        <v>169.70378869542441</v>
      </c>
      <c r="T88" s="1280">
        <v>23.257821799572433</v>
      </c>
      <c r="U88" s="1280">
        <v>4.1429738325698041E-7</v>
      </c>
      <c r="V88" s="1280">
        <v>3531.6902644474399</v>
      </c>
      <c r="W88" s="1280">
        <v>4362.1906879335111</v>
      </c>
      <c r="X88" s="1280">
        <v>3531.6902644474399</v>
      </c>
      <c r="Y88" s="1280">
        <v>4362.1906879335111</v>
      </c>
      <c r="Z88"/>
    </row>
    <row r="89" spans="13:26" x14ac:dyDescent="0.2">
      <c r="M89" s="1303">
        <f t="shared" si="8"/>
        <v>0.80000000000000049</v>
      </c>
      <c r="N89" s="1288">
        <f t="shared" si="7"/>
        <v>0.99857502356180761</v>
      </c>
      <c r="P89"/>
      <c r="Q89"/>
      <c r="R89"/>
      <c r="S89"/>
      <c r="T89"/>
      <c r="U89"/>
      <c r="V89"/>
      <c r="W89"/>
      <c r="X89"/>
      <c r="Y89"/>
      <c r="Z89"/>
    </row>
    <row r="90" spans="13:26" x14ac:dyDescent="0.2">
      <c r="M90" s="1303">
        <f t="shared" si="8"/>
        <v>0.8100000000000005</v>
      </c>
      <c r="N90" s="1288">
        <f t="shared" si="7"/>
        <v>0.99897951304628008</v>
      </c>
      <c r="Q90"/>
      <c r="R90"/>
      <c r="S90"/>
      <c r="T90"/>
      <c r="U90"/>
      <c r="V90"/>
      <c r="W90"/>
      <c r="X90"/>
      <c r="Y90"/>
    </row>
    <row r="91" spans="13:26" x14ac:dyDescent="0.2">
      <c r="M91" s="1303">
        <f t="shared" si="8"/>
        <v>0.82000000000000051</v>
      </c>
      <c r="N91" s="1288">
        <f t="shared" si="7"/>
        <v>0.99927833402166177</v>
      </c>
      <c r="Q91"/>
      <c r="R91"/>
      <c r="S91"/>
      <c r="T91"/>
      <c r="U91"/>
      <c r="V91"/>
      <c r="W91"/>
      <c r="X91"/>
      <c r="Y91"/>
    </row>
    <row r="92" spans="13:26" x14ac:dyDescent="0.2">
      <c r="M92" s="1303">
        <f t="shared" si="8"/>
        <v>0.83000000000000052</v>
      </c>
      <c r="N92" s="1288">
        <f t="shared" si="7"/>
        <v>0.99949620008360773</v>
      </c>
    </row>
    <row r="93" spans="13:26" x14ac:dyDescent="0.2">
      <c r="M93" s="1303">
        <f t="shared" si="8"/>
        <v>0.84000000000000052</v>
      </c>
      <c r="N93" s="1288">
        <f t="shared" si="7"/>
        <v>0.99965291531541611</v>
      </c>
      <c r="Q93" t="s">
        <v>332</v>
      </c>
      <c r="R93"/>
      <c r="S93"/>
      <c r="T93"/>
      <c r="U93"/>
      <c r="V93"/>
      <c r="W93"/>
      <c r="X93"/>
      <c r="Y93"/>
    </row>
    <row r="94" spans="13:26" ht="15" thickBot="1" x14ac:dyDescent="0.25">
      <c r="M94" s="1303">
        <f t="shared" si="8"/>
        <v>0.85000000000000053</v>
      </c>
      <c r="N94" s="1288">
        <f t="shared" si="7"/>
        <v>0.99976409939337041</v>
      </c>
      <c r="Q94"/>
      <c r="R94"/>
      <c r="S94"/>
      <c r="T94"/>
      <c r="U94"/>
      <c r="V94"/>
      <c r="W94"/>
      <c r="X94"/>
      <c r="Y94"/>
    </row>
    <row r="95" spans="13:26" x14ac:dyDescent="0.2">
      <c r="M95" s="1303">
        <f t="shared" si="8"/>
        <v>0.86000000000000054</v>
      </c>
      <c r="N95" s="1288">
        <f t="shared" si="7"/>
        <v>0.9998418759268497</v>
      </c>
      <c r="Q95" s="1283" t="s">
        <v>333</v>
      </c>
      <c r="R95" s="1283"/>
      <c r="S95"/>
      <c r="T95"/>
      <c r="U95"/>
      <c r="V95"/>
      <c r="W95"/>
      <c r="X95"/>
      <c r="Y95"/>
    </row>
    <row r="96" spans="13:26" x14ac:dyDescent="0.2">
      <c r="M96" s="1303">
        <f t="shared" si="8"/>
        <v>0.87000000000000055</v>
      </c>
      <c r="N96" s="1288">
        <f t="shared" si="7"/>
        <v>0.999895503999498</v>
      </c>
      <c r="Q96" s="1282" t="s">
        <v>334</v>
      </c>
      <c r="R96" s="1282">
        <v>0.99269784439834385</v>
      </c>
      <c r="S96"/>
      <c r="T96"/>
      <c r="U96"/>
      <c r="V96"/>
      <c r="W96"/>
      <c r="X96"/>
      <c r="Y96"/>
    </row>
    <row r="97" spans="13:25" x14ac:dyDescent="0.2">
      <c r="M97" s="1303">
        <f t="shared" si="8"/>
        <v>0.88000000000000056</v>
      </c>
      <c r="N97" s="1288">
        <f t="shared" si="7"/>
        <v>0.99993194033152688</v>
      </c>
      <c r="Q97" s="1282" t="s">
        <v>335</v>
      </c>
      <c r="R97" s="1282">
        <v>0.98544901027311849</v>
      </c>
      <c r="S97"/>
      <c r="T97"/>
      <c r="U97"/>
      <c r="V97"/>
      <c r="W97"/>
      <c r="X97"/>
      <c r="Y97"/>
    </row>
    <row r="98" spans="13:25" x14ac:dyDescent="0.2">
      <c r="M98" s="1303">
        <f t="shared" si="8"/>
        <v>0.89000000000000057</v>
      </c>
      <c r="N98" s="1288">
        <f t="shared" si="7"/>
        <v>0.99995632604198814</v>
      </c>
      <c r="Q98" s="1282" t="s">
        <v>336</v>
      </c>
      <c r="R98" s="1282">
        <v>0.9833702974549926</v>
      </c>
      <c r="S98"/>
      <c r="T98"/>
      <c r="U98"/>
      <c r="V98"/>
      <c r="W98"/>
      <c r="X98"/>
      <c r="Y98"/>
    </row>
    <row r="99" spans="13:25" x14ac:dyDescent="0.2">
      <c r="M99" s="1303">
        <f t="shared" si="8"/>
        <v>0.90000000000000058</v>
      </c>
      <c r="N99" s="1288">
        <f t="shared" si="7"/>
        <v>0.99997239738380339</v>
      </c>
      <c r="Q99" s="1282" t="s">
        <v>337</v>
      </c>
      <c r="R99" s="1282">
        <v>1335.4241024233945</v>
      </c>
      <c r="S99"/>
      <c r="T99"/>
      <c r="U99"/>
      <c r="V99"/>
      <c r="W99"/>
      <c r="X99"/>
      <c r="Y99"/>
    </row>
    <row r="100" spans="13:25" ht="15" thickBot="1" x14ac:dyDescent="0.25">
      <c r="M100" s="1303">
        <f t="shared" si="8"/>
        <v>0.91000000000000059</v>
      </c>
      <c r="N100" s="1288">
        <f t="shared" si="7"/>
        <v>0.99998282393580651</v>
      </c>
      <c r="Q100" s="1280" t="s">
        <v>338</v>
      </c>
      <c r="R100" s="1280">
        <v>9</v>
      </c>
      <c r="S100"/>
      <c r="T100"/>
      <c r="U100"/>
      <c r="V100"/>
      <c r="W100"/>
      <c r="X100"/>
      <c r="Y100"/>
    </row>
    <row r="101" spans="13:25" x14ac:dyDescent="0.2">
      <c r="M101" s="1303">
        <f t="shared" si="8"/>
        <v>0.9200000000000006</v>
      </c>
      <c r="N101" s="1288">
        <f t="shared" si="7"/>
        <v>0.99998948057868242</v>
      </c>
      <c r="Q101"/>
      <c r="R101"/>
      <c r="S101"/>
      <c r="T101"/>
      <c r="U101"/>
      <c r="V101"/>
      <c r="W101"/>
      <c r="X101"/>
      <c r="Y101"/>
    </row>
    <row r="102" spans="13:25" ht="15" thickBot="1" x14ac:dyDescent="0.25">
      <c r="M102" s="1303">
        <f t="shared" si="8"/>
        <v>0.9300000000000006</v>
      </c>
      <c r="N102" s="1288">
        <f t="shared" si="7"/>
        <v>0.9999936612702216</v>
      </c>
      <c r="Q102" t="s">
        <v>339</v>
      </c>
      <c r="R102"/>
      <c r="S102"/>
      <c r="T102"/>
      <c r="U102"/>
      <c r="V102"/>
      <c r="W102"/>
      <c r="X102"/>
      <c r="Y102"/>
    </row>
    <row r="103" spans="13:25" x14ac:dyDescent="0.2">
      <c r="M103" s="1303">
        <f t="shared" si="8"/>
        <v>0.94000000000000061</v>
      </c>
      <c r="N103" s="1288">
        <f t="shared" si="7"/>
        <v>0.99999624335152093</v>
      </c>
      <c r="Q103" s="1281"/>
      <c r="R103" s="1281" t="s">
        <v>343</v>
      </c>
      <c r="S103" s="1281" t="s">
        <v>344</v>
      </c>
      <c r="T103" s="1281" t="s">
        <v>345</v>
      </c>
      <c r="U103" s="1281" t="s">
        <v>346</v>
      </c>
      <c r="V103" s="1281" t="s">
        <v>347</v>
      </c>
      <c r="W103"/>
      <c r="X103"/>
      <c r="Y103"/>
    </row>
    <row r="104" spans="13:25" x14ac:dyDescent="0.2">
      <c r="M104" s="1303">
        <f t="shared" si="8"/>
        <v>0.95000000000000062</v>
      </c>
      <c r="N104" s="1288">
        <f t="shared" si="7"/>
        <v>0.99999781107499508</v>
      </c>
      <c r="Q104" s="1282" t="s">
        <v>340</v>
      </c>
      <c r="R104" s="1282">
        <v>1</v>
      </c>
      <c r="S104" s="1282">
        <v>845430836.26666653</v>
      </c>
      <c r="T104" s="1282">
        <v>845430836.26666653</v>
      </c>
      <c r="U104" s="1282">
        <v>474.06693299825616</v>
      </c>
      <c r="V104" s="1282">
        <v>1.0877487663116294E-7</v>
      </c>
      <c r="W104"/>
      <c r="X104"/>
      <c r="Y104"/>
    </row>
    <row r="105" spans="13:25" x14ac:dyDescent="0.2">
      <c r="M105" s="1303">
        <f t="shared" si="8"/>
        <v>0.96000000000000063</v>
      </c>
      <c r="N105" s="1288">
        <f t="shared" si="7"/>
        <v>0.99999874646745956</v>
      </c>
      <c r="Q105" s="1282" t="s">
        <v>341</v>
      </c>
      <c r="R105" s="1282">
        <v>7</v>
      </c>
      <c r="S105" s="1282">
        <v>12483502.733333301</v>
      </c>
      <c r="T105" s="1282">
        <v>1783357.5333333288</v>
      </c>
      <c r="U105" s="1282"/>
      <c r="V105" s="1282"/>
      <c r="W105"/>
      <c r="X105"/>
      <c r="Y105"/>
    </row>
    <row r="106" spans="13:25" ht="15" thickBot="1" x14ac:dyDescent="0.25">
      <c r="M106" s="1303">
        <f t="shared" si="8"/>
        <v>0.97000000000000064</v>
      </c>
      <c r="N106" s="1288">
        <f t="shared" si="7"/>
        <v>0.99999929472988103</v>
      </c>
      <c r="Q106" s="1280" t="s">
        <v>18</v>
      </c>
      <c r="R106" s="1280">
        <v>8</v>
      </c>
      <c r="S106" s="1280">
        <v>857914338.99999988</v>
      </c>
      <c r="T106" s="1280"/>
      <c r="U106" s="1280"/>
      <c r="V106" s="1280"/>
      <c r="W106"/>
      <c r="X106"/>
      <c r="Y106"/>
    </row>
    <row r="107" spans="13:25" ht="15" thickBot="1" x14ac:dyDescent="0.25">
      <c r="M107" s="1303">
        <f t="shared" si="8"/>
        <v>0.98000000000000065</v>
      </c>
      <c r="N107" s="1288">
        <f t="shared" si="7"/>
        <v>0.99999961030075424</v>
      </c>
      <c r="Q107"/>
      <c r="R107"/>
      <c r="S107"/>
      <c r="T107"/>
      <c r="U107"/>
      <c r="V107"/>
      <c r="W107"/>
      <c r="X107"/>
      <c r="Y107"/>
    </row>
    <row r="108" spans="13:25" x14ac:dyDescent="0.2">
      <c r="M108" s="1303">
        <f t="shared" si="8"/>
        <v>0.99000000000000066</v>
      </c>
      <c r="N108" s="1288">
        <f t="shared" si="7"/>
        <v>0.9999997886047346</v>
      </c>
      <c r="Q108" s="1281"/>
      <c r="R108" s="1281" t="s">
        <v>348</v>
      </c>
      <c r="S108" s="1281" t="s">
        <v>337</v>
      </c>
      <c r="T108" s="1281" t="s">
        <v>349</v>
      </c>
      <c r="U108" s="1281" t="s">
        <v>350</v>
      </c>
      <c r="V108" s="1281" t="s">
        <v>351</v>
      </c>
      <c r="W108" s="1281" t="s">
        <v>352</v>
      </c>
      <c r="X108" s="1281" t="s">
        <v>353</v>
      </c>
      <c r="Y108" s="1281" t="s">
        <v>354</v>
      </c>
    </row>
    <row r="109" spans="13:25" x14ac:dyDescent="0.2">
      <c r="M109" s="1303">
        <f t="shared" si="8"/>
        <v>1.0000000000000007</v>
      </c>
      <c r="N109" s="1288">
        <f t="shared" si="7"/>
        <v>0.99999988746482527</v>
      </c>
      <c r="Q109" s="1282" t="s">
        <v>342</v>
      </c>
      <c r="R109" s="1282">
        <v>-7546266.2666666638</v>
      </c>
      <c r="S109" s="1282">
        <v>347218.94107144978</v>
      </c>
      <c r="T109" s="1282">
        <v>-21.733452222912614</v>
      </c>
      <c r="U109" s="1282">
        <v>1.1015256825256942E-7</v>
      </c>
      <c r="V109" s="1282">
        <v>-8367308.5953365797</v>
      </c>
      <c r="W109" s="1282">
        <v>-6725223.9379967479</v>
      </c>
      <c r="X109" s="1282">
        <v>-8367308.5953365797</v>
      </c>
      <c r="Y109" s="1282">
        <v>-6725223.9379967479</v>
      </c>
    </row>
    <row r="110" spans="13:25" ht="15" thickBot="1" x14ac:dyDescent="0.25">
      <c r="Q110" s="1280" t="s">
        <v>355</v>
      </c>
      <c r="R110" s="1280">
        <v>3753.7333333333322</v>
      </c>
      <c r="S110" s="1280">
        <v>172.40251029365982</v>
      </c>
      <c r="T110" s="1280">
        <v>21.773078170030438</v>
      </c>
      <c r="U110" s="1280">
        <v>1.0877487663116294E-7</v>
      </c>
      <c r="V110" s="1280">
        <v>3346.0661764574693</v>
      </c>
      <c r="W110" s="1280">
        <v>4161.4004902091947</v>
      </c>
      <c r="X110" s="1280">
        <v>3346.0661764574693</v>
      </c>
      <c r="Y110" s="1280">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4:K4"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56" t="s">
        <v>10</v>
      </c>
      <c r="C5" s="1655"/>
      <c r="D5" s="1655"/>
      <c r="E5" s="1657"/>
      <c r="F5" s="1656" t="s">
        <v>11</v>
      </c>
      <c r="G5" s="1655"/>
      <c r="H5" s="1655"/>
      <c r="I5" s="1657"/>
      <c r="J5" s="74"/>
      <c r="K5" s="72"/>
      <c r="L5" s="1656" t="s">
        <v>10</v>
      </c>
      <c r="M5" s="1655"/>
      <c r="N5" s="1655"/>
      <c r="O5" s="1657"/>
      <c r="P5" s="1656" t="s">
        <v>11</v>
      </c>
      <c r="Q5" s="1655"/>
      <c r="R5" s="1655"/>
      <c r="S5" s="1657"/>
      <c r="T5" s="74">
        <v>1</v>
      </c>
      <c r="U5" s="72"/>
      <c r="V5" s="1655" t="s">
        <v>10</v>
      </c>
      <c r="W5" s="1655"/>
      <c r="X5" s="1655"/>
      <c r="Y5" s="1655"/>
      <c r="Z5" s="1656" t="s">
        <v>11</v>
      </c>
      <c r="AA5" s="1655"/>
      <c r="AB5" s="1657"/>
      <c r="AC5" s="73"/>
    </row>
    <row r="6" spans="1:30" s="1300" customFormat="1" ht="45" customHeight="1" thickBot="1" x14ac:dyDescent="0.2">
      <c r="A6" s="1289" t="s">
        <v>12</v>
      </c>
      <c r="B6" s="1290" t="s">
        <v>13</v>
      </c>
      <c r="C6" s="1291" t="s">
        <v>362</v>
      </c>
      <c r="D6" s="1292" t="s">
        <v>15</v>
      </c>
      <c r="E6" s="1293" t="s">
        <v>361</v>
      </c>
      <c r="F6" s="1290" t="s">
        <v>13</v>
      </c>
      <c r="G6" s="1291" t="s">
        <v>362</v>
      </c>
      <c r="H6" s="1292" t="s">
        <v>15</v>
      </c>
      <c r="I6" s="1293" t="s">
        <v>361</v>
      </c>
      <c r="J6" s="1294" t="s">
        <v>363</v>
      </c>
      <c r="K6" s="1289" t="s">
        <v>12</v>
      </c>
      <c r="L6" s="1290" t="s">
        <v>13</v>
      </c>
      <c r="M6" s="1291" t="s">
        <v>362</v>
      </c>
      <c r="N6" s="1292" t="s">
        <v>15</v>
      </c>
      <c r="O6" s="1293" t="s">
        <v>361</v>
      </c>
      <c r="P6" s="1290" t="s">
        <v>13</v>
      </c>
      <c r="Q6" s="1291" t="s">
        <v>362</v>
      </c>
      <c r="R6" s="1292" t="s">
        <v>15</v>
      </c>
      <c r="S6" s="1293" t="s">
        <v>361</v>
      </c>
      <c r="T6" s="1294"/>
      <c r="U6" s="1289" t="s">
        <v>12</v>
      </c>
      <c r="V6" s="1295" t="s">
        <v>13</v>
      </c>
      <c r="W6" s="1296" t="s">
        <v>14</v>
      </c>
      <c r="X6" s="1295" t="s">
        <v>15</v>
      </c>
      <c r="Y6" s="1296" t="s">
        <v>16</v>
      </c>
      <c r="Z6" s="1297" t="s">
        <v>13</v>
      </c>
      <c r="AA6" s="1296" t="s">
        <v>14</v>
      </c>
      <c r="AB6" s="1298" t="s">
        <v>15</v>
      </c>
      <c r="AC6" s="1299"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1">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367</v>
      </c>
      <c r="H50" s="112">
        <f>(E51*1000)/C51</f>
        <v>114290.39175651137</v>
      </c>
      <c r="I50" s="110"/>
      <c r="J50" s="117">
        <f>SUM(C7:C28,E7:E28)/E51</f>
        <v>0.28193734312603552</v>
      </c>
      <c r="K50" s="106"/>
      <c r="L50" s="107"/>
      <c r="M50" s="108" t="s">
        <v>10</v>
      </c>
      <c r="N50" s="109"/>
      <c r="O50" s="108" t="s">
        <v>17</v>
      </c>
      <c r="P50" s="110"/>
      <c r="Q50" s="111" t="s">
        <v>367</v>
      </c>
      <c r="R50" s="112">
        <f>(O51*1000)/M51</f>
        <v>76984.800905352895</v>
      </c>
      <c r="S50" s="110"/>
      <c r="T50" s="48">
        <f>(AB50-H50)/H50</f>
        <v>-0.76147582411578907</v>
      </c>
      <c r="U50" s="106"/>
      <c r="V50" s="107"/>
      <c r="W50" s="108" t="s">
        <v>10</v>
      </c>
      <c r="X50" s="109"/>
      <c r="Y50" s="108" t="s">
        <v>17</v>
      </c>
      <c r="Z50" s="110"/>
      <c r="AA50" s="111" t="s">
        <v>367</v>
      </c>
      <c r="AB50" s="112">
        <f>(Y51*1000)/W51</f>
        <v>27261.021505205488</v>
      </c>
      <c r="AC50" s="110"/>
    </row>
    <row r="51" spans="1:29" ht="16" x14ac:dyDescent="0.2">
      <c r="A51" s="111" t="s">
        <v>18</v>
      </c>
      <c r="C51" s="112">
        <f>B49+D49</f>
        <v>137873.22849999985</v>
      </c>
      <c r="E51" s="112">
        <f>C49+E49</f>
        <v>15757585.297999991</v>
      </c>
      <c r="G51" s="111" t="s">
        <v>366</v>
      </c>
      <c r="H51" s="215">
        <f>H50/OPDAYS_Cls1</f>
        <v>457.16156702604547</v>
      </c>
      <c r="I51" s="113"/>
      <c r="K51" s="111" t="s">
        <v>18</v>
      </c>
      <c r="M51" s="112">
        <f>+L49+N49</f>
        <v>74071.53689999989</v>
      </c>
      <c r="O51" s="112">
        <f>+M49+O49</f>
        <v>5702382.5209999923</v>
      </c>
      <c r="Q51" s="111" t="s">
        <v>366</v>
      </c>
      <c r="R51" s="215">
        <f>R50/OPDAYS_Cls1</f>
        <v>307.93920362141159</v>
      </c>
      <c r="S51" s="113"/>
      <c r="U51" s="111" t="s">
        <v>18</v>
      </c>
      <c r="W51" s="112">
        <f>+V49+X49</f>
        <v>77549.675199999983</v>
      </c>
      <c r="Y51" s="112">
        <f>W49+Y49</f>
        <v>2114083.3633489003</v>
      </c>
      <c r="AA51" s="111" t="s">
        <v>366</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9" t="s">
        <v>269</v>
      </c>
      <c r="D125" s="149" t="s">
        <v>27</v>
      </c>
      <c r="E125" s="959" t="s">
        <v>270</v>
      </c>
      <c r="F125" s="149" t="s">
        <v>276</v>
      </c>
      <c r="G125" s="149" t="s">
        <v>277</v>
      </c>
      <c r="H125" s="149" t="s">
        <v>278</v>
      </c>
      <c r="I125" s="149" t="s">
        <v>279</v>
      </c>
      <c r="J125" s="150" t="s">
        <v>280</v>
      </c>
      <c r="K125" s="148" t="s">
        <v>25</v>
      </c>
      <c r="L125" s="149" t="s">
        <v>26</v>
      </c>
      <c r="M125" s="959" t="s">
        <v>269</v>
      </c>
      <c r="N125" s="149" t="s">
        <v>27</v>
      </c>
      <c r="O125" s="959" t="s">
        <v>270</v>
      </c>
      <c r="P125" s="149" t="s">
        <v>271</v>
      </c>
      <c r="Q125" s="149" t="s">
        <v>272</v>
      </c>
      <c r="R125" s="149" t="s">
        <v>273</v>
      </c>
      <c r="S125" s="149" t="s">
        <v>274</v>
      </c>
      <c r="T125" s="150" t="s">
        <v>275</v>
      </c>
      <c r="U125" s="148" t="s">
        <v>25</v>
      </c>
      <c r="V125" s="149" t="s">
        <v>26</v>
      </c>
      <c r="W125" s="959" t="s">
        <v>269</v>
      </c>
      <c r="X125" s="149" t="s">
        <v>27</v>
      </c>
      <c r="Y125" s="959"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6">
        <f t="shared" ref="C126:C136" si="21">B126/OPDAYS_Cls1</f>
        <v>51.642967609234425</v>
      </c>
      <c r="D126" s="152">
        <f>IF(SUM(D7:D10)=0,1000*($A11+$A7)/2,1000*SUM(E7:E10)/SUM(D7:D10))</f>
        <v>11981.137158378011</v>
      </c>
      <c r="E126" s="956">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6">
        <f t="shared" ref="M126:M136" si="23">L126/OPDAYS_Cls2</f>
        <v>49.332453271995263</v>
      </c>
      <c r="N126" s="152">
        <f>IF(SUM(N7:N10)=0,1000*($A11+$A7)/2,1000*SUM(O7:O10)/SUM(N7:N10))</f>
        <v>13578.656537381032</v>
      </c>
      <c r="O126" s="956">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6">
        <f t="shared" ref="W126:W136" si="25">V126/OPDAYS_Cls3</f>
        <v>49.202805162026571</v>
      </c>
      <c r="X126" s="152">
        <f>IF(SUM(X7:X10)=0,1000*($A11+$A7)/2,1000*SUM(Y7:Y10)/SUM(X7:X10))</f>
        <v>11455.131977377026</v>
      </c>
      <c r="Y126" s="956">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7">
        <f t="shared" si="21"/>
        <v>110.97733417848234</v>
      </c>
      <c r="D127" s="157">
        <f>IF(SUM(D11:D14)=0,1000*($A11+$A15)/2,1000*SUM(E11:E14)/SUM(D11:D14))</f>
        <v>28140.973034656869</v>
      </c>
      <c r="E127" s="957">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7">
        <f t="shared" si="23"/>
        <v>120.11441047790339</v>
      </c>
      <c r="N127" s="157">
        <f>IF(SUM(N11:N14)=0,1000*($A11+$A15)/2,1000*SUM(O11:O14)/SUM(N11:N14))</f>
        <v>31655.779111861659</v>
      </c>
      <c r="O127" s="957">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7">
        <f t="shared" si="25"/>
        <v>115.99623692884222</v>
      </c>
      <c r="X127" s="157">
        <f>IF(SUM(X11:X14)=0,1000*($A11+$A15)/2,1000*SUM(Y11:Y14)/SUM(X11:X14))</f>
        <v>28726.510858795609</v>
      </c>
      <c r="Y127" s="957">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7">
        <f t="shared" si="21"/>
        <v>204.40224583551472</v>
      </c>
      <c r="D128" s="157">
        <f>IF(SUM(D15:D18)=0,1000*($A15+$A19)/2,1000*SUM(E15:E18)/SUM(D15:D18))</f>
        <v>53668.200550595066</v>
      </c>
      <c r="E128" s="957">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7">
        <f t="shared" si="23"/>
        <v>200.99157969807086</v>
      </c>
      <c r="N128" s="157">
        <f>IF(SUM(N15:N18)=0,1000*($A15+$A19)/2,1000*SUM(O15:O18)/SUM(N15:N18))</f>
        <v>51742.06587894004</v>
      </c>
      <c r="O128" s="957">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7">
        <f t="shared" si="25"/>
        <v>190.94140758026836</v>
      </c>
      <c r="X128" s="157">
        <f>IF(SUM(X15:X18)=0,1000*($A15+$A19)/2,1000*SUM(Y15:Y18)/SUM(X15:X18))</f>
        <v>49073.514839852294</v>
      </c>
      <c r="Y128" s="957">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7">
        <f t="shared" si="21"/>
        <v>290.24610572847212</v>
      </c>
      <c r="D129" s="157">
        <f>IF(SUM(D19:D22)=0,1000*($A19+$A23)/2,1000*SUM(E19:E22)/SUM(D19:D22))</f>
        <v>72075.466860657005</v>
      </c>
      <c r="E129" s="957">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7">
        <f t="shared" si="23"/>
        <v>280.98421424125928</v>
      </c>
      <c r="N129" s="157">
        <f>IF(SUM(N19:N22)=0,1000*($A19+$A23)/2,1000*SUM(O19:O22)/SUM(N19:N22))</f>
        <v>71616.500328747949</v>
      </c>
      <c r="O129" s="957">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7">
        <f t="shared" si="25"/>
        <v>282.72824571583544</v>
      </c>
      <c r="X129" s="157">
        <f>IF(SUM(X19:X22)=0,1000*($A19+$A23)/2,1000*SUM(Y19:Y22)/SUM(X19:X22))</f>
        <v>71616.08895539795</v>
      </c>
      <c r="Y129" s="957">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7">
        <f t="shared" si="21"/>
        <v>364.75750419264841</v>
      </c>
      <c r="D130" s="157">
        <f>IF(SUM(D23:D26)=0,1000*($A23+$A27)/2,1000*SUM(E23:E26)/SUM(D23:D26))</f>
        <v>92150.223026373118</v>
      </c>
      <c r="E130" s="957">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7">
        <f t="shared" si="23"/>
        <v>358.20644524895255</v>
      </c>
      <c r="N130" s="157">
        <f>IF(SUM(N23:N26)=0,1000*($A23+$A27)/2,1000*SUM(O23:O26)/SUM(N23:N26))</f>
        <v>89740.972704267871</v>
      </c>
      <c r="O130" s="957">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7">
        <f t="shared" si="25"/>
        <v>349.10577157713089</v>
      </c>
      <c r="X130" s="157">
        <f>IF(SUM(X23:X26)=0,1000*($A23+$A27)/2,1000*SUM(Y23:Y26)/SUM(X23:X26))</f>
        <v>88060.84854827018</v>
      </c>
      <c r="Y130" s="957">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7">
        <f t="shared" si="21"/>
        <v>443.63126889109378</v>
      </c>
      <c r="D131" s="157">
        <f>IF(SUM(D27:D30)=0,1000*($A27+$A31)/2,1000*SUM(E27:E30)/SUM(D27:D30))</f>
        <v>111828.89697483131</v>
      </c>
      <c r="E131" s="957">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7">
        <f t="shared" si="23"/>
        <v>432.82805471770689</v>
      </c>
      <c r="N131" s="157">
        <f>IF(SUM(N27:N30)=0,1000*($A27+$A31)/2,1000*SUM(O27:O30)/SUM(N27:N30))</f>
        <v>112638.86454910832</v>
      </c>
      <c r="O131" s="957">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7">
        <f t="shared" si="25"/>
        <v>408.92399999999998</v>
      </c>
      <c r="X131" s="157">
        <f>IF(SUM(X27:X30)=0,1000*($A27+$A31)/2,1000*SUM(Y27:Y30)/SUM(X27:X30))</f>
        <v>106769.51106158529</v>
      </c>
      <c r="Y131" s="957">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7">
        <f t="shared" si="21"/>
        <v>506.78134229373978</v>
      </c>
      <c r="D132" s="157">
        <f>IF(SUM(D31:D34)=0,1000*($A31+$A35)/2,1000*SUM(E31:E34)/SUM(D31:D34))</f>
        <v>127822.07987524466</v>
      </c>
      <c r="E132" s="957">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7">
        <f t="shared" si="23"/>
        <v>517.10615118099815</v>
      </c>
      <c r="N132" s="157">
        <f>IF(SUM(N31:N34)=0,1000*($A31+$A35)/2,1000*SUM(O31:O34)/SUM(N31:N34))</f>
        <v>127982.74620603543</v>
      </c>
      <c r="O132" s="957">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7">
        <f t="shared" si="25"/>
        <v>540.31926836851005</v>
      </c>
      <c r="X132" s="157">
        <f>IF(SUM(X31:X34)=0,1000*($A31+$A35)/2,1000*SUM(Y31:Y34)/SUM(X31:X34))</f>
        <v>129899.70060269146</v>
      </c>
      <c r="Y132" s="957">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7">
        <f t="shared" si="21"/>
        <v>595.71283413609137</v>
      </c>
      <c r="D133" s="157">
        <f>IF(SUM(D35:D38)=0,1000*($A35+$A39)/2,1000*SUM(E35:E38)/SUM(D35:D38))</f>
        <v>148934.3166459057</v>
      </c>
      <c r="E133" s="957">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7">
        <f t="shared" si="23"/>
        <v>597.8087063838957</v>
      </c>
      <c r="N133" s="157">
        <f>IF(SUM(N35:N38)=0,1000*($A35+$A39)/2,1000*SUM(O35:O38)/SUM(N35:N38))</f>
        <v>144807.33408023277</v>
      </c>
      <c r="O133" s="957">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7">
        <f t="shared" si="25"/>
        <v>600</v>
      </c>
      <c r="X133" s="157">
        <f>IF(SUM(X35:X38)=0,1000*($A35+$A39)/2,1000*SUM(Y35:Y38)/SUM(X35:X38))</f>
        <v>152108.66705176356</v>
      </c>
      <c r="Y133" s="957">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7">
        <f t="shared" si="21"/>
        <v>682.23089916089702</v>
      </c>
      <c r="D134" s="157">
        <f>IF(SUM(D39:D42)=0,1000*($A39+$A43)/2,1000*SUM(E39:E42)/SUM(D39:D42))</f>
        <v>168027.74798810174</v>
      </c>
      <c r="E134" s="957">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7">
        <f t="shared" si="23"/>
        <v>676.93419409560215</v>
      </c>
      <c r="N134" s="157">
        <f>IF(SUM(N39:N42)=0,1000*($A39+$A43)/2,1000*SUM(O39:O42)/SUM(N39:N42))</f>
        <v>173814.16392403719</v>
      </c>
      <c r="O134" s="957">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7">
        <f t="shared" si="25"/>
        <v>680</v>
      </c>
      <c r="X134" s="157">
        <f>IF(SUM(X39:X42)=0,1000*($A39+$A43)/2,1000*SUM(Y39:Y42)/SUM(X39:X42))</f>
        <v>175800</v>
      </c>
      <c r="Y134" s="957">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7">
        <f t="shared" si="21"/>
        <v>765.26438827532684</v>
      </c>
      <c r="D135" s="157">
        <f>IF(SUM(D43:D46)=0,1000*($A43+$A47)/2,1000*SUM(E43:E46)/SUM(D43:D46))</f>
        <v>189269.82544746815</v>
      </c>
      <c r="E135" s="957">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7">
        <f t="shared" si="23"/>
        <v>746.82245226325631</v>
      </c>
      <c r="N135" s="157">
        <f>IF(SUM(N43:N46)=0,1000*($A43+$A47)/2,1000*SUM(O43:O46)/SUM(N43:N46))</f>
        <v>189951.70582690198</v>
      </c>
      <c r="O135" s="957">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7">
        <f t="shared" si="25"/>
        <v>800.00000000000011</v>
      </c>
      <c r="X135" s="157">
        <f>IF(SUM(X43:X46)=0,1000*($A43+$A47)/2,1000*SUM(Y43:Y46)/SUM(X43:X46))</f>
        <v>190000</v>
      </c>
      <c r="Y135" s="957">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8">
        <f t="shared" si="21"/>
        <v>970.27871027310334</v>
      </c>
      <c r="D136" s="161">
        <f>IF(D47=0,200000,1000*E47/D47)</f>
        <v>224042.00197938742</v>
      </c>
      <c r="E136" s="958">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8">
        <f t="shared" si="23"/>
        <v>895.92826380844349</v>
      </c>
      <c r="N136" s="161">
        <f>IF(N47=0,200000,1000*O47/N47)</f>
        <v>220702.9179341534</v>
      </c>
      <c r="O136" s="958">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8">
        <f t="shared" si="25"/>
        <v>800</v>
      </c>
      <c r="X136" s="161">
        <f>IF(X47=0,200000,1000*Y47/X47)</f>
        <v>225000</v>
      </c>
      <c r="Y136" s="958">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44"/>
      <c r="L139" s="1645"/>
      <c r="M139" s="1648" t="s">
        <v>41</v>
      </c>
      <c r="N139" s="1649"/>
      <c r="O139" s="1649"/>
      <c r="P139" s="1649"/>
      <c r="Q139" s="1649"/>
      <c r="R139" s="1649"/>
      <c r="S139" s="1649"/>
      <c r="T139" s="1650"/>
    </row>
    <row r="140" spans="1:30" s="171" customFormat="1" ht="54" customHeight="1" thickBot="1" x14ac:dyDescent="0.35">
      <c r="B140" s="1651" t="s">
        <v>42</v>
      </c>
      <c r="C140" s="1652"/>
      <c r="D140" s="173" t="s">
        <v>10</v>
      </c>
      <c r="E140" s="174" t="s">
        <v>43</v>
      </c>
      <c r="F140" s="174" t="s">
        <v>44</v>
      </c>
      <c r="G140" s="174" t="s">
        <v>45</v>
      </c>
      <c r="H140" s="175" t="s">
        <v>46</v>
      </c>
      <c r="I140" s="176"/>
      <c r="J140" s="51"/>
      <c r="K140" s="1646"/>
      <c r="L140" s="1647"/>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53"/>
      <c r="L141" s="1654"/>
      <c r="M141" s="1633">
        <v>2007</v>
      </c>
      <c r="N141" s="1643"/>
      <c r="O141" s="1633">
        <v>2010</v>
      </c>
      <c r="P141" s="1643"/>
      <c r="Q141" s="1633">
        <v>2015</v>
      </c>
      <c r="R141" s="1643"/>
      <c r="S141" s="1633">
        <v>2020</v>
      </c>
      <c r="T141" s="1643"/>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35" t="s">
        <v>163</v>
      </c>
      <c r="L142" s="1636"/>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39" t="s">
        <v>163</v>
      </c>
      <c r="C143" s="1640"/>
      <c r="D143" s="192">
        <f>+D142+D141</f>
        <v>137873.22849999985</v>
      </c>
      <c r="E143" s="193">
        <f>+D143/$D$153</f>
        <v>0.47625518546831802</v>
      </c>
      <c r="F143" s="192">
        <f>+F141+F142</f>
        <v>15757585.297999991</v>
      </c>
      <c r="G143" s="194">
        <f>IF(F143=0,0,+F143/D143)</f>
        <v>114.29039175651137</v>
      </c>
      <c r="H143" s="195">
        <f>F143/F153</f>
        <v>0.66842924773992651</v>
      </c>
      <c r="I143" s="196"/>
      <c r="J143" s="48"/>
      <c r="K143" s="1635" t="s">
        <v>166</v>
      </c>
      <c r="L143" s="1636"/>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29" t="s">
        <v>169</v>
      </c>
      <c r="L144" s="1630"/>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31" t="s">
        <v>49</v>
      </c>
      <c r="L145" s="1632"/>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41"/>
      <c r="L146" s="1642"/>
      <c r="M146" s="1633">
        <v>2025</v>
      </c>
      <c r="N146" s="1634"/>
      <c r="O146" s="1633">
        <v>2030</v>
      </c>
      <c r="P146" s="1643"/>
      <c r="Q146" s="1633">
        <v>2035</v>
      </c>
      <c r="R146" s="1643"/>
      <c r="S146" s="1633">
        <v>2040</v>
      </c>
      <c r="T146" s="1643"/>
    </row>
    <row r="147" spans="2:30" s="115" customFormat="1" ht="18" thickTop="1" thickBot="1" x14ac:dyDescent="0.25">
      <c r="B147" s="1639" t="s">
        <v>166</v>
      </c>
      <c r="C147" s="1640"/>
      <c r="D147" s="192">
        <f>+D146+D145</f>
        <v>74071.53689999989</v>
      </c>
      <c r="E147" s="193">
        <f>+D147/$D$153</f>
        <v>0.25586514458267617</v>
      </c>
      <c r="F147" s="192">
        <f>+F146+F145</f>
        <v>5702382.5209999923</v>
      </c>
      <c r="G147" s="194">
        <f>IF(F147=0,0,+F147/D147)</f>
        <v>76.984800905352898</v>
      </c>
      <c r="H147" s="195">
        <f>F147/F153</f>
        <v>0.24189234497249509</v>
      </c>
      <c r="I147" s="196"/>
      <c r="J147" s="48"/>
      <c r="K147" s="1635" t="s">
        <v>163</v>
      </c>
      <c r="L147" s="1636"/>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35" t="s">
        <v>166</v>
      </c>
      <c r="L148" s="1636"/>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29" t="s">
        <v>169</v>
      </c>
      <c r="L149" s="1630"/>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31" t="s">
        <v>49</v>
      </c>
      <c r="L150" s="1632"/>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39" t="s">
        <v>169</v>
      </c>
      <c r="C151" s="1640"/>
      <c r="D151" s="192">
        <f>+D150+D149</f>
        <v>77549.675199999983</v>
      </c>
      <c r="E151" s="193">
        <f>+D151/$D$153</f>
        <v>0.26787966994900575</v>
      </c>
      <c r="F151" s="192">
        <f>+F149+F150</f>
        <v>2114083.3633489003</v>
      </c>
      <c r="G151" s="194">
        <f>IF(F151=0,0,+F151/D151)</f>
        <v>27.261021505205488</v>
      </c>
      <c r="H151" s="195">
        <f>F151/F153</f>
        <v>8.967840728757831E-2</v>
      </c>
      <c r="I151" s="196"/>
      <c r="J151" s="48"/>
      <c r="K151" s="1641"/>
      <c r="L151" s="1642"/>
      <c r="M151" s="1633">
        <v>2045</v>
      </c>
      <c r="N151" s="1634"/>
      <c r="O151" s="1633">
        <v>2050</v>
      </c>
      <c r="P151" s="1634"/>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35" t="s">
        <v>163</v>
      </c>
      <c r="L152" s="1636"/>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37" t="s">
        <v>49</v>
      </c>
      <c r="C153" s="1638"/>
      <c r="D153" s="209">
        <f>D143+D147+D151</f>
        <v>289494.44059999974</v>
      </c>
      <c r="E153" s="210">
        <f>+D153/$D$153</f>
        <v>1</v>
      </c>
      <c r="F153" s="209">
        <f>F143+F147+F151</f>
        <v>23574051.182348885</v>
      </c>
      <c r="G153" s="211">
        <f>IF(F153=0,0,+F153/D153)</f>
        <v>81.431792380847909</v>
      </c>
      <c r="H153" s="212">
        <f>SUM(H143:H152)</f>
        <v>1</v>
      </c>
      <c r="I153" s="213"/>
      <c r="J153" s="48"/>
      <c r="K153" s="1635" t="s">
        <v>166</v>
      </c>
      <c r="L153" s="1636"/>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29" t="s">
        <v>169</v>
      </c>
      <c r="L154" s="1630"/>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31" t="s">
        <v>49</v>
      </c>
      <c r="L155" s="1632"/>
      <c r="M155" s="206" t="e">
        <f>SUM(M152:M154)</f>
        <v>#REF!</v>
      </c>
      <c r="N155" s="207" t="e">
        <f>M155/M$155</f>
        <v>#REF!</v>
      </c>
      <c r="O155" s="206" t="e">
        <f>SUM(O152:O154)</f>
        <v>#REF!</v>
      </c>
      <c r="P155" s="207" t="e">
        <f>O155/O$155</f>
        <v>#REF!</v>
      </c>
    </row>
  </sheetData>
  <mergeCells count="38">
    <mergeCell ref="V5:Y5"/>
    <mergeCell ref="Z5:AB5"/>
    <mergeCell ref="B5:E5"/>
    <mergeCell ref="L5:O5"/>
    <mergeCell ref="F5:I5"/>
    <mergeCell ref="P5:S5"/>
    <mergeCell ref="K139:L140"/>
    <mergeCell ref="M139:T139"/>
    <mergeCell ref="B140:C140"/>
    <mergeCell ref="K141:L141"/>
    <mergeCell ref="M141:N141"/>
    <mergeCell ref="O141:P141"/>
    <mergeCell ref="Q141:R141"/>
    <mergeCell ref="S141:T141"/>
    <mergeCell ref="S146:T146"/>
    <mergeCell ref="B147:C147"/>
    <mergeCell ref="K147:L147"/>
    <mergeCell ref="K142:L142"/>
    <mergeCell ref="B143:C143"/>
    <mergeCell ref="K143:L143"/>
    <mergeCell ref="K144:L144"/>
    <mergeCell ref="K145:L145"/>
    <mergeCell ref="M146:N146"/>
    <mergeCell ref="K146:L146"/>
    <mergeCell ref="Q146:R146"/>
    <mergeCell ref="O146:P146"/>
    <mergeCell ref="B153:C153"/>
    <mergeCell ref="K153:L153"/>
    <mergeCell ref="K148:L148"/>
    <mergeCell ref="K149:L149"/>
    <mergeCell ref="K150:L150"/>
    <mergeCell ref="B151:C151"/>
    <mergeCell ref="K151:L151"/>
    <mergeCell ref="K154:L154"/>
    <mergeCell ref="K155:L155"/>
    <mergeCell ref="M151:N151"/>
    <mergeCell ref="O151:P151"/>
    <mergeCell ref="K152:L152"/>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364</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A4" workbookViewId="0">
      <selection activeCell="B10" sqref="B10"/>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6"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397</v>
      </c>
      <c r="D3" s="22" t="s">
        <v>398</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395</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396</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400</v>
      </c>
      <c r="C8" s="31" t="s">
        <v>401</v>
      </c>
      <c r="D8" s="31" t="s">
        <v>399</v>
      </c>
      <c r="L8" s="32" t="s">
        <v>90</v>
      </c>
      <c r="M8" s="30" t="s">
        <v>137</v>
      </c>
      <c r="N8" s="30" t="s">
        <v>91</v>
      </c>
      <c r="O8" s="30" t="s">
        <v>89</v>
      </c>
      <c r="Y8" s="32" t="s">
        <v>99</v>
      </c>
      <c r="Z8" s="30" t="s">
        <v>98</v>
      </c>
      <c r="AJ8"/>
      <c r="AK8" s="1355" t="s">
        <v>3</v>
      </c>
      <c r="AL8" s="1353" t="s">
        <v>3</v>
      </c>
      <c r="AM8" s="30" t="s">
        <v>98</v>
      </c>
      <c r="AN8" s="1356" t="s">
        <v>417</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6">
        <v>2020</v>
      </c>
      <c r="AN9" s="1357">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6">
        <v>2021</v>
      </c>
      <c r="AN10" s="1357">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6">
        <v>2022</v>
      </c>
      <c r="AN11" s="1357">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6">
        <v>2023</v>
      </c>
      <c r="AN12" s="1357">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6">
        <v>2024</v>
      </c>
      <c r="AN13" s="1357">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6">
        <v>2025</v>
      </c>
      <c r="AN14" s="1357">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6">
        <v>2026</v>
      </c>
      <c r="AN15" s="1357">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6">
        <v>2027</v>
      </c>
      <c r="AN16" s="1357">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6">
        <v>2028</v>
      </c>
      <c r="AN17" s="1357">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6">
        <v>2029</v>
      </c>
      <c r="AN18" s="1357">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6">
        <v>2030</v>
      </c>
      <c r="AN19" s="1357">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6">
        <v>2031</v>
      </c>
      <c r="AN20" s="1357">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6">
        <v>2032</v>
      </c>
      <c r="AN21" s="1357">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6">
        <v>2033</v>
      </c>
      <c r="AN22" s="1357">
        <f t="shared" si="4"/>
        <v>2</v>
      </c>
      <c r="AX22"/>
    </row>
    <row r="23" spans="1:50" ht="15" customHeight="1" x14ac:dyDescent="0.2">
      <c r="A23" s="22">
        <v>14</v>
      </c>
      <c r="B23" s="22">
        <f t="shared" si="5"/>
        <v>0.99995460213129761</v>
      </c>
      <c r="C23" s="22">
        <v>0.99995460213129761</v>
      </c>
      <c r="D23" s="22">
        <v>1</v>
      </c>
      <c r="E23" s="1350"/>
      <c r="F23" s="1350"/>
      <c r="G23" s="1350"/>
      <c r="H23" s="1350"/>
      <c r="I23" s="1350"/>
      <c r="J23" s="1350"/>
      <c r="L23" s="25">
        <v>0.375</v>
      </c>
      <c r="M23" s="22">
        <f t="shared" si="2"/>
        <v>0.9950396809351163</v>
      </c>
      <c r="N23" s="22">
        <f t="shared" si="3"/>
        <v>-0.625</v>
      </c>
      <c r="O23" s="22">
        <f t="shared" si="0"/>
        <v>0.26758881673355606</v>
      </c>
      <c r="Y23" s="35">
        <v>0.7</v>
      </c>
      <c r="Z23" s="34">
        <f t="shared" si="1"/>
        <v>0.25637575668641222</v>
      </c>
      <c r="AK23" s="1136">
        <v>2034</v>
      </c>
      <c r="AN23" s="1357">
        <f>AN24</f>
        <v>2</v>
      </c>
      <c r="AX23"/>
    </row>
    <row r="24" spans="1:50" x14ac:dyDescent="0.2">
      <c r="A24" s="22">
        <v>15</v>
      </c>
      <c r="B24" s="22">
        <f t="shared" si="5"/>
        <v>0.99998329857815205</v>
      </c>
      <c r="C24" s="22">
        <v>0.99998329857815205</v>
      </c>
      <c r="D24" s="1350">
        <v>1</v>
      </c>
      <c r="E24" s="1350"/>
      <c r="F24" s="1350"/>
      <c r="G24" s="1350"/>
      <c r="H24" s="1350"/>
      <c r="I24" s="1350"/>
      <c r="J24" s="1350"/>
      <c r="L24" s="25">
        <v>0.4</v>
      </c>
      <c r="M24" s="22">
        <f t="shared" si="2"/>
        <v>0.99221793826024351</v>
      </c>
      <c r="N24" s="22">
        <f t="shared" si="3"/>
        <v>-0.6</v>
      </c>
      <c r="O24" s="22">
        <f t="shared" si="0"/>
        <v>0.31150160758012346</v>
      </c>
      <c r="Y24" s="35">
        <v>0.75</v>
      </c>
      <c r="Z24" s="34">
        <f t="shared" si="1"/>
        <v>0.20961138715109784</v>
      </c>
      <c r="AK24" s="1136">
        <v>2035</v>
      </c>
      <c r="AL24" s="1354">
        <f t="shared" ref="AL24:AL39" si="6">(AK24-$AK$24)/15</f>
        <v>0</v>
      </c>
      <c r="AM24" s="34">
        <f t="shared" ref="AM24:AM39" si="7">WEIBULL(AL24,AL$4,AL$5,1)</f>
        <v>0</v>
      </c>
      <c r="AN24" s="1357">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6">
        <v>2036</v>
      </c>
      <c r="AL25" s="1354">
        <f t="shared" si="6"/>
        <v>6.6666666666666666E-2</v>
      </c>
      <c r="AM25" s="34">
        <f t="shared" si="7"/>
        <v>1.5240417557940526E-4</v>
      </c>
      <c r="AN25" s="1357">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6">
        <v>2037</v>
      </c>
      <c r="AL26" s="1354">
        <f t="shared" si="6"/>
        <v>0.13333333333333333</v>
      </c>
      <c r="AM26" s="34">
        <f t="shared" si="7"/>
        <v>2.4356815467030703E-3</v>
      </c>
      <c r="AN26" s="1357">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6">
        <v>2038</v>
      </c>
      <c r="AL27" s="1354">
        <f t="shared" si="6"/>
        <v>0.2</v>
      </c>
      <c r="AM27" s="34">
        <f t="shared" si="7"/>
        <v>1.2269783764389463E-2</v>
      </c>
      <c r="AN27" s="1357">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6">
        <v>2039</v>
      </c>
      <c r="AL28" s="1354">
        <f t="shared" si="6"/>
        <v>0.26666666666666666</v>
      </c>
      <c r="AM28" s="34">
        <f t="shared" si="7"/>
        <v>3.826702759539987E-2</v>
      </c>
      <c r="AN28" s="1357">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6">
        <v>2040</v>
      </c>
      <c r="AL29" s="1354">
        <f t="shared" si="6"/>
        <v>0.33333333333333331</v>
      </c>
      <c r="AM29" s="34">
        <f t="shared" si="7"/>
        <v>9.0863352593165345E-2</v>
      </c>
      <c r="AN29" s="1357">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6">
        <v>2041</v>
      </c>
      <c r="AL30" s="1354">
        <f t="shared" si="6"/>
        <v>0.4</v>
      </c>
      <c r="AM30" s="34">
        <f t="shared" si="7"/>
        <v>0.17924519170173203</v>
      </c>
      <c r="AN30" s="1357">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6">
        <v>2042</v>
      </c>
      <c r="AL31" s="1354">
        <f t="shared" si="6"/>
        <v>0.46666666666666667</v>
      </c>
      <c r="AM31" s="34">
        <f t="shared" si="7"/>
        <v>0.30646273948068542</v>
      </c>
      <c r="AN31" s="1357">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6">
        <v>2043</v>
      </c>
      <c r="AL32" s="1354">
        <f t="shared" si="6"/>
        <v>0.53333333333333333</v>
      </c>
      <c r="AM32" s="34">
        <f t="shared" si="7"/>
        <v>0.46436112035159544</v>
      </c>
      <c r="AN32" s="1357">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6">
        <v>2044</v>
      </c>
      <c r="AL33" s="1354">
        <f t="shared" si="6"/>
        <v>0.6</v>
      </c>
      <c r="AM33" s="34">
        <f t="shared" si="7"/>
        <v>0.63212055882855767</v>
      </c>
      <c r="AN33" s="1357">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6">
        <v>2045</v>
      </c>
      <c r="AL34" s="1354">
        <f t="shared" si="6"/>
        <v>0.66666666666666663</v>
      </c>
      <c r="AM34" s="34">
        <f t="shared" si="7"/>
        <v>0.78219560786090769</v>
      </c>
      <c r="AN34" s="1357">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6">
        <v>2046</v>
      </c>
      <c r="AL35" s="1354">
        <f t="shared" si="6"/>
        <v>0.73333333333333328</v>
      </c>
      <c r="AM35" s="34">
        <f t="shared" si="7"/>
        <v>0.89263484441361618</v>
      </c>
      <c r="AN35" s="1357">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6">
        <v>2047</v>
      </c>
      <c r="AL36" s="1354">
        <f t="shared" si="6"/>
        <v>0.8</v>
      </c>
      <c r="AM36" s="34">
        <f t="shared" si="7"/>
        <v>0.95759520473050741</v>
      </c>
      <c r="AN36" s="1357">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6">
        <v>2048</v>
      </c>
      <c r="AL37" s="1354">
        <f t="shared" si="6"/>
        <v>0.8666666666666667</v>
      </c>
      <c r="AM37" s="34">
        <f t="shared" si="7"/>
        <v>0.98713374628095452</v>
      </c>
      <c r="AN37" s="1357">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6">
        <v>2049</v>
      </c>
      <c r="AL38" s="1354">
        <f t="shared" si="6"/>
        <v>0.93333333333333335</v>
      </c>
      <c r="AM38" s="34">
        <f t="shared" si="7"/>
        <v>0.99713505177129269</v>
      </c>
      <c r="AN38" s="1357">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6">
        <v>2050</v>
      </c>
      <c r="AL39" s="1354">
        <f t="shared" si="6"/>
        <v>1</v>
      </c>
      <c r="AM39" s="34">
        <f t="shared" si="7"/>
        <v>0.99955438240440797</v>
      </c>
      <c r="AN39" s="1357">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Veh Price</vt:lpstr>
      <vt:lpstr>FuelAvail</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2020-08-24T21:02:09Z</dcterms:modified>
</cp:coreProperties>
</file>