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gillera/Documents/GitHub/binder/scenarios/"/>
    </mc:Choice>
  </mc:AlternateContent>
  <xr:revisionPtr revIDLastSave="0" documentId="13_ncr:1_{BD20ECA7-B6C2-CC4A-B4A6-80860A56CD0C}" xr6:coauthVersionLast="45" xr6:coauthVersionMax="45" xr10:uidLastSave="{00000000-0000-0000-0000-000000000000}"/>
  <bookViews>
    <workbookView xWindow="3400" yWindow="720" windowWidth="26840" windowHeight="18160" activeTab="1" xr2:uid="{5A765FE7-95B9-B249-9108-336E4EE881D7}"/>
  </bookViews>
  <sheets>
    <sheet name="Summary" sheetId="1" r:id="rId1"/>
    <sheet name="Total Capital Cost" sheetId="5" r:id="rId2"/>
    <sheet name="Fuel Price" sheetId="3" r:id="rId3"/>
    <sheet name="Fuel Availability" sheetId="4" r:id="rId4"/>
    <sheet name="Outputs" sheetId="6" r:id="rId5"/>
  </sheets>
  <definedNames>
    <definedName name="plugs">'Fuel Availability'!$Q$6</definedName>
    <definedName name="plugs_per_station">'Fuel Availability'!$Q$6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4" l="1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G23" i="5"/>
  <c r="D14" i="5"/>
  <c r="D15" i="5" s="1"/>
  <c r="D16" i="5" s="1"/>
  <c r="F23" i="5"/>
  <c r="E22" i="5"/>
  <c r="E23" i="5" s="1"/>
  <c r="E24" i="5" s="1"/>
  <c r="D22" i="5"/>
  <c r="D23" i="5" s="1"/>
  <c r="D24" i="5" s="1"/>
  <c r="G22" i="5"/>
  <c r="G24" i="5" s="1"/>
  <c r="F24" i="5"/>
  <c r="F22" i="5" l="1"/>
  <c r="G14" i="5"/>
  <c r="G15" i="5" s="1"/>
  <c r="G16" i="5" s="1"/>
  <c r="F14" i="5"/>
  <c r="F15" i="5" s="1"/>
  <c r="F16" i="5" s="1"/>
  <c r="E14" i="5"/>
  <c r="E15" i="5" s="1"/>
  <c r="E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Hunter, Chad</author>
  </authors>
  <commentList>
    <comment ref="B7" authorId="0" shapeId="0" xr:uid="{BDC20854-759B-504B-8460-A4973F0D4B8C}">
      <text>
        <r>
          <rPr>
            <b/>
            <sz val="9"/>
            <color rgb="FF000000"/>
            <rFont val="Tahoma"/>
            <family val="2"/>
          </rPr>
          <t>Hunter, Chad: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may want to update the No Program scenario to this array</t>
        </r>
      </text>
    </comment>
    <comment ref="C7" authorId="0" shapeId="0" xr:uid="{6583A752-29EE-4242-9516-B25AB7E583D8}">
      <text>
        <r>
          <rPr>
            <b/>
            <sz val="9"/>
            <color rgb="FF000000"/>
            <rFont val="Tahoma"/>
            <family val="2"/>
          </rPr>
          <t>Hunter, Chad: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this array for the sensitivty analysis scenario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Dwyer, Michael T.</author>
  </authors>
  <commentList>
    <comment ref="C4" authorId="0" shapeId="0" xr:uid="{144EF24F-0B3D-BB41-A1B8-0CEFBC5A8BD8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should be 61785/21218 based on https://afdc.energy.gov/stations/states</t>
        </r>
      </text>
    </comment>
    <comment ref="C5" authorId="0" shapeId="0" xr:uid="{88B96362-EB50-B246-9734-263F70CA5630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AFDC methodology changed in 2011:
</t>
        </r>
        <r>
          <rPr>
            <sz val="9"/>
            <color rgb="FF000000"/>
            <rFont val="Tahoma"/>
            <family val="2"/>
          </rPr>
          <t xml:space="preserve">Pre-2011: Number of stations/installations
</t>
        </r>
        <r>
          <rPr>
            <sz val="9"/>
            <color rgb="FF000000"/>
            <rFont val="Tahoma"/>
            <family val="2"/>
          </rPr>
          <t xml:space="preserve">2011+: Number of plugs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column uses an </t>
        </r>
        <r>
          <rPr>
            <i/>
            <sz val="9"/>
            <color rgb="FF000000"/>
            <rFont val="Tahoma"/>
            <family val="2"/>
          </rPr>
          <t>average plugs per station</t>
        </r>
        <r>
          <rPr>
            <sz val="9"/>
            <color rgb="FF000000"/>
            <rFont val="Tahoma"/>
            <family val="2"/>
          </rPr>
          <t xml:space="preserve"> metric to get station count from the plug counts post-2010</t>
        </r>
      </text>
    </comment>
    <comment ref="G5" authorId="0" shapeId="0" xr:uid="{12B29DC5-B757-BB4D-B7E4-FDC78AD8CFE8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2015 and after are from GPRA2019 Progr Success case data provided by Tom Stephens</t>
        </r>
      </text>
    </comment>
    <comment ref="K5" authorId="0" shapeId="0" xr:uid="{A29CF9EA-0D2F-A248-A548-D5F3BFDCB9C1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AFDC: https://www.afdc.energy.gov/data/10333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Frozen post-2012 (no new data available)</t>
        </r>
      </text>
    </comment>
  </commentList>
</comments>
</file>

<file path=xl/sharedStrings.xml><?xml version="1.0" encoding="utf-8"?>
<sst xmlns="http://schemas.openxmlformats.org/spreadsheetml/2006/main" count="126" uniqueCount="98">
  <si>
    <t>Current Analysis</t>
  </si>
  <si>
    <t>Peak Efficiency</t>
  </si>
  <si>
    <t>Cost ($/kW)</t>
  </si>
  <si>
    <t>Hydrogen storage cost ($/kWh)</t>
  </si>
  <si>
    <t>Hydrogen storage cost ($/usable H2)</t>
  </si>
  <si>
    <t>Hydrogen Storage Cost ($/kWh)</t>
  </si>
  <si>
    <t>Fuel Price</t>
  </si>
  <si>
    <t>From Tom Stephens (1/22/2019 GPRA):</t>
  </si>
  <si>
    <t>H2 $/kg</t>
  </si>
  <si>
    <t>Sleep Cab</t>
  </si>
  <si>
    <t>FCEV</t>
  </si>
  <si>
    <t>Program Success</t>
  </si>
  <si>
    <t>Meta Data</t>
  </si>
  <si>
    <t>Vehicle Type</t>
  </si>
  <si>
    <t xml:space="preserve">Powertrain </t>
  </si>
  <si>
    <t>Conventional</t>
  </si>
  <si>
    <t>Case</t>
  </si>
  <si>
    <t>Model Year</t>
  </si>
  <si>
    <t>Vehcle</t>
  </si>
  <si>
    <t>Vehicle Powertrain Type</t>
  </si>
  <si>
    <t>Drag Coefficient</t>
  </si>
  <si>
    <t>frontal Area (m^2)</t>
  </si>
  <si>
    <t>Vehicle glider mass (kg)</t>
  </si>
  <si>
    <t>Vehicle center of gravity height (m)</t>
  </si>
  <si>
    <t>Drive axle weight fraction</t>
  </si>
  <si>
    <t>Wheel base (m)</t>
  </si>
  <si>
    <t>Cargo mass (kg)</t>
  </si>
  <si>
    <t>Vehicle override test mass (kg)</t>
  </si>
  <si>
    <t>Fuel / Fuel Converter</t>
  </si>
  <si>
    <t>Fuel storage power (kW)</t>
  </si>
  <si>
    <t>Fuel storage time to full power (s)</t>
  </si>
  <si>
    <t>Fuel storage energy (kWh)</t>
  </si>
  <si>
    <t>Fuel and fuel storage mass (kWh/kg)</t>
  </si>
  <si>
    <t>Fuel converter power (kW)</t>
  </si>
  <si>
    <t>Fuel converter efficiency type</t>
  </si>
  <si>
    <t>Efficiency improvement</t>
  </si>
  <si>
    <t>Fuel converter time to full power (s)</t>
  </si>
  <si>
    <t>Fuel converter base mass (kg)</t>
  </si>
  <si>
    <t>Fuel converter specific power (kW/kg)</t>
  </si>
  <si>
    <t>Motor</t>
  </si>
  <si>
    <t>Motor power (kW)</t>
  </si>
  <si>
    <t>Motor peak efficiency</t>
  </si>
  <si>
    <t>Motor time to full power (s)</t>
  </si>
  <si>
    <t>Motor controller mass (kg/kW)</t>
  </si>
  <si>
    <t>Motor controller base mass (kg)</t>
  </si>
  <si>
    <t>Traction Battery</t>
  </si>
  <si>
    <t>Battery power (kW)</t>
  </si>
  <si>
    <t>Battery energy (kWh)</t>
  </si>
  <si>
    <t>Battery mass (kg/kWh)</t>
  </si>
  <si>
    <t>Battery base mass (kg)</t>
  </si>
  <si>
    <t>Battery round trip efficiency</t>
  </si>
  <si>
    <t>Battery life coefficient A (product)</t>
  </si>
  <si>
    <t>Battery life coefficient B (power)</t>
  </si>
  <si>
    <t>DIFFERENCE</t>
  </si>
  <si>
    <t>TOTAL DIFFERENCE</t>
  </si>
  <si>
    <t>OLD COST ($/kW)</t>
  </si>
  <si>
    <t>NEW COST ($/kW)</t>
  </si>
  <si>
    <t>DIFFERENCE ($ per KW)</t>
  </si>
  <si>
    <t>TOTAL DIFFERENCE ($)</t>
  </si>
  <si>
    <t>OLD COST ($/kWh)</t>
  </si>
  <si>
    <t>NEW STORAGE COST ($/kWh)</t>
  </si>
  <si>
    <t>E</t>
  </si>
  <si>
    <t>FCHEV</t>
  </si>
  <si>
    <t>Fuel Availability</t>
  </si>
  <si>
    <t>From AFDC</t>
  </si>
  <si>
    <t>https://www.afdc.energy.gov/data/10332</t>
  </si>
  <si>
    <t>Avg. plugs per station:</t>
  </si>
  <si>
    <t>Medium Duty Vehicles from TRUCK Excel Model</t>
  </si>
  <si>
    <t>Class 7&amp;8 Example Output ®</t>
  </si>
  <si>
    <t>Compare to "No Program" Case with all technologies (pending No Program Case TRUCK from Alicia)</t>
  </si>
  <si>
    <t>Input Variables changing:</t>
  </si>
  <si>
    <t>Affect Total Capital Cost for TRUCK model</t>
  </si>
  <si>
    <t>Main Objective:</t>
  </si>
  <si>
    <t>Improve FCEVs to no program case (using the Input Variables below)</t>
  </si>
  <si>
    <t>Total Capital Cost Derived from Two Inputs:</t>
  </si>
  <si>
    <t>EXAMPLE DIFFERENTIAL:</t>
  </si>
  <si>
    <t>CHANGE TO: (SCENARIO 1)</t>
  </si>
  <si>
    <t>CHANGE TO: (SCENARIO 2)</t>
  </si>
  <si>
    <t>Note: can have multiple scenarios for the "New Cost"</t>
  </si>
  <si>
    <t>Hydrogen (New Case) - Scenario 1</t>
  </si>
  <si>
    <t>Hydrogen (New Case) - Scenario 2</t>
  </si>
  <si>
    <t>Difference including mark up</t>
  </si>
  <si>
    <t>50% markup that FASTSIM uses (cost to price)</t>
  </si>
  <si>
    <t>No Program</t>
  </si>
  <si>
    <t>FROM CHAD:</t>
  </si>
  <si>
    <t>Sensitivity Scenario</t>
  </si>
  <si>
    <t>SECOND CASE: INCREASE TO DIESEL/PROPANE STATION COUNT</t>
  </si>
  <si>
    <t>Year</t>
  </si>
  <si>
    <t>Electricity</t>
  </si>
  <si>
    <t>Propane</t>
  </si>
  <si>
    <t>Methanol (M85)</t>
  </si>
  <si>
    <t>LNG</t>
  </si>
  <si>
    <t>Hydrogen</t>
  </si>
  <si>
    <t>Biodiesel**</t>
  </si>
  <si>
    <t>CNG</t>
  </si>
  <si>
    <t>E85</t>
  </si>
  <si>
    <t>Gasoline</t>
  </si>
  <si>
    <t>FIRST CASE: KEEP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</si>
</sst>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_)"/>
    <numFmt numFmtId="166" formatCode="0.00_)"/>
    <numFmt numFmtId="167" formatCode="&quot;$&quot;#,##0.00"/>
    <numFmt numFmtId="168" formatCode="_(&quot;$&quot;* #,##0_);_(&quot;$&quot;* \(#,##0\);_(&quot;$&quot;* &quot;-&quot;??_);_(@_)"/>
    <numFmt numFmtId="173" formatCode="_(* #,##0_);_(* \(#,##0\);_(* &quot;-&quot;??_);_(@_)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366092"/>
      <name val="Arial"/>
      <family val="2"/>
    </font>
    <font>
      <sz val="14"/>
      <name val="Calibri (Body)"/>
    </font>
    <font>
      <b/>
      <i/>
      <sz val="14"/>
      <color theme="1"/>
      <name val="Calibri (Body)"/>
    </font>
    <font>
      <b/>
      <sz val="14"/>
      <color theme="1"/>
      <name val="Calibri (Body)"/>
    </font>
    <font>
      <sz val="14"/>
      <color theme="1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Calibri"/>
      <family val="2"/>
      <scheme val="minor"/>
    </font>
    <font>
      <i/>
      <sz val="9"/>
      <color rgb="FF000000"/>
      <name val="Tahoma"/>
      <family val="2"/>
    </font>
    <font>
      <sz val="12"/>
      <name val="Calibri"/>
      <family val="2"/>
    </font>
    <font>
      <u/>
      <sz val="12"/>
      <color rgb="FF0000FF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/>
  </cellStyleXfs>
  <cellXfs count="204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9" fontId="4" fillId="0" borderId="6" xfId="2" applyFont="1" applyBorder="1"/>
    <xf numFmtId="9" fontId="4" fillId="0" borderId="7" xfId="2" applyFont="1" applyBorder="1"/>
    <xf numFmtId="9" fontId="4" fillId="0" borderId="8" xfId="2" applyFont="1" applyBorder="1"/>
    <xf numFmtId="0" fontId="2" fillId="2" borderId="5" xfId="0" applyFont="1" applyFill="1" applyBorder="1"/>
    <xf numFmtId="0" fontId="2" fillId="2" borderId="9" xfId="0" applyFont="1" applyFill="1" applyBorder="1"/>
    <xf numFmtId="0" fontId="4" fillId="0" borderId="10" xfId="2" applyNumberFormat="1" applyFont="1" applyBorder="1"/>
    <xf numFmtId="0" fontId="4" fillId="0" borderId="11" xfId="2" applyNumberFormat="1" applyFont="1" applyBorder="1"/>
    <xf numFmtId="0" fontId="4" fillId="0" borderId="12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4" fillId="4" borderId="13" xfId="0" applyNumberFormat="1" applyFont="1" applyFill="1" applyBorder="1" applyAlignment="1">
      <alignment horizontal="center"/>
    </xf>
    <xf numFmtId="165" fontId="4" fillId="4" borderId="14" xfId="0" applyNumberFormat="1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5" fillId="0" borderId="19" xfId="0" applyFont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2" fontId="4" fillId="3" borderId="25" xfId="0" applyNumberFormat="1" applyFont="1" applyFill="1" applyBorder="1" applyAlignment="1">
      <alignment horizontal="center"/>
    </xf>
    <xf numFmtId="166" fontId="4" fillId="3" borderId="25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4" fillId="3" borderId="28" xfId="0" applyNumberFormat="1" applyFont="1" applyFill="1" applyBorder="1" applyAlignment="1">
      <alignment horizontal="center"/>
    </xf>
    <xf numFmtId="0" fontId="10" fillId="0" borderId="0" xfId="0" applyFont="1"/>
    <xf numFmtId="0" fontId="10" fillId="2" borderId="1" xfId="0" applyFont="1" applyFill="1" applyBorder="1"/>
    <xf numFmtId="0" fontId="10" fillId="0" borderId="7" xfId="0" applyFont="1" applyBorder="1"/>
    <xf numFmtId="164" fontId="3" fillId="0" borderId="7" xfId="0" applyNumberFormat="1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16" xfId="0" applyFont="1" applyBorder="1"/>
    <xf numFmtId="0" fontId="10" fillId="0" borderId="16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22" xfId="0" applyFont="1" applyBorder="1"/>
    <xf numFmtId="0" fontId="10" fillId="0" borderId="22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0" fillId="0" borderId="18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20" xfId="0" applyFont="1" applyBorder="1" applyAlignment="1">
      <alignment horizontal="right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10" fillId="6" borderId="7" xfId="0" applyFont="1" applyFill="1" applyBorder="1"/>
    <xf numFmtId="0" fontId="10" fillId="6" borderId="7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right"/>
    </xf>
    <xf numFmtId="9" fontId="10" fillId="5" borderId="7" xfId="0" applyNumberFormat="1" applyFont="1" applyFill="1" applyBorder="1" applyAlignment="1">
      <alignment horizontal="right"/>
    </xf>
    <xf numFmtId="9" fontId="10" fillId="5" borderId="8" xfId="0" applyNumberFormat="1" applyFont="1" applyFill="1" applyBorder="1" applyAlignment="1">
      <alignment horizontal="right"/>
    </xf>
    <xf numFmtId="9" fontId="8" fillId="5" borderId="6" xfId="0" applyNumberFormat="1" applyFont="1" applyFill="1" applyBorder="1" applyAlignment="1">
      <alignment horizontal="right"/>
    </xf>
    <xf numFmtId="9" fontId="8" fillId="5" borderId="7" xfId="0" applyNumberFormat="1" applyFont="1" applyFill="1" applyBorder="1" applyAlignment="1">
      <alignment horizontal="right"/>
    </xf>
    <xf numFmtId="9" fontId="8" fillId="5" borderId="8" xfId="0" applyNumberFormat="1" applyFont="1" applyFill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0" fontId="8" fillId="0" borderId="19" xfId="0" applyFont="1" applyBorder="1"/>
    <xf numFmtId="0" fontId="7" fillId="0" borderId="19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8" fillId="0" borderId="7" xfId="0" applyFont="1" applyBorder="1"/>
    <xf numFmtId="9" fontId="7" fillId="0" borderId="7" xfId="0" applyNumberFormat="1" applyFont="1" applyBorder="1" applyAlignment="1">
      <alignment horizontal="right"/>
    </xf>
    <xf numFmtId="9" fontId="7" fillId="0" borderId="8" xfId="0" applyNumberFormat="1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5" borderId="18" xfId="0" applyFont="1" applyFill="1" applyBorder="1" applyAlignment="1">
      <alignment horizontal="right"/>
    </xf>
    <xf numFmtId="0" fontId="8" fillId="5" borderId="19" xfId="0" applyFont="1" applyFill="1" applyBorder="1" applyAlignment="1">
      <alignment horizontal="right"/>
    </xf>
    <xf numFmtId="0" fontId="8" fillId="5" borderId="20" xfId="0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10" fontId="8" fillId="0" borderId="6" xfId="0" applyNumberFormat="1" applyFont="1" applyBorder="1" applyAlignment="1">
      <alignment horizontal="right"/>
    </xf>
    <xf numFmtId="10" fontId="8" fillId="0" borderId="7" xfId="0" applyNumberFormat="1" applyFont="1" applyBorder="1" applyAlignment="1">
      <alignment horizontal="right"/>
    </xf>
    <xf numFmtId="10" fontId="8" fillId="0" borderId="8" xfId="0" applyNumberFormat="1" applyFont="1" applyBorder="1" applyAlignment="1">
      <alignment horizontal="right"/>
    </xf>
    <xf numFmtId="10" fontId="8" fillId="0" borderId="0" xfId="0" applyNumberFormat="1" applyFont="1" applyFill="1" applyBorder="1" applyAlignment="1">
      <alignment horizontal="right"/>
    </xf>
    <xf numFmtId="0" fontId="8" fillId="0" borderId="16" xfId="0" applyFont="1" applyBorder="1"/>
    <xf numFmtId="0" fontId="10" fillId="0" borderId="0" xfId="0" applyFont="1" applyFill="1"/>
    <xf numFmtId="164" fontId="4" fillId="5" borderId="6" xfId="2" applyNumberFormat="1" applyFont="1" applyFill="1" applyBorder="1"/>
    <xf numFmtId="164" fontId="4" fillId="5" borderId="7" xfId="2" applyNumberFormat="1" applyFont="1" applyFill="1" applyBorder="1"/>
    <xf numFmtId="164" fontId="4" fillId="5" borderId="8" xfId="2" applyNumberFormat="1" applyFont="1" applyFill="1" applyBorder="1"/>
    <xf numFmtId="164" fontId="4" fillId="11" borderId="6" xfId="2" applyNumberFormat="1" applyFont="1" applyFill="1" applyBorder="1"/>
    <xf numFmtId="164" fontId="4" fillId="11" borderId="7" xfId="2" applyNumberFormat="1" applyFont="1" applyFill="1" applyBorder="1"/>
    <xf numFmtId="164" fontId="4" fillId="11" borderId="8" xfId="2" applyNumberFormat="1" applyFont="1" applyFill="1" applyBorder="1"/>
    <xf numFmtId="168" fontId="10" fillId="7" borderId="7" xfId="1" applyNumberFormat="1" applyFont="1" applyFill="1" applyBorder="1"/>
    <xf numFmtId="44" fontId="10" fillId="0" borderId="7" xfId="1" applyFont="1" applyBorder="1"/>
    <xf numFmtId="0" fontId="3" fillId="0" borderId="33" xfId="0" applyFont="1" applyBorder="1"/>
    <xf numFmtId="0" fontId="2" fillId="0" borderId="34" xfId="0" applyFont="1" applyFill="1" applyBorder="1"/>
    <xf numFmtId="0" fontId="10" fillId="0" borderId="34" xfId="0" applyFont="1" applyFill="1" applyBorder="1"/>
    <xf numFmtId="0" fontId="10" fillId="0" borderId="33" xfId="0" applyFont="1" applyBorder="1"/>
    <xf numFmtId="0" fontId="0" fillId="0" borderId="0" xfId="0" applyFill="1" applyBorder="1"/>
    <xf numFmtId="0" fontId="10" fillId="0" borderId="0" xfId="0" applyFont="1" applyFill="1" applyBorder="1"/>
    <xf numFmtId="0" fontId="11" fillId="8" borderId="6" xfId="0" applyFont="1" applyFill="1" applyBorder="1" applyAlignment="1">
      <alignment horizontal="right"/>
    </xf>
    <xf numFmtId="0" fontId="11" fillId="8" borderId="7" xfId="0" applyFont="1" applyFill="1" applyBorder="1" applyAlignment="1">
      <alignment horizontal="right"/>
    </xf>
    <xf numFmtId="0" fontId="11" fillId="8" borderId="8" xfId="0" applyFont="1" applyFill="1" applyBorder="1" applyAlignment="1">
      <alignment horizontal="right"/>
    </xf>
    <xf numFmtId="164" fontId="12" fillId="12" borderId="35" xfId="0" applyNumberFormat="1" applyFont="1" applyFill="1" applyBorder="1" applyAlignment="1">
      <alignment horizontal="center"/>
    </xf>
    <xf numFmtId="164" fontId="12" fillId="12" borderId="36" xfId="0" applyNumberFormat="1" applyFont="1" applyFill="1" applyBorder="1" applyAlignment="1">
      <alignment horizontal="center"/>
    </xf>
    <xf numFmtId="164" fontId="12" fillId="12" borderId="37" xfId="0" applyNumberFormat="1" applyFont="1" applyFill="1" applyBorder="1" applyAlignment="1">
      <alignment horizontal="center"/>
    </xf>
    <xf numFmtId="164" fontId="12" fillId="12" borderId="38" xfId="0" applyNumberFormat="1" applyFont="1" applyFill="1" applyBorder="1" applyAlignment="1">
      <alignment horizontal="center"/>
    </xf>
    <xf numFmtId="0" fontId="9" fillId="0" borderId="32" xfId="0" applyFont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 textRotation="90"/>
    </xf>
    <xf numFmtId="0" fontId="9" fillId="0" borderId="24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11" fillId="0" borderId="29" xfId="0" applyFont="1" applyBorder="1" applyAlignment="1">
      <alignment horizontal="center" vertical="center" textRotation="90"/>
    </xf>
    <xf numFmtId="0" fontId="11" fillId="0" borderId="30" xfId="0" applyFont="1" applyBorder="1" applyAlignment="1">
      <alignment horizontal="center" vertical="center" textRotation="90"/>
    </xf>
    <xf numFmtId="0" fontId="11" fillId="0" borderId="31" xfId="0" applyFont="1" applyBorder="1" applyAlignment="1">
      <alignment horizontal="center" vertical="center" textRotation="90"/>
    </xf>
    <xf numFmtId="0" fontId="13" fillId="0" borderId="0" xfId="0" applyFon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9" fontId="4" fillId="0" borderId="0" xfId="2" applyFont="1" applyFill="1" applyBorder="1"/>
    <xf numFmtId="164" fontId="4" fillId="0" borderId="0" xfId="2" applyNumberFormat="1" applyFont="1" applyFill="1" applyBorder="1"/>
    <xf numFmtId="0" fontId="4" fillId="0" borderId="0" xfId="2" applyNumberFormat="1" applyFont="1" applyFill="1" applyBorder="1"/>
    <xf numFmtId="168" fontId="10" fillId="0" borderId="0" xfId="1" applyNumberFormat="1" applyFont="1" applyFill="1" applyBorder="1"/>
    <xf numFmtId="164" fontId="3" fillId="0" borderId="0" xfId="0" applyNumberFormat="1" applyFont="1" applyFill="1" applyBorder="1"/>
    <xf numFmtId="0" fontId="9" fillId="0" borderId="0" xfId="0" applyFont="1" applyFill="1" applyBorder="1"/>
    <xf numFmtId="167" fontId="9" fillId="0" borderId="0" xfId="0" applyNumberFormat="1" applyFont="1" applyFill="1" applyBorder="1"/>
    <xf numFmtId="44" fontId="10" fillId="0" borderId="0" xfId="1" applyFont="1" applyFill="1" applyBorder="1"/>
    <xf numFmtId="44" fontId="9" fillId="0" borderId="0" xfId="1" applyFont="1" applyFill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15" fillId="10" borderId="33" xfId="0" applyFont="1" applyFill="1" applyBorder="1"/>
    <xf numFmtId="167" fontId="15" fillId="10" borderId="7" xfId="0" applyNumberFormat="1" applyFont="1" applyFill="1" applyBorder="1"/>
    <xf numFmtId="44" fontId="15" fillId="10" borderId="7" xfId="1" applyFont="1" applyFill="1" applyBorder="1"/>
    <xf numFmtId="0" fontId="15" fillId="0" borderId="0" xfId="0" applyFont="1" applyFill="1" applyBorder="1"/>
    <xf numFmtId="167" fontId="15" fillId="0" borderId="0" xfId="0" applyNumberFormat="1" applyFont="1" applyFill="1" applyBorder="1"/>
    <xf numFmtId="173" fontId="16" fillId="10" borderId="0" xfId="0" applyNumberFormat="1" applyFont="1" applyFill="1" applyBorder="1" applyAlignment="1">
      <alignment horizontal="center"/>
    </xf>
    <xf numFmtId="0" fontId="15" fillId="10" borderId="7" xfId="0" applyFont="1" applyFill="1" applyBorder="1"/>
    <xf numFmtId="0" fontId="17" fillId="9" borderId="7" xfId="0" applyFont="1" applyFill="1" applyBorder="1" applyAlignment="1">
      <alignment horizontal="center"/>
    </xf>
    <xf numFmtId="0" fontId="18" fillId="9" borderId="7" xfId="0" applyFont="1" applyFill="1" applyBorder="1"/>
    <xf numFmtId="0" fontId="20" fillId="0" borderId="0" xfId="0" applyFont="1"/>
    <xf numFmtId="0" fontId="20" fillId="0" borderId="0" xfId="0" applyFont="1" applyFill="1"/>
    <xf numFmtId="0" fontId="20" fillId="0" borderId="0" xfId="0" applyFont="1" applyAlignment="1">
      <alignment horizontal="center"/>
    </xf>
    <xf numFmtId="0" fontId="19" fillId="0" borderId="0" xfId="0" applyFont="1" applyFill="1" applyBorder="1"/>
    <xf numFmtId="0" fontId="19" fillId="13" borderId="0" xfId="0" applyFont="1" applyFill="1"/>
    <xf numFmtId="0" fontId="20" fillId="13" borderId="0" xfId="0" applyFont="1" applyFill="1"/>
    <xf numFmtId="0" fontId="13" fillId="10" borderId="0" xfId="0" applyFont="1" applyFill="1"/>
    <xf numFmtId="3" fontId="15" fillId="10" borderId="0" xfId="0" applyNumberFormat="1" applyFont="1" applyFill="1"/>
    <xf numFmtId="0" fontId="9" fillId="14" borderId="7" xfId="0" applyFont="1" applyFill="1" applyBorder="1"/>
    <xf numFmtId="164" fontId="10" fillId="0" borderId="7" xfId="1" applyNumberFormat="1" applyFont="1" applyBorder="1"/>
    <xf numFmtId="2" fontId="3" fillId="0" borderId="7" xfId="0" applyNumberFormat="1" applyFont="1" applyBorder="1"/>
    <xf numFmtId="0" fontId="23" fillId="0" borderId="0" xfId="0" applyFont="1"/>
    <xf numFmtId="0" fontId="25" fillId="0" borderId="0" xfId="0" applyFont="1" applyBorder="1" applyAlignment="1">
      <alignment horizontal="right"/>
    </xf>
    <xf numFmtId="0" fontId="26" fillId="0" borderId="0" xfId="4" applyFont="1" applyFill="1" applyBorder="1" applyAlignment="1" applyProtection="1"/>
    <xf numFmtId="0" fontId="25" fillId="0" borderId="0" xfId="0" applyFont="1" applyBorder="1"/>
    <xf numFmtId="0" fontId="13" fillId="0" borderId="0" xfId="0" applyFont="1" applyBorder="1"/>
    <xf numFmtId="1" fontId="29" fillId="0" borderId="0" xfId="3" applyNumberFormat="1" applyFont="1" applyFill="1" applyBorder="1" applyAlignment="1">
      <alignment horizontal="center"/>
    </xf>
    <xf numFmtId="173" fontId="29" fillId="0" borderId="0" xfId="3" applyNumberFormat="1" applyFont="1" applyFill="1" applyBorder="1" applyAlignment="1">
      <alignment horizontal="left"/>
    </xf>
    <xf numFmtId="173" fontId="29" fillId="0" borderId="0" xfId="3" quotePrefix="1" applyNumberFormat="1" applyFont="1" applyFill="1" applyBorder="1" applyAlignment="1">
      <alignment horizontal="left"/>
    </xf>
    <xf numFmtId="173" fontId="29" fillId="0" borderId="0" xfId="3" applyNumberFormat="1" applyFont="1" applyFill="1" applyBorder="1" applyAlignment="1">
      <alignment horizontal="left" wrapText="1"/>
    </xf>
    <xf numFmtId="173" fontId="29" fillId="0" borderId="0" xfId="5" applyNumberFormat="1" applyFont="1" applyBorder="1" applyAlignment="1">
      <alignment horizontal="left"/>
    </xf>
    <xf numFmtId="173" fontId="29" fillId="0" borderId="0" xfId="3" applyNumberFormat="1" applyFont="1" applyFill="1" applyBorder="1" applyAlignment="1">
      <alignment wrapText="1"/>
    </xf>
    <xf numFmtId="173" fontId="29" fillId="0" borderId="0" xfId="3" applyNumberFormat="1" applyFont="1" applyFill="1" applyBorder="1"/>
    <xf numFmtId="173" fontId="29" fillId="0" borderId="0" xfId="3" applyNumberFormat="1" applyFont="1" applyFill="1" applyBorder="1" applyAlignment="1">
      <alignment horizontal="center" wrapText="1"/>
    </xf>
    <xf numFmtId="173" fontId="25" fillId="0" borderId="0" xfId="0" applyNumberFormat="1" applyFont="1" applyBorder="1"/>
    <xf numFmtId="3" fontId="25" fillId="0" borderId="0" xfId="0" applyNumberFormat="1" applyFont="1" applyBorder="1"/>
    <xf numFmtId="0" fontId="29" fillId="0" borderId="0" xfId="0" applyFont="1" applyBorder="1"/>
    <xf numFmtId="173" fontId="27" fillId="14" borderId="0" xfId="3" applyNumberFormat="1" applyFont="1" applyFill="1" applyBorder="1" applyAlignment="1">
      <alignment horizontal="center"/>
    </xf>
    <xf numFmtId="173" fontId="27" fillId="15" borderId="0" xfId="3" applyNumberFormat="1" applyFont="1" applyFill="1" applyBorder="1" applyAlignment="1">
      <alignment horizontal="center"/>
    </xf>
    <xf numFmtId="0" fontId="28" fillId="15" borderId="0" xfId="0" applyFont="1" applyFill="1" applyBorder="1"/>
    <xf numFmtId="0" fontId="15" fillId="16" borderId="0" xfId="0" applyFont="1" applyFill="1" applyBorder="1"/>
    <xf numFmtId="167" fontId="15" fillId="16" borderId="0" xfId="0" applyNumberFormat="1" applyFont="1" applyFill="1" applyBorder="1"/>
    <xf numFmtId="0" fontId="15" fillId="16" borderId="0" xfId="0" applyFont="1" applyFill="1"/>
    <xf numFmtId="44" fontId="15" fillId="16" borderId="0" xfId="0" applyNumberFormat="1" applyFont="1" applyFill="1"/>
    <xf numFmtId="0" fontId="9" fillId="16" borderId="22" xfId="0" applyFont="1" applyFill="1" applyBorder="1"/>
    <xf numFmtId="0" fontId="9" fillId="16" borderId="7" xfId="0" applyFont="1" applyFill="1" applyBorder="1"/>
    <xf numFmtId="173" fontId="30" fillId="16" borderId="0" xfId="3" applyNumberFormat="1" applyFont="1" applyFill="1" applyBorder="1" applyAlignment="1">
      <alignment horizontal="left"/>
    </xf>
    <xf numFmtId="173" fontId="30" fillId="16" borderId="0" xfId="3" applyNumberFormat="1" applyFont="1" applyFill="1" applyBorder="1" applyAlignment="1">
      <alignment horizontal="center" wrapText="1"/>
    </xf>
    <xf numFmtId="173" fontId="31" fillId="16" borderId="0" xfId="0" applyNumberFormat="1" applyFont="1" applyFill="1" applyBorder="1"/>
    <xf numFmtId="173" fontId="31" fillId="16" borderId="0" xfId="3" applyNumberFormat="1" applyFont="1" applyFill="1" applyBorder="1"/>
  </cellXfs>
  <cellStyles count="6">
    <cellStyle name="Comma" xfId="3" builtinId="3"/>
    <cellStyle name="Currency" xfId="1" builtinId="4"/>
    <cellStyle name="Hyperlink" xfId="4" builtinId="8"/>
    <cellStyle name="Normal" xfId="0" builtinId="0"/>
    <cellStyle name="Normal 2" xfId="5" xr:uid="{68ECD8CA-EE61-3949-805D-24E062E5EAB7}"/>
    <cellStyle name="Percent" xfId="2" builtinId="5"/>
  </cellStyles>
  <dxfs count="2">
    <dxf>
      <font>
        <color theme="2" tint="-9.9948118533890809E-2"/>
      </font>
    </dxf>
    <dxf>
      <font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723900</xdr:colOff>
      <xdr:row>2</xdr:row>
      <xdr:rowOff>50800</xdr:rowOff>
    </xdr:from>
    <xdr:ext cx="5880100" cy="4645488"/>
    <xdr:pic>
      <xdr:nvPicPr>
        <xdr:cNvPr id="2" name="Picture 1">
          <a:extLst>
            <a:ext uri="{FF2B5EF4-FFF2-40B4-BE49-F238E27FC236}">
              <a16:creationId xmlns:a16="http://schemas.microsoft.com/office/drawing/2014/main" id="{F2A01220-2EBD-9541-B252-5968F304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3100" y="457200"/>
          <a:ext cx="5880100" cy="4645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482600</xdr:colOff>
      <xdr:row>31</xdr:row>
      <xdr:rowOff>20068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6CA8-2D63-214C-9C17-37A2781F7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7912100" cy="5506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afdc.energy.gov/data/103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3609-DBA6-2045-9741-BA051614E39C}">
  <sheetPr codeName="Sheet1"/>
  <dimension ref="A1:N26"/>
  <sheetViews>
    <sheetView workbookViewId="0">
      <selection activeCell="A21" sqref="A21"/>
    </sheetView>
  </sheetViews>
  <sheetFormatPr baseColWidth="10" defaultRowHeight="16"/>
  <cols>
    <col min="1" max="1" width="73.1640625" customWidth="1"/>
    <col min="2" max="2" width="44.5" customWidth="1"/>
    <col min="3" max="3" width="25" customWidth="1"/>
    <col min="10" max="11" width="10" customWidth="1"/>
    <col min="13" max="13" width="20.33203125" customWidth="1"/>
    <col min="16" max="16" width="43" customWidth="1"/>
  </cols>
  <sheetData>
    <row r="1" spans="1:14" ht="19">
      <c r="A1" s="168" t="s">
        <v>72</v>
      </c>
      <c r="B1" s="169"/>
    </row>
    <row r="2" spans="1:14" ht="19">
      <c r="A2" s="164" t="s">
        <v>69</v>
      </c>
      <c r="B2" s="164"/>
      <c r="C2" s="35"/>
      <c r="D2" s="35"/>
      <c r="E2" s="35"/>
      <c r="F2" s="35"/>
      <c r="G2" s="35"/>
      <c r="H2" s="35"/>
      <c r="I2" s="35"/>
      <c r="J2" s="35"/>
      <c r="K2" s="35"/>
    </row>
    <row r="3" spans="1:14" ht="19">
      <c r="A3" s="164" t="s">
        <v>73</v>
      </c>
      <c r="B3" s="164"/>
      <c r="C3" s="115"/>
      <c r="D3" s="115"/>
      <c r="E3" s="115"/>
      <c r="F3" s="115"/>
      <c r="G3" s="115"/>
      <c r="H3" s="115"/>
      <c r="I3" s="115"/>
      <c r="J3" s="35"/>
      <c r="K3" s="35"/>
    </row>
    <row r="4" spans="1:14" ht="19">
      <c r="A4" s="164"/>
      <c r="B4" s="164"/>
      <c r="C4" s="115"/>
      <c r="D4" s="140"/>
      <c r="E4" s="115"/>
      <c r="F4" s="115"/>
      <c r="G4" s="115"/>
      <c r="H4" s="115"/>
      <c r="I4" s="115"/>
      <c r="J4" s="35"/>
      <c r="K4" s="35"/>
    </row>
    <row r="5" spans="1:14" ht="19">
      <c r="A5" s="164"/>
      <c r="B5" s="164"/>
      <c r="C5" s="115"/>
      <c r="D5" s="140"/>
      <c r="E5" s="140"/>
      <c r="F5" s="140"/>
      <c r="G5" s="140"/>
      <c r="H5" s="115"/>
      <c r="I5" s="115"/>
      <c r="J5" s="35"/>
      <c r="K5" s="35"/>
      <c r="L5" s="114"/>
      <c r="M5" s="114"/>
      <c r="N5" s="114"/>
    </row>
    <row r="6" spans="1:14" ht="19">
      <c r="A6" s="164"/>
      <c r="B6" s="164"/>
      <c r="C6" s="141"/>
      <c r="D6" s="142"/>
      <c r="E6" s="142"/>
      <c r="F6" s="142"/>
      <c r="G6" s="142"/>
      <c r="H6" s="115"/>
      <c r="I6" s="115"/>
      <c r="J6" s="35"/>
      <c r="K6" s="35"/>
      <c r="L6" s="114"/>
      <c r="M6" s="114"/>
      <c r="N6" s="114"/>
    </row>
    <row r="7" spans="1:14" ht="19">
      <c r="A7" s="164"/>
      <c r="B7" s="164"/>
      <c r="C7" s="140"/>
      <c r="D7" s="143"/>
      <c r="E7" s="143"/>
      <c r="F7" s="143"/>
      <c r="G7" s="143"/>
      <c r="H7" s="115"/>
      <c r="I7" s="115"/>
      <c r="J7" s="35"/>
      <c r="K7" s="35"/>
      <c r="L7" s="114"/>
      <c r="M7" s="151"/>
      <c r="N7" s="114"/>
    </row>
    <row r="8" spans="1:14" ht="19">
      <c r="A8" s="168" t="s">
        <v>70</v>
      </c>
      <c r="B8" s="169"/>
      <c r="C8" s="140"/>
      <c r="D8" s="143"/>
      <c r="E8" s="143"/>
      <c r="F8" s="143"/>
      <c r="G8" s="143"/>
      <c r="H8" s="115"/>
      <c r="I8" s="115"/>
      <c r="J8" s="35"/>
      <c r="K8" s="35"/>
      <c r="L8" s="114"/>
      <c r="M8" s="152"/>
      <c r="N8" s="114"/>
    </row>
    <row r="9" spans="1:14" ht="19">
      <c r="A9" s="165" t="s">
        <v>2</v>
      </c>
      <c r="B9" s="166" t="s">
        <v>71</v>
      </c>
      <c r="C9" s="140"/>
      <c r="D9" s="144"/>
      <c r="E9" s="144"/>
      <c r="F9" s="144"/>
      <c r="G9" s="144"/>
      <c r="H9" s="115"/>
      <c r="I9" s="115"/>
      <c r="J9" s="35"/>
      <c r="K9" s="35"/>
      <c r="L9" s="114"/>
      <c r="M9" s="153"/>
      <c r="N9" s="114"/>
    </row>
    <row r="10" spans="1:14" ht="19">
      <c r="A10" s="165" t="s">
        <v>5</v>
      </c>
      <c r="B10" s="166"/>
      <c r="C10" s="115"/>
      <c r="D10" s="115"/>
      <c r="E10" s="115"/>
      <c r="F10" s="115"/>
      <c r="G10" s="115"/>
      <c r="H10" s="115"/>
      <c r="I10" s="115"/>
      <c r="J10" s="35"/>
      <c r="K10" s="35"/>
      <c r="L10" s="114"/>
      <c r="M10" s="153"/>
      <c r="N10" s="114"/>
    </row>
    <row r="11" spans="1:14" ht="19">
      <c r="A11" s="165" t="s">
        <v>6</v>
      </c>
      <c r="B11" s="164"/>
      <c r="C11" s="115"/>
      <c r="D11" s="115"/>
      <c r="E11" s="115"/>
      <c r="F11" s="115"/>
      <c r="G11" s="115"/>
      <c r="H11" s="115"/>
      <c r="I11" s="115"/>
      <c r="J11" s="35"/>
      <c r="K11" s="35"/>
      <c r="L11" s="114"/>
      <c r="M11" s="153"/>
      <c r="N11" s="114"/>
    </row>
    <row r="12" spans="1:14" ht="19">
      <c r="A12" s="165" t="s">
        <v>63</v>
      </c>
      <c r="B12" s="165"/>
      <c r="C12" s="114"/>
      <c r="D12" s="140"/>
      <c r="E12" s="140"/>
      <c r="F12" s="140"/>
      <c r="G12" s="140"/>
      <c r="H12" s="115"/>
      <c r="I12" s="115"/>
      <c r="J12" s="35"/>
      <c r="K12" s="35"/>
      <c r="L12" s="114"/>
      <c r="M12" s="153"/>
      <c r="N12" s="114"/>
    </row>
    <row r="13" spans="1:14" ht="19">
      <c r="A13" s="164"/>
      <c r="B13" s="167"/>
      <c r="C13" s="141"/>
      <c r="D13" s="143"/>
      <c r="E13" s="143"/>
      <c r="F13" s="143"/>
      <c r="G13" s="143"/>
      <c r="H13" s="115"/>
      <c r="I13" s="115"/>
      <c r="J13" s="35"/>
      <c r="K13" s="35"/>
      <c r="L13" s="114"/>
      <c r="M13" s="153"/>
      <c r="N13" s="114"/>
    </row>
    <row r="14" spans="1:14">
      <c r="B14" s="140"/>
      <c r="C14" s="141"/>
      <c r="D14" s="145"/>
      <c r="E14" s="145"/>
      <c r="F14" s="145"/>
      <c r="G14" s="145"/>
      <c r="H14" s="115"/>
      <c r="I14" s="115"/>
      <c r="J14" s="35"/>
      <c r="K14" s="35"/>
      <c r="L14" s="114"/>
      <c r="M14" s="153"/>
      <c r="N14" s="114"/>
    </row>
    <row r="15" spans="1:14">
      <c r="B15" s="115"/>
      <c r="C15" s="141"/>
      <c r="D15" s="146"/>
      <c r="E15" s="146"/>
      <c r="F15" s="146"/>
      <c r="G15" s="146"/>
      <c r="H15" s="115"/>
      <c r="I15" s="115"/>
      <c r="J15" s="35"/>
      <c r="K15" s="35"/>
      <c r="L15" s="114"/>
      <c r="M15" s="153"/>
      <c r="N15" s="114"/>
    </row>
    <row r="16" spans="1:14">
      <c r="B16" s="115"/>
      <c r="C16" s="147"/>
      <c r="D16" s="148"/>
      <c r="E16" s="148"/>
      <c r="F16" s="148"/>
      <c r="G16" s="148"/>
      <c r="H16" s="115"/>
      <c r="I16" s="115"/>
      <c r="J16" s="35"/>
      <c r="K16" s="35"/>
      <c r="L16" s="114"/>
      <c r="M16" s="153"/>
      <c r="N16" s="114"/>
    </row>
    <row r="17" spans="1:14">
      <c r="B17" s="35"/>
      <c r="C17" s="115"/>
      <c r="D17" s="115"/>
      <c r="E17" s="115"/>
      <c r="F17" s="115"/>
      <c r="G17" s="115"/>
      <c r="H17" s="115"/>
      <c r="I17" s="115"/>
      <c r="J17" s="35"/>
      <c r="K17" s="35"/>
      <c r="L17" s="114"/>
      <c r="M17" s="153"/>
      <c r="N17" s="114"/>
    </row>
    <row r="18" spans="1:14">
      <c r="B18" s="35"/>
      <c r="C18" s="115"/>
      <c r="D18" s="140"/>
      <c r="E18" s="140"/>
      <c r="F18" s="140"/>
      <c r="G18" s="140"/>
      <c r="H18" s="115"/>
      <c r="I18" s="115"/>
      <c r="J18" s="35"/>
      <c r="K18" s="35"/>
      <c r="L18" s="114"/>
      <c r="M18" s="153"/>
      <c r="N18" s="114"/>
    </row>
    <row r="19" spans="1:14">
      <c r="B19" s="140"/>
      <c r="C19" s="141"/>
      <c r="D19" s="143"/>
      <c r="E19" s="143"/>
      <c r="F19" s="143"/>
      <c r="G19" s="143"/>
      <c r="H19" s="115"/>
      <c r="I19" s="115"/>
      <c r="J19" s="35"/>
      <c r="K19" s="35"/>
      <c r="L19" s="114"/>
      <c r="M19" s="153"/>
      <c r="N19" s="114"/>
    </row>
    <row r="20" spans="1:14">
      <c r="B20" s="140"/>
      <c r="C20" s="141"/>
      <c r="D20" s="145"/>
      <c r="E20" s="145"/>
      <c r="F20" s="145"/>
      <c r="G20" s="145"/>
      <c r="H20" s="115"/>
      <c r="I20" s="115"/>
      <c r="J20" s="35"/>
      <c r="K20" s="35"/>
      <c r="L20" s="114"/>
      <c r="M20" s="153"/>
      <c r="N20" s="114"/>
    </row>
    <row r="21" spans="1:14">
      <c r="B21" s="115"/>
      <c r="C21" s="115"/>
      <c r="D21" s="149"/>
      <c r="E21" s="149"/>
      <c r="F21" s="149"/>
      <c r="G21" s="149"/>
      <c r="H21" s="115"/>
      <c r="I21" s="115"/>
      <c r="J21" s="35"/>
      <c r="K21" s="35"/>
      <c r="L21" s="114"/>
      <c r="M21" s="153"/>
      <c r="N21" s="114"/>
    </row>
    <row r="22" spans="1:14">
      <c r="B22" s="115"/>
      <c r="C22" s="147"/>
      <c r="D22" s="150"/>
      <c r="E22" s="150"/>
      <c r="F22" s="150"/>
      <c r="G22" s="150"/>
      <c r="H22" s="115"/>
      <c r="I22" s="115"/>
      <c r="J22" s="35"/>
      <c r="K22" s="35"/>
      <c r="L22" s="114"/>
      <c r="M22" s="153"/>
      <c r="N22" s="114"/>
    </row>
    <row r="23" spans="1:14">
      <c r="B23" s="114"/>
      <c r="C23" s="114"/>
      <c r="D23" s="114"/>
      <c r="E23" s="114"/>
      <c r="F23" s="114"/>
      <c r="G23" s="115"/>
      <c r="H23" s="115"/>
      <c r="I23" s="115"/>
      <c r="J23" s="35"/>
      <c r="K23" s="35"/>
      <c r="L23" s="114"/>
      <c r="M23" s="153"/>
      <c r="N23" s="114"/>
    </row>
    <row r="24" spans="1:14">
      <c r="A24" s="35"/>
      <c r="B24" s="115"/>
      <c r="C24" s="115"/>
      <c r="D24" s="115"/>
      <c r="E24" s="115"/>
      <c r="F24" s="115"/>
      <c r="G24" s="115"/>
      <c r="H24" s="115"/>
      <c r="I24" s="115"/>
      <c r="J24" s="35"/>
      <c r="K24" s="35"/>
      <c r="L24" s="114"/>
      <c r="M24" s="153"/>
      <c r="N24" s="114"/>
    </row>
    <row r="25" spans="1:14">
      <c r="A25" s="35"/>
      <c r="B25" s="35"/>
      <c r="C25" s="115"/>
      <c r="D25" s="115"/>
      <c r="E25" s="115"/>
      <c r="F25" s="115"/>
      <c r="G25" s="115"/>
      <c r="H25" s="115"/>
      <c r="I25" s="115"/>
      <c r="J25" s="35"/>
      <c r="K25" s="35"/>
      <c r="L25" s="114"/>
      <c r="M25" s="153"/>
      <c r="N25" s="114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114"/>
      <c r="M26" s="153"/>
      <c r="N26" s="114"/>
    </row>
  </sheetData>
  <mergeCells count="1"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A18C-6EEF-5A4C-A92E-C1E1118A87DA}">
  <dimension ref="A1:R71"/>
  <sheetViews>
    <sheetView tabSelected="1" workbookViewId="0">
      <selection activeCell="B19" sqref="B19"/>
    </sheetView>
  </sheetViews>
  <sheetFormatPr baseColWidth="10" defaultRowHeight="16"/>
  <cols>
    <col min="1" max="1" width="36.5" customWidth="1"/>
    <col min="2" max="2" width="37.1640625" customWidth="1"/>
    <col min="3" max="3" width="30" customWidth="1"/>
    <col min="4" max="5" width="13.83203125" bestFit="1" customWidth="1"/>
    <col min="6" max="7" width="12.6640625" bestFit="1" customWidth="1"/>
    <col min="10" max="11" width="10" customWidth="1"/>
    <col min="13" max="13" width="26.1640625" customWidth="1"/>
    <col min="16" max="16" width="43" customWidth="1"/>
  </cols>
  <sheetData>
    <row r="1" spans="1:13">
      <c r="A1" s="132" t="s">
        <v>74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3">
      <c r="A2" s="154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3" ht="17" thickBot="1">
      <c r="A3" s="154" t="s">
        <v>5</v>
      </c>
      <c r="C3" s="35"/>
      <c r="D3" s="1" t="s">
        <v>0</v>
      </c>
      <c r="E3" s="35"/>
      <c r="F3" s="35"/>
      <c r="G3" s="35"/>
      <c r="H3" s="35"/>
      <c r="I3" s="35"/>
      <c r="J3" s="35"/>
      <c r="K3" s="35"/>
    </row>
    <row r="4" spans="1:13">
      <c r="C4" s="36"/>
      <c r="D4" s="2">
        <v>2021</v>
      </c>
      <c r="E4" s="3">
        <v>2027</v>
      </c>
      <c r="F4" s="3">
        <v>2035</v>
      </c>
      <c r="G4" s="4">
        <v>2050</v>
      </c>
      <c r="H4" s="35"/>
      <c r="I4" s="35"/>
      <c r="J4" s="35"/>
      <c r="K4" s="35"/>
      <c r="M4" t="s">
        <v>75</v>
      </c>
    </row>
    <row r="5" spans="1:13">
      <c r="C5" s="5" t="s">
        <v>1</v>
      </c>
      <c r="D5" s="6">
        <v>0.64</v>
      </c>
      <c r="E5" s="7">
        <v>0.66</v>
      </c>
      <c r="F5" s="7">
        <v>0.68</v>
      </c>
      <c r="G5" s="8">
        <v>0.72</v>
      </c>
      <c r="H5" s="35"/>
      <c r="I5" s="35"/>
      <c r="J5" s="35"/>
      <c r="K5" s="35"/>
    </row>
    <row r="6" spans="1:13">
      <c r="A6" s="35"/>
      <c r="C6" s="9" t="s">
        <v>2</v>
      </c>
      <c r="D6" s="102">
        <v>147.57</v>
      </c>
      <c r="E6" s="103">
        <v>111</v>
      </c>
      <c r="F6" s="103">
        <v>80</v>
      </c>
      <c r="G6" s="104">
        <v>60</v>
      </c>
      <c r="H6" s="35"/>
      <c r="I6" s="35"/>
      <c r="J6" s="35"/>
      <c r="K6" s="35"/>
      <c r="M6" s="138" t="s">
        <v>61</v>
      </c>
    </row>
    <row r="7" spans="1:13">
      <c r="C7" s="9" t="s">
        <v>3</v>
      </c>
      <c r="D7" s="105">
        <v>27.43</v>
      </c>
      <c r="E7" s="106">
        <v>16</v>
      </c>
      <c r="F7" s="106">
        <v>10</v>
      </c>
      <c r="G7" s="107">
        <v>8</v>
      </c>
      <c r="H7" s="35"/>
      <c r="I7" s="35"/>
      <c r="J7" s="35"/>
      <c r="K7" s="35"/>
      <c r="M7" s="139" t="s">
        <v>62</v>
      </c>
    </row>
    <row r="8" spans="1:13" ht="17" thickBot="1">
      <c r="C8" s="10" t="s">
        <v>4</v>
      </c>
      <c r="D8" s="11"/>
      <c r="E8" s="12"/>
      <c r="F8" s="12"/>
      <c r="G8" s="13"/>
      <c r="H8" s="35"/>
      <c r="I8" s="35"/>
      <c r="J8" s="35"/>
      <c r="K8" s="35"/>
      <c r="M8" s="119">
        <v>1000000</v>
      </c>
    </row>
    <row r="9" spans="1:13">
      <c r="B9" s="35"/>
      <c r="C9" s="35"/>
      <c r="D9" s="35"/>
      <c r="E9" s="35"/>
      <c r="F9" s="35"/>
      <c r="G9" s="35"/>
      <c r="H9" s="35"/>
      <c r="I9" s="35"/>
      <c r="J9" s="35"/>
      <c r="K9" s="35"/>
      <c r="M9" s="119">
        <v>1000000</v>
      </c>
    </row>
    <row r="10" spans="1:13" ht="17" thickBot="1">
      <c r="A10" s="101"/>
      <c r="B10" s="35"/>
      <c r="C10" s="35"/>
      <c r="D10" s="35"/>
      <c r="E10" s="35"/>
      <c r="F10" s="35"/>
      <c r="G10" s="35"/>
      <c r="H10" s="35"/>
      <c r="I10" s="35"/>
      <c r="J10" s="35"/>
      <c r="K10" s="35"/>
      <c r="M10" s="119">
        <v>1000000</v>
      </c>
    </row>
    <row r="11" spans="1:13" ht="17" thickBot="1">
      <c r="A11" s="101"/>
      <c r="B11" s="101"/>
      <c r="D11" s="2">
        <v>2021</v>
      </c>
      <c r="E11" s="3">
        <v>2027</v>
      </c>
      <c r="F11" s="3">
        <v>2035</v>
      </c>
      <c r="G11" s="4">
        <v>2050</v>
      </c>
      <c r="H11" s="35"/>
      <c r="I11" s="35"/>
      <c r="J11" s="35"/>
      <c r="K11" s="35"/>
      <c r="M11" s="120">
        <v>1000000</v>
      </c>
    </row>
    <row r="12" spans="1:13">
      <c r="B12" s="111"/>
      <c r="C12" s="110" t="s">
        <v>55</v>
      </c>
      <c r="D12" s="103">
        <v>147.57</v>
      </c>
      <c r="E12" s="103">
        <v>111</v>
      </c>
      <c r="F12" s="103">
        <v>80</v>
      </c>
      <c r="G12" s="103">
        <v>60</v>
      </c>
      <c r="H12" s="35"/>
      <c r="I12" s="35"/>
      <c r="J12" s="35"/>
      <c r="K12" s="35"/>
      <c r="M12" s="119">
        <v>1000000</v>
      </c>
    </row>
    <row r="13" spans="1:13">
      <c r="B13" s="35" t="s">
        <v>78</v>
      </c>
      <c r="C13" s="110" t="s">
        <v>56</v>
      </c>
      <c r="D13" s="108">
        <v>147.57</v>
      </c>
      <c r="E13" s="108">
        <v>80</v>
      </c>
      <c r="F13" s="108">
        <v>65</v>
      </c>
      <c r="G13" s="108">
        <v>60</v>
      </c>
      <c r="H13" s="35"/>
      <c r="I13" s="35"/>
      <c r="J13" s="35"/>
      <c r="K13" s="35"/>
      <c r="M13" s="119">
        <v>1000000</v>
      </c>
    </row>
    <row r="14" spans="1:13">
      <c r="B14" s="112"/>
      <c r="C14" s="110" t="s">
        <v>57</v>
      </c>
      <c r="D14" s="174">
        <f>D12-D13</f>
        <v>0</v>
      </c>
      <c r="E14" s="38">
        <f>E12-E13</f>
        <v>31</v>
      </c>
      <c r="F14" s="38">
        <f>F12-F13</f>
        <v>15</v>
      </c>
      <c r="G14" s="38">
        <f>G12-G13</f>
        <v>0</v>
      </c>
      <c r="H14" s="35"/>
      <c r="I14" s="35"/>
      <c r="J14" s="35"/>
      <c r="K14" s="35"/>
      <c r="M14" s="119">
        <v>1000000</v>
      </c>
    </row>
    <row r="15" spans="1:13" ht="19">
      <c r="B15" s="112"/>
      <c r="C15" s="155" t="s">
        <v>58</v>
      </c>
      <c r="D15" s="156">
        <f>D14*G46</f>
        <v>0</v>
      </c>
      <c r="E15" s="156">
        <f>E14*H46</f>
        <v>9259.08</v>
      </c>
      <c r="F15" s="156">
        <f>F14*I46</f>
        <v>4420.9500000000007</v>
      </c>
      <c r="G15" s="156">
        <f>G14*J46</f>
        <v>0</v>
      </c>
      <c r="H15" s="35"/>
      <c r="I15" s="35"/>
      <c r="J15" s="35"/>
      <c r="K15" s="35"/>
      <c r="M15" s="119">
        <v>1000000</v>
      </c>
    </row>
    <row r="16" spans="1:13" ht="19">
      <c r="B16" s="115" t="s">
        <v>82</v>
      </c>
      <c r="C16" s="194" t="s">
        <v>81</v>
      </c>
      <c r="D16" s="195">
        <f>D15*1.5</f>
        <v>0</v>
      </c>
      <c r="E16" s="195">
        <f t="shared" ref="E16:G16" si="0">E15*1.5</f>
        <v>13888.619999999999</v>
      </c>
      <c r="F16" s="195">
        <f t="shared" si="0"/>
        <v>6631.4250000000011</v>
      </c>
      <c r="G16" s="195">
        <f t="shared" si="0"/>
        <v>0</v>
      </c>
      <c r="H16" s="35"/>
      <c r="I16" s="35"/>
      <c r="J16" s="35"/>
      <c r="K16" s="35"/>
      <c r="M16" s="121"/>
    </row>
    <row r="17" spans="1:13" ht="19">
      <c r="B17" s="115"/>
      <c r="C17" s="158"/>
      <c r="D17" s="159"/>
      <c r="E17" s="159"/>
      <c r="F17" s="159"/>
      <c r="G17" s="159"/>
      <c r="H17" s="35"/>
      <c r="I17" s="35"/>
      <c r="J17" s="35"/>
      <c r="K17" s="35"/>
      <c r="M17" s="121"/>
    </row>
    <row r="18" spans="1:13" ht="17" thickBot="1"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120">
        <v>1000000</v>
      </c>
    </row>
    <row r="19" spans="1:13">
      <c r="B19" s="35"/>
      <c r="C19" s="35"/>
      <c r="D19" s="2">
        <v>2021</v>
      </c>
      <c r="E19" s="3">
        <v>2027</v>
      </c>
      <c r="F19" s="3">
        <v>2035</v>
      </c>
      <c r="G19" s="4">
        <v>2050</v>
      </c>
      <c r="H19" s="35"/>
      <c r="I19" s="35"/>
      <c r="J19" s="35"/>
      <c r="K19" s="35"/>
      <c r="M19" s="119">
        <v>1000000</v>
      </c>
    </row>
    <row r="20" spans="1:13">
      <c r="B20" s="111"/>
      <c r="C20" s="110" t="s">
        <v>59</v>
      </c>
      <c r="D20" s="106">
        <v>27.43</v>
      </c>
      <c r="E20" s="106">
        <v>16</v>
      </c>
      <c r="F20" s="106">
        <v>10</v>
      </c>
      <c r="G20" s="106">
        <v>8</v>
      </c>
      <c r="H20" s="35"/>
      <c r="I20" s="35"/>
      <c r="J20" s="35"/>
      <c r="K20" s="35"/>
      <c r="M20" s="119">
        <v>1000000</v>
      </c>
    </row>
    <row r="21" spans="1:13">
      <c r="B21" s="35" t="s">
        <v>78</v>
      </c>
      <c r="C21" s="110" t="s">
        <v>60</v>
      </c>
      <c r="D21" s="108">
        <v>16</v>
      </c>
      <c r="E21" s="108">
        <v>10</v>
      </c>
      <c r="F21" s="108">
        <v>8</v>
      </c>
      <c r="G21" s="108">
        <v>8</v>
      </c>
      <c r="H21" s="35"/>
      <c r="I21" s="35"/>
      <c r="J21" s="35"/>
      <c r="K21" s="35"/>
      <c r="M21" s="119">
        <v>1000000</v>
      </c>
    </row>
    <row r="22" spans="1:13">
      <c r="B22" s="112"/>
      <c r="C22" s="113" t="s">
        <v>53</v>
      </c>
      <c r="D22" s="173">
        <f>D20-D21</f>
        <v>11.43</v>
      </c>
      <c r="E22" s="173">
        <f>E20-E21</f>
        <v>6</v>
      </c>
      <c r="F22" s="109">
        <f>F20-F21</f>
        <v>2</v>
      </c>
      <c r="G22" s="173">
        <f>G20-G21</f>
        <v>0</v>
      </c>
      <c r="H22" s="35"/>
      <c r="I22" s="35"/>
      <c r="J22" s="35"/>
      <c r="K22" s="35"/>
      <c r="M22" s="119">
        <v>1000000</v>
      </c>
    </row>
    <row r="23" spans="1:13" ht="20" thickBot="1">
      <c r="B23" s="112"/>
      <c r="C23" s="155" t="s">
        <v>54</v>
      </c>
      <c r="D23" s="157">
        <f>D22*G44</f>
        <v>36621.72</v>
      </c>
      <c r="E23" s="157">
        <f>E22*H44</f>
        <v>16668</v>
      </c>
      <c r="F23" s="157">
        <f>F22*I44</f>
        <v>5434</v>
      </c>
      <c r="G23" s="157">
        <f>G22*J44</f>
        <v>0</v>
      </c>
      <c r="H23" s="35"/>
      <c r="I23" s="35"/>
      <c r="J23" s="35"/>
      <c r="K23" s="35"/>
      <c r="M23" s="120">
        <v>1000000</v>
      </c>
    </row>
    <row r="24" spans="1:13" ht="19">
      <c r="B24" s="115" t="s">
        <v>82</v>
      </c>
      <c r="C24" s="196" t="s">
        <v>81</v>
      </c>
      <c r="D24" s="197">
        <f>D23*1.5</f>
        <v>54932.58</v>
      </c>
      <c r="E24" s="197">
        <f>E23*1.5</f>
        <v>25002</v>
      </c>
      <c r="F24" s="197">
        <f t="shared" ref="E24:G24" si="1">F23*1.5</f>
        <v>8151</v>
      </c>
      <c r="G24" s="197">
        <f t="shared" si="1"/>
        <v>0</v>
      </c>
      <c r="H24" s="35"/>
      <c r="I24" s="35"/>
      <c r="J24" s="35"/>
      <c r="K24" s="35"/>
      <c r="M24" s="119">
        <v>190188</v>
      </c>
    </row>
    <row r="25" spans="1:13">
      <c r="A25" s="35"/>
      <c r="B25" s="115"/>
      <c r="C25" s="35"/>
      <c r="D25" s="35"/>
      <c r="E25" s="35"/>
      <c r="F25" s="35"/>
      <c r="G25" s="35"/>
      <c r="H25" s="35"/>
      <c r="I25" s="35"/>
      <c r="J25" s="35"/>
      <c r="K25" s="35"/>
      <c r="M25" s="119">
        <v>164413</v>
      </c>
    </row>
    <row r="26" spans="1:1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119">
        <v>138638</v>
      </c>
    </row>
    <row r="27" spans="1:1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119">
        <v>112862</v>
      </c>
    </row>
    <row r="28" spans="1:13" ht="17" thickBo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120">
        <v>87087</v>
      </c>
    </row>
    <row r="29" spans="1:13" ht="16" customHeight="1">
      <c r="A29" s="123" t="s">
        <v>12</v>
      </c>
      <c r="B29" s="39" t="s">
        <v>13</v>
      </c>
      <c r="C29" s="40" t="s">
        <v>9</v>
      </c>
      <c r="D29" s="40" t="s">
        <v>9</v>
      </c>
      <c r="E29" s="40" t="s">
        <v>9</v>
      </c>
      <c r="F29" s="41" t="s">
        <v>9</v>
      </c>
      <c r="G29" s="42" t="s">
        <v>9</v>
      </c>
      <c r="H29" s="40" t="s">
        <v>9</v>
      </c>
      <c r="I29" s="40" t="s">
        <v>9</v>
      </c>
      <c r="J29" s="41" t="s">
        <v>9</v>
      </c>
      <c r="K29" s="43"/>
      <c r="M29" s="119">
        <v>75720</v>
      </c>
    </row>
    <row r="30" spans="1:13">
      <c r="A30" s="124"/>
      <c r="B30" s="37" t="s">
        <v>14</v>
      </c>
      <c r="C30" s="44" t="s">
        <v>15</v>
      </c>
      <c r="D30" s="44" t="s">
        <v>15</v>
      </c>
      <c r="E30" s="44" t="s">
        <v>15</v>
      </c>
      <c r="F30" s="45" t="s">
        <v>15</v>
      </c>
      <c r="G30" s="46" t="s">
        <v>10</v>
      </c>
      <c r="H30" s="44" t="s">
        <v>10</v>
      </c>
      <c r="I30" s="44" t="s">
        <v>10</v>
      </c>
      <c r="J30" s="45" t="s">
        <v>10</v>
      </c>
      <c r="K30" s="43"/>
      <c r="M30" s="119">
        <v>64353</v>
      </c>
    </row>
    <row r="31" spans="1:13">
      <c r="A31" s="124"/>
      <c r="B31" s="37" t="s">
        <v>16</v>
      </c>
      <c r="C31" s="44" t="s">
        <v>11</v>
      </c>
      <c r="D31" s="44" t="s">
        <v>11</v>
      </c>
      <c r="E31" s="44" t="s">
        <v>11</v>
      </c>
      <c r="F31" s="45" t="s">
        <v>11</v>
      </c>
      <c r="G31" s="46" t="s">
        <v>11</v>
      </c>
      <c r="H31" s="44" t="s">
        <v>11</v>
      </c>
      <c r="I31" s="44" t="s">
        <v>11</v>
      </c>
      <c r="J31" s="45" t="s">
        <v>11</v>
      </c>
      <c r="K31" s="43"/>
      <c r="M31" s="119">
        <v>52986</v>
      </c>
    </row>
    <row r="32" spans="1:13" ht="17" thickBot="1">
      <c r="A32" s="125"/>
      <c r="B32" s="47" t="s">
        <v>17</v>
      </c>
      <c r="C32" s="48">
        <v>2021</v>
      </c>
      <c r="D32" s="48">
        <v>2027</v>
      </c>
      <c r="E32" s="48">
        <v>2035</v>
      </c>
      <c r="F32" s="49">
        <v>2050</v>
      </c>
      <c r="G32" s="50">
        <v>2021</v>
      </c>
      <c r="H32" s="48">
        <v>2027</v>
      </c>
      <c r="I32" s="48">
        <v>2035</v>
      </c>
      <c r="J32" s="49">
        <v>2050</v>
      </c>
      <c r="K32" s="43"/>
      <c r="M32" s="119">
        <v>41619</v>
      </c>
    </row>
    <row r="33" spans="1:13" ht="17" customHeight="1" thickTop="1" thickBot="1">
      <c r="A33" s="126" t="s">
        <v>18</v>
      </c>
      <c r="B33" s="51" t="s">
        <v>19</v>
      </c>
      <c r="C33" s="52">
        <v>1</v>
      </c>
      <c r="D33" s="52">
        <v>1</v>
      </c>
      <c r="E33" s="52">
        <v>1</v>
      </c>
      <c r="F33" s="53">
        <v>1</v>
      </c>
      <c r="G33" s="54">
        <v>2</v>
      </c>
      <c r="H33" s="55">
        <v>2</v>
      </c>
      <c r="I33" s="55">
        <v>2</v>
      </c>
      <c r="J33" s="56">
        <v>2</v>
      </c>
      <c r="K33" s="43"/>
      <c r="M33" s="120">
        <v>30251</v>
      </c>
    </row>
    <row r="34" spans="1:13">
      <c r="A34" s="124"/>
      <c r="B34" s="57" t="s">
        <v>20</v>
      </c>
      <c r="C34" s="58">
        <v>0.54600000000000004</v>
      </c>
      <c r="D34" s="58">
        <v>0.48099999999999998</v>
      </c>
      <c r="E34" s="58">
        <v>0.46</v>
      </c>
      <c r="F34" s="59">
        <v>0.35</v>
      </c>
      <c r="G34" s="60">
        <v>0.54600000000000004</v>
      </c>
      <c r="H34" s="58">
        <v>0.48099999999999998</v>
      </c>
      <c r="I34" s="58">
        <v>0.46</v>
      </c>
      <c r="J34" s="59">
        <v>0.35</v>
      </c>
      <c r="K34" s="61"/>
      <c r="M34" s="119">
        <v>27282</v>
      </c>
    </row>
    <row r="35" spans="1:13">
      <c r="A35" s="124"/>
      <c r="B35" s="37" t="s">
        <v>21</v>
      </c>
      <c r="C35" s="44">
        <v>10.4</v>
      </c>
      <c r="D35" s="44">
        <v>10.4</v>
      </c>
      <c r="E35" s="44">
        <v>10.4</v>
      </c>
      <c r="F35" s="45">
        <v>10.4</v>
      </c>
      <c r="G35" s="46">
        <v>10.4</v>
      </c>
      <c r="H35" s="44">
        <v>10.4</v>
      </c>
      <c r="I35" s="44">
        <v>10.4</v>
      </c>
      <c r="J35" s="45">
        <v>10.4</v>
      </c>
      <c r="K35" s="61"/>
      <c r="M35" s="119">
        <v>24313</v>
      </c>
    </row>
    <row r="36" spans="1:13">
      <c r="A36" s="124"/>
      <c r="B36" s="37" t="s">
        <v>22</v>
      </c>
      <c r="C36" s="44">
        <v>11776</v>
      </c>
      <c r="D36" s="44">
        <v>11776</v>
      </c>
      <c r="E36" s="44">
        <v>11776</v>
      </c>
      <c r="F36" s="45">
        <v>11776</v>
      </c>
      <c r="G36" s="46">
        <v>11776</v>
      </c>
      <c r="H36" s="44">
        <v>11776</v>
      </c>
      <c r="I36" s="44">
        <v>11776</v>
      </c>
      <c r="J36" s="45">
        <v>11776</v>
      </c>
      <c r="K36" s="61"/>
      <c r="M36" s="119">
        <v>21343</v>
      </c>
    </row>
    <row r="37" spans="1:13">
      <c r="A37" s="124"/>
      <c r="B37" s="37" t="s">
        <v>23</v>
      </c>
      <c r="C37" s="44">
        <v>0.46</v>
      </c>
      <c r="D37" s="44">
        <v>0.46</v>
      </c>
      <c r="E37" s="44">
        <v>0.46</v>
      </c>
      <c r="F37" s="45">
        <v>0.46</v>
      </c>
      <c r="G37" s="46">
        <v>0.46</v>
      </c>
      <c r="H37" s="44">
        <v>0.46</v>
      </c>
      <c r="I37" s="44">
        <v>0.46</v>
      </c>
      <c r="J37" s="45">
        <v>0.46</v>
      </c>
      <c r="K37" s="61"/>
      <c r="M37" s="119">
        <v>18374</v>
      </c>
    </row>
    <row r="38" spans="1:13" ht="17" thickBot="1">
      <c r="A38" s="124"/>
      <c r="B38" s="37" t="s">
        <v>24</v>
      </c>
      <c r="C38" s="44">
        <v>0.8</v>
      </c>
      <c r="D38" s="44">
        <v>0.8</v>
      </c>
      <c r="E38" s="44">
        <v>0.8</v>
      </c>
      <c r="F38" s="45">
        <v>0.8</v>
      </c>
      <c r="G38" s="46">
        <v>0.8</v>
      </c>
      <c r="H38" s="44">
        <v>0.8</v>
      </c>
      <c r="I38" s="44">
        <v>0.8</v>
      </c>
      <c r="J38" s="45">
        <v>0.8</v>
      </c>
      <c r="K38" s="61"/>
      <c r="M38" s="121">
        <v>15404</v>
      </c>
    </row>
    <row r="39" spans="1:13">
      <c r="A39" s="124"/>
      <c r="B39" s="37" t="s">
        <v>25</v>
      </c>
      <c r="C39" s="44">
        <v>2.2799999999999998</v>
      </c>
      <c r="D39" s="44">
        <v>2.2799999999999998</v>
      </c>
      <c r="E39" s="44">
        <v>2.2799999999999998</v>
      </c>
      <c r="F39" s="45">
        <v>2.2799999999999998</v>
      </c>
      <c r="G39" s="46">
        <v>2.2799999999999998</v>
      </c>
      <c r="H39" s="44">
        <v>2.2799999999999998</v>
      </c>
      <c r="I39" s="44">
        <v>2.2799999999999998</v>
      </c>
      <c r="J39" s="45">
        <v>2.2799999999999998</v>
      </c>
      <c r="K39" s="61"/>
      <c r="M39" s="122">
        <v>14926</v>
      </c>
    </row>
    <row r="40" spans="1:13">
      <c r="A40" s="124"/>
      <c r="B40" s="37" t="s">
        <v>26</v>
      </c>
      <c r="C40" s="44">
        <v>17236</v>
      </c>
      <c r="D40" s="44">
        <v>17236</v>
      </c>
      <c r="E40" s="44">
        <v>17236</v>
      </c>
      <c r="F40" s="45">
        <v>17236</v>
      </c>
      <c r="G40" s="26">
        <v>17236</v>
      </c>
      <c r="H40" s="27">
        <v>17236</v>
      </c>
      <c r="I40" s="27">
        <v>17236</v>
      </c>
      <c r="J40" s="28">
        <v>17236</v>
      </c>
      <c r="K40" s="29"/>
      <c r="M40" s="119">
        <v>14449</v>
      </c>
    </row>
    <row r="41" spans="1:13" ht="17" thickBot="1">
      <c r="A41" s="127"/>
      <c r="B41" s="47" t="s">
        <v>27</v>
      </c>
      <c r="C41" s="48"/>
      <c r="D41" s="48"/>
      <c r="E41" s="48"/>
      <c r="F41" s="49"/>
      <c r="G41" s="50"/>
      <c r="H41" s="48"/>
      <c r="I41" s="48"/>
      <c r="J41" s="49"/>
      <c r="K41" s="61"/>
      <c r="M41" s="119">
        <v>13971</v>
      </c>
    </row>
    <row r="42" spans="1:13" ht="17" customHeight="1" thickTop="1">
      <c r="A42" s="128" t="s">
        <v>28</v>
      </c>
      <c r="B42" s="51" t="s">
        <v>29</v>
      </c>
      <c r="C42" s="52">
        <v>5000</v>
      </c>
      <c r="D42" s="52">
        <v>5000</v>
      </c>
      <c r="E42" s="52">
        <v>5000</v>
      </c>
      <c r="F42" s="53">
        <v>5000</v>
      </c>
      <c r="G42" s="62">
        <v>5000</v>
      </c>
      <c r="H42" s="63">
        <v>5000</v>
      </c>
      <c r="I42" s="63">
        <v>5000</v>
      </c>
      <c r="J42" s="64">
        <v>5000</v>
      </c>
      <c r="K42" s="29"/>
      <c r="M42" s="119">
        <v>13493</v>
      </c>
    </row>
    <row r="43" spans="1:13" ht="17" thickBot="1">
      <c r="A43" s="124"/>
      <c r="B43" s="37" t="s">
        <v>30</v>
      </c>
      <c r="C43" s="44">
        <v>1</v>
      </c>
      <c r="D43" s="44">
        <v>1</v>
      </c>
      <c r="E43" s="44">
        <v>1</v>
      </c>
      <c r="F43" s="45">
        <v>1</v>
      </c>
      <c r="G43" s="26">
        <v>1</v>
      </c>
      <c r="H43" s="27">
        <v>1</v>
      </c>
      <c r="I43" s="27">
        <v>1</v>
      </c>
      <c r="J43" s="28">
        <v>1</v>
      </c>
      <c r="K43" s="29"/>
      <c r="M43" s="120">
        <v>13015</v>
      </c>
    </row>
    <row r="44" spans="1:13">
      <c r="A44" s="124"/>
      <c r="B44" s="37" t="s">
        <v>31</v>
      </c>
      <c r="C44" s="65">
        <v>11385</v>
      </c>
      <c r="D44" s="65">
        <v>11385</v>
      </c>
      <c r="E44" s="65">
        <v>11385</v>
      </c>
      <c r="F44" s="66">
        <v>11385</v>
      </c>
      <c r="G44" s="116">
        <v>3204</v>
      </c>
      <c r="H44" s="117">
        <v>2778</v>
      </c>
      <c r="I44" s="117">
        <v>2717</v>
      </c>
      <c r="J44" s="118">
        <v>1770</v>
      </c>
      <c r="K44" s="67"/>
      <c r="M44" s="119">
        <v>12537</v>
      </c>
    </row>
    <row r="45" spans="1:13">
      <c r="A45" s="124"/>
      <c r="B45" s="37" t="s">
        <v>32</v>
      </c>
      <c r="C45" s="44">
        <v>12.67</v>
      </c>
      <c r="D45" s="44">
        <v>12.67</v>
      </c>
      <c r="E45" s="44">
        <v>12.67</v>
      </c>
      <c r="F45" s="45">
        <v>12.67</v>
      </c>
      <c r="G45" s="68">
        <v>1.55</v>
      </c>
      <c r="H45" s="69">
        <v>1.8</v>
      </c>
      <c r="I45" s="69">
        <v>1.75</v>
      </c>
      <c r="J45" s="70">
        <v>2.2000000000000002</v>
      </c>
      <c r="K45" s="29"/>
      <c r="M45" s="119">
        <v>12059</v>
      </c>
    </row>
    <row r="46" spans="1:13">
      <c r="A46" s="124"/>
      <c r="B46" s="71" t="s">
        <v>33</v>
      </c>
      <c r="C46" s="72">
        <v>331</v>
      </c>
      <c r="D46" s="72">
        <v>331</v>
      </c>
      <c r="E46" s="72">
        <v>331</v>
      </c>
      <c r="F46" s="73">
        <v>331</v>
      </c>
      <c r="G46" s="116">
        <v>302.58</v>
      </c>
      <c r="H46" s="117">
        <v>298.68</v>
      </c>
      <c r="I46" s="117">
        <v>294.73</v>
      </c>
      <c r="J46" s="118">
        <v>277.27999999999997</v>
      </c>
      <c r="K46" s="67"/>
      <c r="M46" s="119">
        <v>11582</v>
      </c>
    </row>
    <row r="47" spans="1:13">
      <c r="A47" s="124"/>
      <c r="B47" s="37" t="s">
        <v>34</v>
      </c>
      <c r="C47" s="44">
        <v>2</v>
      </c>
      <c r="D47" s="44">
        <v>2</v>
      </c>
      <c r="E47" s="44">
        <v>2</v>
      </c>
      <c r="F47" s="45">
        <v>2</v>
      </c>
      <c r="G47" s="26">
        <v>4</v>
      </c>
      <c r="H47" s="27">
        <v>4</v>
      </c>
      <c r="I47" s="27">
        <v>4</v>
      </c>
      <c r="J47" s="28">
        <v>4</v>
      </c>
      <c r="K47" s="29"/>
      <c r="M47" s="119">
        <v>11104</v>
      </c>
    </row>
    <row r="48" spans="1:13" ht="17" thickBot="1">
      <c r="A48" s="124"/>
      <c r="B48" s="57" t="s">
        <v>35</v>
      </c>
      <c r="C48" s="74">
        <v>0.01</v>
      </c>
      <c r="D48" s="74">
        <v>0.05</v>
      </c>
      <c r="E48" s="74">
        <v>0.1</v>
      </c>
      <c r="F48" s="75">
        <v>0.12</v>
      </c>
      <c r="G48" s="76">
        <v>4.3999999999999997E-2</v>
      </c>
      <c r="H48" s="77">
        <v>0.06</v>
      </c>
      <c r="I48" s="77">
        <v>6.7500000000000004E-2</v>
      </c>
      <c r="J48" s="78">
        <v>0.12</v>
      </c>
      <c r="K48" s="79"/>
      <c r="M48" s="120">
        <v>10626</v>
      </c>
    </row>
    <row r="49" spans="1:18">
      <c r="A49" s="124"/>
      <c r="B49" s="37" t="s">
        <v>36</v>
      </c>
      <c r="C49" s="44">
        <v>6</v>
      </c>
      <c r="D49" s="44">
        <v>6</v>
      </c>
      <c r="E49" s="44">
        <v>6</v>
      </c>
      <c r="F49" s="45">
        <v>6</v>
      </c>
      <c r="G49" s="26">
        <v>5</v>
      </c>
      <c r="H49" s="27">
        <v>5</v>
      </c>
      <c r="I49" s="27">
        <v>5</v>
      </c>
      <c r="J49" s="28">
        <v>5</v>
      </c>
      <c r="K49" s="29"/>
      <c r="M49" s="119">
        <v>10148</v>
      </c>
    </row>
    <row r="50" spans="1:18">
      <c r="A50" s="124"/>
      <c r="B50" s="37" t="s">
        <v>37</v>
      </c>
      <c r="C50" s="44">
        <v>0</v>
      </c>
      <c r="D50" s="44">
        <v>0</v>
      </c>
      <c r="E50" s="44">
        <v>0</v>
      </c>
      <c r="F50" s="45">
        <v>0</v>
      </c>
      <c r="G50" s="26">
        <v>0</v>
      </c>
      <c r="H50" s="27">
        <v>0</v>
      </c>
      <c r="I50" s="27">
        <v>0</v>
      </c>
      <c r="J50" s="28">
        <v>0</v>
      </c>
      <c r="K50" s="29"/>
      <c r="M50" s="119">
        <v>9670</v>
      </c>
    </row>
    <row r="51" spans="1:18" ht="17" thickBot="1">
      <c r="A51" s="127"/>
      <c r="B51" s="47" t="s">
        <v>38</v>
      </c>
      <c r="C51" s="48">
        <v>0.26</v>
      </c>
      <c r="D51" s="48">
        <v>0.26</v>
      </c>
      <c r="E51" s="48">
        <v>0.26</v>
      </c>
      <c r="F51" s="49">
        <v>0.26</v>
      </c>
      <c r="G51" s="26">
        <v>1.02</v>
      </c>
      <c r="H51" s="27">
        <v>1.02</v>
      </c>
      <c r="I51" s="27">
        <v>1.02</v>
      </c>
      <c r="J51" s="28">
        <v>1.02</v>
      </c>
      <c r="K51" s="29"/>
      <c r="L51" s="35"/>
      <c r="M51" s="119">
        <v>9192</v>
      </c>
      <c r="N51" s="35"/>
      <c r="O51" s="35"/>
      <c r="Q51" s="15"/>
      <c r="R51" s="15"/>
    </row>
    <row r="52" spans="1:18" ht="17" customHeight="1" thickTop="1">
      <c r="A52" s="129" t="s">
        <v>39</v>
      </c>
      <c r="B52" s="80" t="s">
        <v>40</v>
      </c>
      <c r="C52" s="81">
        <v>0</v>
      </c>
      <c r="D52" s="81">
        <v>0</v>
      </c>
      <c r="E52" s="81">
        <v>0</v>
      </c>
      <c r="F52" s="82">
        <v>0</v>
      </c>
      <c r="G52" s="68">
        <v>302.58</v>
      </c>
      <c r="H52" s="69">
        <v>298.68</v>
      </c>
      <c r="I52" s="69">
        <v>294.73</v>
      </c>
      <c r="J52" s="70">
        <v>277.27999999999997</v>
      </c>
      <c r="K52" s="29"/>
      <c r="L52" s="35"/>
      <c r="M52" s="119">
        <v>8714</v>
      </c>
      <c r="N52" s="35"/>
      <c r="O52" s="35"/>
    </row>
    <row r="53" spans="1:18" ht="17" thickBot="1">
      <c r="A53" s="130"/>
      <c r="B53" s="83" t="s">
        <v>41</v>
      </c>
      <c r="C53" s="84">
        <v>0.95</v>
      </c>
      <c r="D53" s="84">
        <v>0.95</v>
      </c>
      <c r="E53" s="84">
        <v>0.95</v>
      </c>
      <c r="F53" s="85">
        <v>0.95</v>
      </c>
      <c r="G53" s="76">
        <v>0.93</v>
      </c>
      <c r="H53" s="77">
        <v>0.94</v>
      </c>
      <c r="I53" s="77">
        <v>0.96</v>
      </c>
      <c r="J53" s="78">
        <v>0.98</v>
      </c>
      <c r="K53" s="79"/>
      <c r="L53" s="35"/>
      <c r="M53" s="120">
        <v>8237</v>
      </c>
      <c r="N53" s="35"/>
      <c r="O53" s="35"/>
    </row>
    <row r="54" spans="1:18">
      <c r="A54" s="130"/>
      <c r="B54" s="21" t="s">
        <v>42</v>
      </c>
      <c r="C54" s="24">
        <v>4</v>
      </c>
      <c r="D54" s="24">
        <v>4</v>
      </c>
      <c r="E54" s="24">
        <v>4</v>
      </c>
      <c r="F54" s="25">
        <v>4</v>
      </c>
      <c r="G54" s="26">
        <v>4</v>
      </c>
      <c r="H54" s="27">
        <v>4</v>
      </c>
      <c r="I54" s="27">
        <v>4</v>
      </c>
      <c r="J54" s="28">
        <v>4</v>
      </c>
      <c r="K54" s="29"/>
      <c r="L54" s="35"/>
      <c r="M54" s="35"/>
      <c r="N54" s="35"/>
      <c r="O54" s="35"/>
    </row>
    <row r="55" spans="1:18">
      <c r="A55" s="130"/>
      <c r="B55" s="21" t="s">
        <v>43</v>
      </c>
      <c r="C55" s="24">
        <v>0.83299999999999996</v>
      </c>
      <c r="D55" s="24">
        <v>0.83299999999999996</v>
      </c>
      <c r="E55" s="24">
        <v>0.83299999999999996</v>
      </c>
      <c r="F55" s="25">
        <v>0.83299999999999996</v>
      </c>
      <c r="G55" s="68">
        <v>0.28999999999999998</v>
      </c>
      <c r="H55" s="69">
        <v>0.23</v>
      </c>
      <c r="I55" s="69">
        <v>0.18</v>
      </c>
      <c r="J55" s="70">
        <v>0.08</v>
      </c>
      <c r="K55" s="29"/>
      <c r="L55" s="35"/>
      <c r="M55" s="35"/>
      <c r="N55" s="35"/>
      <c r="O55" s="35"/>
    </row>
    <row r="56" spans="1:18" ht="17" thickBot="1">
      <c r="A56" s="131"/>
      <c r="B56" s="22" t="s">
        <v>44</v>
      </c>
      <c r="C56" s="86">
        <v>21.6</v>
      </c>
      <c r="D56" s="86">
        <v>21.6</v>
      </c>
      <c r="E56" s="86">
        <v>21.6</v>
      </c>
      <c r="F56" s="87">
        <v>21.6</v>
      </c>
      <c r="G56" s="88">
        <v>21.6</v>
      </c>
      <c r="H56" s="89">
        <v>21.6</v>
      </c>
      <c r="I56" s="89">
        <v>21.6</v>
      </c>
      <c r="J56" s="90">
        <v>21.6</v>
      </c>
      <c r="K56" s="29"/>
      <c r="L56" s="35"/>
      <c r="M56" s="35"/>
      <c r="N56" s="35"/>
      <c r="O56" s="35"/>
    </row>
    <row r="57" spans="1:18" ht="17" customHeight="1" thickTop="1">
      <c r="A57" s="129" t="s">
        <v>45</v>
      </c>
      <c r="B57" s="23" t="s">
        <v>46</v>
      </c>
      <c r="C57" s="81">
        <v>0</v>
      </c>
      <c r="D57" s="81">
        <v>0</v>
      </c>
      <c r="E57" s="81">
        <v>0</v>
      </c>
      <c r="F57" s="82">
        <v>0</v>
      </c>
      <c r="G57" s="91">
        <v>332.84</v>
      </c>
      <c r="H57" s="92">
        <v>328.55</v>
      </c>
      <c r="I57" s="92">
        <v>324.2</v>
      </c>
      <c r="J57" s="93">
        <v>305</v>
      </c>
      <c r="K57" s="29"/>
      <c r="L57" s="35"/>
      <c r="M57" s="35"/>
      <c r="N57" s="35"/>
      <c r="O57" s="35"/>
    </row>
    <row r="58" spans="1:18">
      <c r="A58" s="130"/>
      <c r="B58" s="21" t="s">
        <v>47</v>
      </c>
      <c r="C58" s="24">
        <v>0</v>
      </c>
      <c r="D58" s="24">
        <v>0</v>
      </c>
      <c r="E58" s="24">
        <v>0</v>
      </c>
      <c r="F58" s="25">
        <v>0</v>
      </c>
      <c r="G58" s="26">
        <v>20</v>
      </c>
      <c r="H58" s="27">
        <v>20</v>
      </c>
      <c r="I58" s="27">
        <v>20</v>
      </c>
      <c r="J58" s="28">
        <v>20</v>
      </c>
      <c r="K58" s="29"/>
      <c r="L58" s="35"/>
      <c r="M58" s="35"/>
      <c r="N58" s="35"/>
      <c r="O58" s="35"/>
    </row>
    <row r="59" spans="1:18">
      <c r="A59" s="130"/>
      <c r="B59" s="21" t="s">
        <v>48</v>
      </c>
      <c r="C59" s="24">
        <v>8</v>
      </c>
      <c r="D59" s="24">
        <v>8</v>
      </c>
      <c r="E59" s="24">
        <v>8</v>
      </c>
      <c r="F59" s="25">
        <v>8</v>
      </c>
      <c r="G59" s="68">
        <v>4.34</v>
      </c>
      <c r="H59" s="69">
        <v>3.87</v>
      </c>
      <c r="I59" s="69">
        <v>3.35</v>
      </c>
      <c r="J59" s="70">
        <v>2.5</v>
      </c>
      <c r="K59" s="29"/>
      <c r="L59" s="35"/>
      <c r="M59" s="35"/>
      <c r="N59" s="35"/>
      <c r="O59" s="35"/>
    </row>
    <row r="60" spans="1:18">
      <c r="A60" s="130"/>
      <c r="B60" s="21" t="s">
        <v>49</v>
      </c>
      <c r="C60" s="24">
        <v>75</v>
      </c>
      <c r="D60" s="24">
        <v>75</v>
      </c>
      <c r="E60" s="24">
        <v>75</v>
      </c>
      <c r="F60" s="25">
        <v>75</v>
      </c>
      <c r="G60" s="26">
        <v>75</v>
      </c>
      <c r="H60" s="27">
        <v>75</v>
      </c>
      <c r="I60" s="27">
        <v>75</v>
      </c>
      <c r="J60" s="28">
        <v>75</v>
      </c>
      <c r="K60" s="29"/>
      <c r="L60" s="35"/>
      <c r="M60" s="35"/>
      <c r="N60" s="35"/>
      <c r="O60" s="35"/>
    </row>
    <row r="61" spans="1:18">
      <c r="A61" s="130"/>
      <c r="B61" s="21" t="s">
        <v>50</v>
      </c>
      <c r="C61" s="94">
        <v>0.97</v>
      </c>
      <c r="D61" s="94">
        <v>0.97</v>
      </c>
      <c r="E61" s="94">
        <v>0.97</v>
      </c>
      <c r="F61" s="95">
        <v>0.97</v>
      </c>
      <c r="G61" s="96">
        <v>0.97</v>
      </c>
      <c r="H61" s="97">
        <v>0.97</v>
      </c>
      <c r="I61" s="97">
        <v>0.97</v>
      </c>
      <c r="J61" s="98">
        <v>0.97</v>
      </c>
      <c r="K61" s="99"/>
      <c r="L61" s="35"/>
      <c r="M61" s="35"/>
      <c r="N61" s="35"/>
      <c r="O61" s="35"/>
    </row>
    <row r="62" spans="1:18">
      <c r="A62" s="130"/>
      <c r="B62" s="83" t="s">
        <v>51</v>
      </c>
      <c r="C62" s="24">
        <v>110</v>
      </c>
      <c r="D62" s="24">
        <v>110</v>
      </c>
      <c r="E62" s="24">
        <v>110</v>
      </c>
      <c r="F62" s="25">
        <v>110</v>
      </c>
      <c r="G62" s="26">
        <v>130</v>
      </c>
      <c r="H62" s="27">
        <v>130</v>
      </c>
      <c r="I62" s="27">
        <v>130</v>
      </c>
      <c r="J62" s="28">
        <v>130</v>
      </c>
      <c r="K62" s="29"/>
      <c r="L62" s="35"/>
      <c r="M62" s="35"/>
      <c r="N62" s="35"/>
      <c r="O62" s="35"/>
    </row>
    <row r="63" spans="1:18" ht="17" thickBot="1">
      <c r="A63" s="131"/>
      <c r="B63" s="100" t="s">
        <v>52</v>
      </c>
      <c r="C63" s="86">
        <v>-0.68110000000000004</v>
      </c>
      <c r="D63" s="86">
        <v>-0.68110000000000004</v>
      </c>
      <c r="E63" s="86">
        <v>-0.68110000000000004</v>
      </c>
      <c r="F63" s="87">
        <v>-0.68110000000000004</v>
      </c>
      <c r="G63" s="88">
        <v>-0.68110000000000004</v>
      </c>
      <c r="H63" s="89">
        <v>-0.68110000000000004</v>
      </c>
      <c r="I63" s="89">
        <v>-0.68110000000000004</v>
      </c>
      <c r="J63" s="90">
        <v>-0.68110000000000004</v>
      </c>
      <c r="K63" s="29"/>
      <c r="L63" s="35"/>
      <c r="M63" s="35"/>
      <c r="N63" s="35"/>
      <c r="O63" s="35"/>
    </row>
    <row r="64" spans="1:18" ht="17" thickTop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101"/>
      <c r="L64" s="35"/>
      <c r="M64" s="35"/>
      <c r="N64" s="35"/>
      <c r="O64" s="35"/>
    </row>
    <row r="65" spans="1: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</sheetData>
  <mergeCells count="5">
    <mergeCell ref="A29:A32"/>
    <mergeCell ref="A33:A41"/>
    <mergeCell ref="A42:A51"/>
    <mergeCell ref="A52:A56"/>
    <mergeCell ref="A57:A6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481BB11-7D68-F245-AB5A-C412F905EF30}">
            <xm:f>'Fuel Price'!$E$41=0</xm:f>
            <x14:dxf>
              <font>
                <color theme="2" tint="-9.9948118533890809E-2"/>
              </font>
            </x14:dxf>
          </x14:cfRule>
          <xm:sqref>B54:B56</xm:sqref>
        </x14:conditionalFormatting>
        <x14:conditionalFormatting xmlns:xm="http://schemas.microsoft.com/office/excel/2006/main">
          <x14:cfRule type="expression" priority="2" id="{B2B7DA42-8193-3B4A-A223-0C6ED677981C}">
            <xm:f>'Fuel Price'!$E$42=0</xm:f>
            <x14:dxf>
              <font>
                <color theme="2" tint="-9.9948118533890809E-2"/>
              </font>
            </x14:dxf>
          </x14:cfRule>
          <xm:sqref>B57:B63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E601-9ECE-B14D-9FCC-845647A2A79C}">
  <dimension ref="A1:M54"/>
  <sheetViews>
    <sheetView workbookViewId="0">
      <selection activeCell="D14" sqref="D14"/>
    </sheetView>
  </sheetViews>
  <sheetFormatPr baseColWidth="10" defaultRowHeight="16"/>
  <cols>
    <col min="2" max="2" width="18" customWidth="1"/>
    <col min="3" max="3" width="17.5" customWidth="1"/>
    <col min="7" max="7" width="32.6640625" customWidth="1"/>
    <col min="8" max="8" width="35" customWidth="1"/>
  </cols>
  <sheetData>
    <row r="1" spans="1:13">
      <c r="A1" s="132" t="s">
        <v>6</v>
      </c>
    </row>
    <row r="4" spans="1:13">
      <c r="E4" s="35"/>
      <c r="F4" s="35"/>
      <c r="G4" s="35"/>
      <c r="H4" s="35"/>
    </row>
    <row r="5" spans="1:13">
      <c r="B5" s="132" t="s">
        <v>84</v>
      </c>
      <c r="E5" s="35"/>
      <c r="F5" s="35"/>
      <c r="G5" s="35"/>
      <c r="H5" s="115"/>
      <c r="I5" s="114"/>
      <c r="J5" s="114"/>
      <c r="K5" s="114"/>
      <c r="L5" s="114"/>
      <c r="M5" s="114"/>
    </row>
    <row r="6" spans="1:13">
      <c r="E6" s="14" t="s">
        <v>7</v>
      </c>
      <c r="F6" s="15"/>
      <c r="G6" s="35"/>
      <c r="H6" s="115"/>
      <c r="I6" s="114"/>
      <c r="J6" s="114"/>
      <c r="K6" s="114"/>
      <c r="L6" s="114"/>
      <c r="M6" s="114"/>
    </row>
    <row r="7" spans="1:13" ht="19">
      <c r="A7" s="162"/>
      <c r="B7" s="172" t="s">
        <v>83</v>
      </c>
      <c r="C7" s="172" t="s">
        <v>85</v>
      </c>
      <c r="E7" s="162"/>
      <c r="F7" s="162" t="s">
        <v>8</v>
      </c>
      <c r="G7" s="163" t="s">
        <v>76</v>
      </c>
      <c r="H7" s="163" t="s">
        <v>77</v>
      </c>
      <c r="I7" s="134"/>
      <c r="J7" s="134"/>
      <c r="K7" s="114"/>
      <c r="L7" s="114"/>
      <c r="M7" s="114"/>
    </row>
    <row r="8" spans="1:13" ht="19">
      <c r="A8" s="33">
        <v>2007</v>
      </c>
      <c r="B8" s="198">
        <v>10</v>
      </c>
      <c r="C8" s="198">
        <v>10</v>
      </c>
      <c r="E8" s="33">
        <v>2007</v>
      </c>
      <c r="F8" s="34">
        <v>10</v>
      </c>
      <c r="G8" s="161">
        <v>10</v>
      </c>
      <c r="H8" s="161">
        <v>10</v>
      </c>
      <c r="I8" s="134"/>
      <c r="J8" s="135"/>
      <c r="K8" s="114"/>
      <c r="L8" s="114"/>
      <c r="M8" s="114"/>
    </row>
    <row r="9" spans="1:13" ht="19">
      <c r="A9" s="16">
        <v>2008</v>
      </c>
      <c r="B9" s="199">
        <v>10</v>
      </c>
      <c r="C9" s="199">
        <v>10</v>
      </c>
      <c r="E9" s="16">
        <v>2008</v>
      </c>
      <c r="F9" s="30">
        <v>10</v>
      </c>
      <c r="G9" s="161">
        <v>10</v>
      </c>
      <c r="H9" s="161">
        <v>10</v>
      </c>
      <c r="I9" s="134"/>
      <c r="J9" s="135"/>
      <c r="K9" s="114"/>
      <c r="L9" s="114"/>
      <c r="M9" s="114"/>
    </row>
    <row r="10" spans="1:13" ht="19">
      <c r="A10" s="16">
        <v>2009</v>
      </c>
      <c r="B10" s="199">
        <v>10</v>
      </c>
      <c r="C10" s="199">
        <v>10</v>
      </c>
      <c r="E10" s="16">
        <v>2009</v>
      </c>
      <c r="F10" s="30">
        <v>10</v>
      </c>
      <c r="G10" s="161">
        <v>10</v>
      </c>
      <c r="H10" s="161">
        <v>10</v>
      </c>
      <c r="I10" s="134"/>
      <c r="J10" s="135"/>
      <c r="K10" s="114"/>
      <c r="L10" s="114"/>
      <c r="M10" s="114"/>
    </row>
    <row r="11" spans="1:13" ht="19">
      <c r="A11" s="17">
        <v>2010</v>
      </c>
      <c r="B11" s="199">
        <v>10</v>
      </c>
      <c r="C11" s="199">
        <v>10</v>
      </c>
      <c r="E11" s="17">
        <v>2010</v>
      </c>
      <c r="F11" s="30">
        <v>10</v>
      </c>
      <c r="G11" s="161">
        <v>10</v>
      </c>
      <c r="H11" s="161">
        <v>10</v>
      </c>
      <c r="I11" s="134"/>
      <c r="J11" s="135"/>
      <c r="K11" s="114"/>
      <c r="L11" s="114"/>
      <c r="M11" s="114"/>
    </row>
    <row r="12" spans="1:13" ht="19">
      <c r="A12" s="16">
        <v>2011</v>
      </c>
      <c r="B12" s="199">
        <v>10</v>
      </c>
      <c r="C12" s="199">
        <v>10</v>
      </c>
      <c r="E12" s="16">
        <v>2011</v>
      </c>
      <c r="F12" s="30">
        <v>10</v>
      </c>
      <c r="G12" s="161">
        <v>10</v>
      </c>
      <c r="H12" s="161">
        <v>10</v>
      </c>
      <c r="I12" s="134"/>
      <c r="J12" s="135"/>
      <c r="K12" s="114"/>
      <c r="L12" s="114"/>
      <c r="M12" s="114"/>
    </row>
    <row r="13" spans="1:13" ht="19">
      <c r="A13" s="18">
        <v>2012</v>
      </c>
      <c r="B13" s="199">
        <v>10</v>
      </c>
      <c r="C13" s="199">
        <v>10</v>
      </c>
      <c r="E13" s="18">
        <v>2012</v>
      </c>
      <c r="F13" s="30">
        <v>10</v>
      </c>
      <c r="G13" s="161">
        <v>10</v>
      </c>
      <c r="H13" s="161">
        <v>10</v>
      </c>
      <c r="I13" s="136"/>
      <c r="J13" s="135"/>
      <c r="K13" s="114"/>
      <c r="L13" s="114"/>
      <c r="M13" s="114"/>
    </row>
    <row r="14" spans="1:13" ht="19">
      <c r="A14" s="18">
        <v>2013</v>
      </c>
      <c r="B14" s="199">
        <v>10</v>
      </c>
      <c r="C14" s="199">
        <v>10</v>
      </c>
      <c r="E14" s="18">
        <v>2013</v>
      </c>
      <c r="F14" s="30">
        <v>10</v>
      </c>
      <c r="G14" s="161">
        <v>10</v>
      </c>
      <c r="H14" s="161">
        <v>10</v>
      </c>
      <c r="I14" s="136"/>
      <c r="J14" s="135"/>
      <c r="K14" s="114"/>
      <c r="L14" s="114"/>
      <c r="M14" s="114"/>
    </row>
    <row r="15" spans="1:13" ht="19">
      <c r="A15" s="18">
        <v>2014</v>
      </c>
      <c r="B15" s="199">
        <v>10</v>
      </c>
      <c r="C15" s="199">
        <v>10</v>
      </c>
      <c r="E15" s="18">
        <v>2014</v>
      </c>
      <c r="F15" s="30">
        <v>10</v>
      </c>
      <c r="G15" s="161">
        <v>10</v>
      </c>
      <c r="H15" s="161">
        <v>10</v>
      </c>
      <c r="I15" s="136"/>
      <c r="J15" s="135"/>
      <c r="K15" s="114"/>
      <c r="L15" s="114"/>
      <c r="M15" s="114"/>
    </row>
    <row r="16" spans="1:13" ht="19">
      <c r="A16" s="19">
        <v>2015</v>
      </c>
      <c r="B16" s="199">
        <v>10</v>
      </c>
      <c r="C16" s="199">
        <v>10</v>
      </c>
      <c r="E16" s="19">
        <v>2015</v>
      </c>
      <c r="F16" s="30">
        <v>14</v>
      </c>
      <c r="G16" s="161">
        <v>10</v>
      </c>
      <c r="H16" s="161">
        <v>10</v>
      </c>
      <c r="I16" s="136"/>
      <c r="J16" s="135"/>
      <c r="K16" s="114"/>
      <c r="L16" s="114"/>
      <c r="M16" s="114"/>
    </row>
    <row r="17" spans="1:13" ht="19">
      <c r="A17" s="18">
        <v>2016</v>
      </c>
      <c r="B17" s="199">
        <v>10</v>
      </c>
      <c r="C17" s="199">
        <v>10</v>
      </c>
      <c r="E17" s="18">
        <v>2016</v>
      </c>
      <c r="F17" s="31">
        <v>14</v>
      </c>
      <c r="G17" s="161">
        <v>10</v>
      </c>
      <c r="H17" s="161">
        <v>10</v>
      </c>
      <c r="I17" s="136"/>
      <c r="J17" s="137"/>
      <c r="K17" s="114"/>
      <c r="L17" s="114"/>
      <c r="M17" s="114"/>
    </row>
    <row r="18" spans="1:13" ht="19">
      <c r="A18" s="18">
        <v>2017</v>
      </c>
      <c r="B18" s="199">
        <v>10</v>
      </c>
      <c r="C18" s="199">
        <v>10</v>
      </c>
      <c r="E18" s="18">
        <v>2017</v>
      </c>
      <c r="F18" s="30">
        <v>14</v>
      </c>
      <c r="G18" s="161">
        <v>10</v>
      </c>
      <c r="H18" s="161">
        <v>10</v>
      </c>
      <c r="I18" s="136"/>
      <c r="J18" s="135"/>
      <c r="K18" s="114"/>
      <c r="L18" s="114"/>
      <c r="M18" s="114"/>
    </row>
    <row r="19" spans="1:13" ht="19">
      <c r="A19" s="18">
        <v>2018</v>
      </c>
      <c r="B19" s="199">
        <v>10</v>
      </c>
      <c r="C19" s="199">
        <v>10</v>
      </c>
      <c r="E19" s="18">
        <v>2018</v>
      </c>
      <c r="F19" s="30">
        <v>14</v>
      </c>
      <c r="G19" s="161">
        <v>10</v>
      </c>
      <c r="H19" s="161">
        <v>10</v>
      </c>
      <c r="I19" s="136"/>
      <c r="J19" s="135"/>
      <c r="K19" s="114"/>
      <c r="L19" s="114"/>
      <c r="M19" s="114"/>
    </row>
    <row r="20" spans="1:13" ht="19">
      <c r="A20" s="18">
        <v>2019</v>
      </c>
      <c r="B20" s="199">
        <v>10</v>
      </c>
      <c r="C20" s="199">
        <v>10</v>
      </c>
      <c r="E20" s="18">
        <v>2019</v>
      </c>
      <c r="F20" s="30">
        <v>14</v>
      </c>
      <c r="G20" s="161">
        <v>10</v>
      </c>
      <c r="H20" s="161">
        <v>10</v>
      </c>
      <c r="I20" s="136"/>
      <c r="J20" s="135"/>
      <c r="K20" s="114"/>
      <c r="L20" s="114"/>
      <c r="M20" s="114"/>
    </row>
    <row r="21" spans="1:13" ht="19">
      <c r="A21" s="19">
        <v>2020</v>
      </c>
      <c r="B21" s="199">
        <v>10</v>
      </c>
      <c r="C21" s="199">
        <v>10</v>
      </c>
      <c r="E21" s="19">
        <v>2020</v>
      </c>
      <c r="F21" s="30">
        <v>14</v>
      </c>
      <c r="G21" s="161">
        <v>10</v>
      </c>
      <c r="H21" s="161">
        <v>10</v>
      </c>
      <c r="I21" s="136"/>
      <c r="J21" s="135"/>
      <c r="K21" s="114"/>
      <c r="L21" s="114"/>
      <c r="M21" s="114"/>
    </row>
    <row r="22" spans="1:13" ht="19">
      <c r="A22" s="18">
        <v>2021</v>
      </c>
      <c r="B22" s="199">
        <v>10</v>
      </c>
      <c r="C22" s="199">
        <v>9</v>
      </c>
      <c r="E22" s="18">
        <v>2021</v>
      </c>
      <c r="F22" s="30">
        <v>14</v>
      </c>
      <c r="G22" s="161">
        <v>10</v>
      </c>
      <c r="H22" s="161">
        <v>10</v>
      </c>
      <c r="I22" s="136"/>
      <c r="J22" s="135"/>
      <c r="K22" s="114"/>
      <c r="L22" s="114"/>
      <c r="M22" s="114"/>
    </row>
    <row r="23" spans="1:13" ht="19">
      <c r="A23" s="18">
        <v>2022</v>
      </c>
      <c r="B23" s="199">
        <v>9</v>
      </c>
      <c r="C23" s="199">
        <v>8</v>
      </c>
      <c r="E23" s="18">
        <v>2022</v>
      </c>
      <c r="F23" s="30">
        <v>14</v>
      </c>
      <c r="G23" s="161">
        <v>9</v>
      </c>
      <c r="H23" s="161">
        <v>9</v>
      </c>
      <c r="I23" s="136"/>
      <c r="J23" s="135"/>
      <c r="K23" s="114"/>
      <c r="L23" s="114"/>
      <c r="M23" s="114"/>
    </row>
    <row r="24" spans="1:13" ht="19">
      <c r="A24" s="18">
        <v>2023</v>
      </c>
      <c r="B24" s="199">
        <v>9</v>
      </c>
      <c r="C24" s="199">
        <v>7</v>
      </c>
      <c r="E24" s="18">
        <v>2023</v>
      </c>
      <c r="F24" s="30">
        <v>12.5</v>
      </c>
      <c r="G24" s="161">
        <v>9</v>
      </c>
      <c r="H24" s="161">
        <v>9</v>
      </c>
      <c r="I24" s="136"/>
      <c r="J24" s="135"/>
      <c r="K24" s="114"/>
      <c r="L24" s="114"/>
      <c r="M24" s="114"/>
    </row>
    <row r="25" spans="1:13" ht="19">
      <c r="A25" s="18">
        <v>2024</v>
      </c>
      <c r="B25" s="199">
        <v>8</v>
      </c>
      <c r="C25" s="199">
        <v>6</v>
      </c>
      <c r="E25" s="18">
        <v>2024</v>
      </c>
      <c r="F25" s="30">
        <v>9</v>
      </c>
      <c r="G25" s="161">
        <v>8</v>
      </c>
      <c r="H25" s="161">
        <v>8</v>
      </c>
      <c r="I25" s="136"/>
      <c r="J25" s="135"/>
      <c r="K25" s="114"/>
      <c r="L25" s="114"/>
      <c r="M25" s="114"/>
    </row>
    <row r="26" spans="1:13" ht="19">
      <c r="A26" s="19">
        <v>2025</v>
      </c>
      <c r="B26" s="199">
        <v>6</v>
      </c>
      <c r="C26" s="199">
        <v>5</v>
      </c>
      <c r="E26" s="19">
        <v>2025</v>
      </c>
      <c r="F26" s="30">
        <v>7</v>
      </c>
      <c r="G26" s="161">
        <v>6</v>
      </c>
      <c r="H26" s="161">
        <v>6</v>
      </c>
      <c r="I26" s="136"/>
      <c r="J26" s="135"/>
      <c r="K26" s="114"/>
      <c r="L26" s="114"/>
      <c r="M26" s="114"/>
    </row>
    <row r="27" spans="1:13" ht="19">
      <c r="A27" s="18">
        <v>2026</v>
      </c>
      <c r="B27" s="199">
        <v>5</v>
      </c>
      <c r="C27" s="199">
        <v>5</v>
      </c>
      <c r="E27" s="18">
        <v>2026</v>
      </c>
      <c r="F27" s="30">
        <v>6.7</v>
      </c>
      <c r="G27" s="161">
        <v>5</v>
      </c>
      <c r="H27" s="161">
        <v>5</v>
      </c>
      <c r="I27" s="136"/>
      <c r="J27" s="135"/>
      <c r="K27" s="114"/>
      <c r="L27" s="114"/>
      <c r="M27" s="114"/>
    </row>
    <row r="28" spans="1:13" ht="19">
      <c r="A28" s="18">
        <v>2027</v>
      </c>
      <c r="B28" s="199">
        <v>5</v>
      </c>
      <c r="C28" s="199">
        <v>5</v>
      </c>
      <c r="E28" s="18">
        <v>2027</v>
      </c>
      <c r="F28" s="30">
        <v>6.5</v>
      </c>
      <c r="G28" s="161">
        <v>5</v>
      </c>
      <c r="H28" s="161">
        <v>5</v>
      </c>
      <c r="I28" s="136"/>
      <c r="J28" s="135"/>
      <c r="K28" s="114"/>
      <c r="L28" s="114"/>
      <c r="M28" s="114"/>
    </row>
    <row r="29" spans="1:13" ht="19">
      <c r="A29" s="18">
        <v>2028</v>
      </c>
      <c r="B29" s="199">
        <v>5</v>
      </c>
      <c r="C29" s="199">
        <v>5</v>
      </c>
      <c r="E29" s="18">
        <v>2028</v>
      </c>
      <c r="F29" s="30">
        <v>6.25</v>
      </c>
      <c r="G29" s="161">
        <v>5</v>
      </c>
      <c r="H29" s="161">
        <v>5</v>
      </c>
      <c r="I29" s="136"/>
      <c r="J29" s="135"/>
      <c r="K29" s="114"/>
      <c r="L29" s="114"/>
      <c r="M29" s="114"/>
    </row>
    <row r="30" spans="1:13" ht="19">
      <c r="A30" s="18">
        <v>2029</v>
      </c>
      <c r="B30" s="199">
        <v>5</v>
      </c>
      <c r="C30" s="199">
        <v>5</v>
      </c>
      <c r="E30" s="18">
        <v>2029</v>
      </c>
      <c r="F30" s="30">
        <v>6.05</v>
      </c>
      <c r="G30" s="161">
        <v>4</v>
      </c>
      <c r="H30" s="161">
        <v>4</v>
      </c>
      <c r="I30" s="136"/>
      <c r="J30" s="135"/>
      <c r="K30" s="114"/>
      <c r="L30" s="114"/>
      <c r="M30" s="114"/>
    </row>
    <row r="31" spans="1:13" ht="19">
      <c r="A31" s="19">
        <v>2030</v>
      </c>
      <c r="B31" s="199">
        <v>5</v>
      </c>
      <c r="C31" s="199">
        <v>4</v>
      </c>
      <c r="E31" s="19">
        <v>2030</v>
      </c>
      <c r="F31" s="30">
        <v>5.92</v>
      </c>
      <c r="G31" s="161">
        <v>4</v>
      </c>
      <c r="H31" s="161">
        <v>4</v>
      </c>
      <c r="I31" s="136"/>
      <c r="J31" s="135"/>
      <c r="K31" s="114"/>
      <c r="L31" s="114"/>
      <c r="M31" s="114"/>
    </row>
    <row r="32" spans="1:13" ht="19">
      <c r="A32" s="18">
        <v>2031</v>
      </c>
      <c r="B32" s="199">
        <v>5</v>
      </c>
      <c r="C32" s="199">
        <v>4</v>
      </c>
      <c r="E32" s="18">
        <v>2031</v>
      </c>
      <c r="F32" s="30">
        <v>5.75</v>
      </c>
      <c r="G32" s="161">
        <v>4</v>
      </c>
      <c r="H32" s="161">
        <v>4</v>
      </c>
      <c r="I32" s="136"/>
      <c r="J32" s="135"/>
      <c r="K32" s="114"/>
      <c r="L32" s="114"/>
      <c r="M32" s="114"/>
    </row>
    <row r="33" spans="1:13" ht="19">
      <c r="A33" s="18">
        <v>2032</v>
      </c>
      <c r="B33" s="199">
        <v>5</v>
      </c>
      <c r="C33" s="199">
        <v>4</v>
      </c>
      <c r="E33" s="18">
        <v>2032</v>
      </c>
      <c r="F33" s="30">
        <v>5.55</v>
      </c>
      <c r="G33" s="161">
        <v>4</v>
      </c>
      <c r="H33" s="161">
        <v>4</v>
      </c>
      <c r="I33" s="136"/>
      <c r="J33" s="135"/>
      <c r="K33" s="114"/>
      <c r="L33" s="114"/>
      <c r="M33" s="114"/>
    </row>
    <row r="34" spans="1:13" ht="19">
      <c r="A34" s="18">
        <v>2033</v>
      </c>
      <c r="B34" s="199">
        <v>5</v>
      </c>
      <c r="C34" s="199">
        <v>4</v>
      </c>
      <c r="E34" s="18">
        <v>2033</v>
      </c>
      <c r="F34" s="30">
        <v>5.36</v>
      </c>
      <c r="G34" s="161">
        <v>4</v>
      </c>
      <c r="H34" s="161">
        <v>4</v>
      </c>
      <c r="I34" s="136"/>
      <c r="J34" s="135"/>
      <c r="K34" s="114"/>
      <c r="L34" s="114"/>
      <c r="M34" s="114"/>
    </row>
    <row r="35" spans="1:13" ht="19">
      <c r="A35" s="18">
        <v>2034</v>
      </c>
      <c r="B35" s="199">
        <v>5</v>
      </c>
      <c r="C35" s="199">
        <v>4</v>
      </c>
      <c r="E35" s="18">
        <v>2034</v>
      </c>
      <c r="F35" s="30">
        <v>5.17</v>
      </c>
      <c r="G35" s="161">
        <v>4</v>
      </c>
      <c r="H35" s="161">
        <v>4</v>
      </c>
      <c r="I35" s="136"/>
      <c r="J35" s="135"/>
      <c r="K35" s="114"/>
      <c r="L35" s="114"/>
      <c r="M35" s="114"/>
    </row>
    <row r="36" spans="1:13" ht="19">
      <c r="A36" s="19">
        <v>2035</v>
      </c>
      <c r="B36" s="199">
        <v>5</v>
      </c>
      <c r="C36" s="199">
        <v>4</v>
      </c>
      <c r="E36" s="19">
        <v>2035</v>
      </c>
      <c r="F36" s="30">
        <v>5</v>
      </c>
      <c r="G36" s="161">
        <v>3</v>
      </c>
      <c r="H36" s="161">
        <v>3</v>
      </c>
      <c r="I36" s="136"/>
      <c r="J36" s="135"/>
      <c r="K36" s="114"/>
      <c r="L36" s="114"/>
      <c r="M36" s="114"/>
    </row>
    <row r="37" spans="1:13" ht="19">
      <c r="A37" s="18">
        <v>2036</v>
      </c>
      <c r="B37" s="199">
        <v>5</v>
      </c>
      <c r="C37" s="199">
        <v>4</v>
      </c>
      <c r="E37" s="18">
        <v>2036</v>
      </c>
      <c r="F37" s="30">
        <v>4.8499999999999996</v>
      </c>
      <c r="G37" s="161">
        <v>3</v>
      </c>
      <c r="H37" s="161">
        <v>3</v>
      </c>
      <c r="I37" s="136"/>
      <c r="J37" s="135"/>
      <c r="K37" s="114"/>
      <c r="L37" s="114"/>
      <c r="M37" s="114"/>
    </row>
    <row r="38" spans="1:13" ht="19">
      <c r="A38" s="18">
        <v>2037</v>
      </c>
      <c r="B38" s="199">
        <v>5</v>
      </c>
      <c r="C38" s="199">
        <v>4</v>
      </c>
      <c r="E38" s="18">
        <v>2037</v>
      </c>
      <c r="F38" s="30">
        <v>4.7300000000000004</v>
      </c>
      <c r="G38" s="161">
        <v>3</v>
      </c>
      <c r="H38" s="161">
        <v>3</v>
      </c>
      <c r="I38" s="136"/>
      <c r="J38" s="135"/>
      <c r="K38" s="114"/>
      <c r="L38" s="114"/>
      <c r="M38" s="114"/>
    </row>
    <row r="39" spans="1:13" ht="19">
      <c r="A39" s="18">
        <v>2038</v>
      </c>
      <c r="B39" s="199">
        <v>5</v>
      </c>
      <c r="C39" s="199">
        <v>4</v>
      </c>
      <c r="E39" s="18">
        <v>2038</v>
      </c>
      <c r="F39" s="30">
        <v>4.62</v>
      </c>
      <c r="G39" s="161">
        <v>3</v>
      </c>
      <c r="H39" s="161">
        <v>3</v>
      </c>
      <c r="I39" s="136"/>
      <c r="J39" s="135"/>
      <c r="K39" s="114"/>
      <c r="L39" s="114"/>
      <c r="M39" s="114"/>
    </row>
    <row r="40" spans="1:13" ht="19">
      <c r="A40" s="18">
        <v>2039</v>
      </c>
      <c r="B40" s="199">
        <v>5</v>
      </c>
      <c r="C40" s="199">
        <v>4</v>
      </c>
      <c r="E40" s="18">
        <v>2039</v>
      </c>
      <c r="F40" s="30">
        <v>4.5</v>
      </c>
      <c r="G40" s="161">
        <v>3</v>
      </c>
      <c r="H40" s="161">
        <v>3</v>
      </c>
      <c r="I40" s="136"/>
      <c r="J40" s="135"/>
      <c r="K40" s="114"/>
      <c r="L40" s="114"/>
      <c r="M40" s="114"/>
    </row>
    <row r="41" spans="1:13" ht="19">
      <c r="A41" s="19">
        <v>2040</v>
      </c>
      <c r="B41" s="199">
        <v>5</v>
      </c>
      <c r="C41" s="199">
        <v>4</v>
      </c>
      <c r="E41" s="19">
        <v>2040</v>
      </c>
      <c r="F41" s="30">
        <v>4.4000000000000004</v>
      </c>
      <c r="G41" s="161">
        <v>3</v>
      </c>
      <c r="H41" s="161">
        <v>3</v>
      </c>
      <c r="I41" s="136"/>
      <c r="J41" s="135"/>
      <c r="K41" s="114"/>
      <c r="L41" s="114"/>
      <c r="M41" s="114"/>
    </row>
    <row r="42" spans="1:13" ht="19">
      <c r="A42" s="18">
        <v>2041</v>
      </c>
      <c r="B42" s="199">
        <v>5</v>
      </c>
      <c r="C42" s="199">
        <v>4</v>
      </c>
      <c r="E42" s="18">
        <v>2041</v>
      </c>
      <c r="F42" s="30">
        <v>4.3</v>
      </c>
      <c r="G42" s="161">
        <v>3</v>
      </c>
      <c r="H42" s="161">
        <v>3</v>
      </c>
      <c r="I42" s="136"/>
      <c r="J42" s="135"/>
      <c r="K42" s="114"/>
      <c r="L42" s="114"/>
      <c r="M42" s="114"/>
    </row>
    <row r="43" spans="1:13" ht="19">
      <c r="A43" s="18">
        <v>2042</v>
      </c>
      <c r="B43" s="199">
        <v>5</v>
      </c>
      <c r="C43" s="199">
        <v>4</v>
      </c>
      <c r="E43" s="18">
        <v>2042</v>
      </c>
      <c r="F43" s="30">
        <v>4.22</v>
      </c>
      <c r="G43" s="161">
        <v>3</v>
      </c>
      <c r="H43" s="161">
        <v>3</v>
      </c>
      <c r="I43" s="136"/>
      <c r="J43" s="135"/>
      <c r="K43" s="114"/>
      <c r="L43" s="114"/>
      <c r="M43" s="114"/>
    </row>
    <row r="44" spans="1:13" ht="19">
      <c r="A44" s="18">
        <v>2043</v>
      </c>
      <c r="B44" s="199">
        <v>5</v>
      </c>
      <c r="C44" s="199">
        <v>4</v>
      </c>
      <c r="E44" s="18">
        <v>2043</v>
      </c>
      <c r="F44" s="30">
        <v>4.1500000000000004</v>
      </c>
      <c r="G44" s="161">
        <v>3</v>
      </c>
      <c r="H44" s="161">
        <v>3</v>
      </c>
      <c r="I44" s="136"/>
      <c r="J44" s="135"/>
      <c r="K44" s="114"/>
      <c r="L44" s="114"/>
      <c r="M44" s="114"/>
    </row>
    <row r="45" spans="1:13" ht="19">
      <c r="A45" s="18">
        <v>2044</v>
      </c>
      <c r="B45" s="199">
        <v>5</v>
      </c>
      <c r="C45" s="199">
        <v>4</v>
      </c>
      <c r="E45" s="18">
        <v>2044</v>
      </c>
      <c r="F45" s="30">
        <v>4.07</v>
      </c>
      <c r="G45" s="161">
        <v>3</v>
      </c>
      <c r="H45" s="161">
        <v>3</v>
      </c>
      <c r="I45" s="136"/>
      <c r="J45" s="135"/>
      <c r="K45" s="114"/>
      <c r="L45" s="114"/>
      <c r="M45" s="114"/>
    </row>
    <row r="46" spans="1:13" ht="19">
      <c r="A46" s="19">
        <v>2045</v>
      </c>
      <c r="B46" s="199">
        <v>5</v>
      </c>
      <c r="C46" s="199">
        <v>4</v>
      </c>
      <c r="E46" s="19">
        <v>2045</v>
      </c>
      <c r="F46" s="30">
        <v>4</v>
      </c>
      <c r="G46" s="161">
        <v>3</v>
      </c>
      <c r="H46" s="161">
        <v>3</v>
      </c>
      <c r="I46" s="136"/>
      <c r="J46" s="135"/>
      <c r="K46" s="114"/>
      <c r="L46" s="114"/>
      <c r="M46" s="114"/>
    </row>
    <row r="47" spans="1:13" ht="19">
      <c r="A47" s="18">
        <v>2046</v>
      </c>
      <c r="B47" s="199">
        <v>5</v>
      </c>
      <c r="C47" s="199">
        <v>4</v>
      </c>
      <c r="E47" s="18">
        <v>2046</v>
      </c>
      <c r="F47" s="30">
        <v>4</v>
      </c>
      <c r="G47" s="161">
        <v>3</v>
      </c>
      <c r="H47" s="161">
        <v>3</v>
      </c>
      <c r="I47" s="136"/>
      <c r="J47" s="135"/>
      <c r="K47" s="114"/>
      <c r="L47" s="114"/>
      <c r="M47" s="114"/>
    </row>
    <row r="48" spans="1:13" ht="19">
      <c r="A48" s="18">
        <v>2047</v>
      </c>
      <c r="B48" s="199">
        <v>5</v>
      </c>
      <c r="C48" s="199">
        <v>4</v>
      </c>
      <c r="E48" s="18">
        <v>2047</v>
      </c>
      <c r="F48" s="30">
        <v>4</v>
      </c>
      <c r="G48" s="161">
        <v>3</v>
      </c>
      <c r="H48" s="161">
        <v>3</v>
      </c>
      <c r="I48" s="136"/>
      <c r="J48" s="135"/>
      <c r="K48" s="114"/>
      <c r="L48" s="114"/>
      <c r="M48" s="114"/>
    </row>
    <row r="49" spans="1:13" ht="19">
      <c r="A49" s="18">
        <v>2048</v>
      </c>
      <c r="B49" s="199">
        <v>5</v>
      </c>
      <c r="C49" s="199">
        <v>4</v>
      </c>
      <c r="E49" s="18">
        <v>2048</v>
      </c>
      <c r="F49" s="30">
        <v>4</v>
      </c>
      <c r="G49" s="161">
        <v>3</v>
      </c>
      <c r="H49" s="161">
        <v>3</v>
      </c>
      <c r="I49" s="136"/>
      <c r="J49" s="135"/>
      <c r="K49" s="114"/>
      <c r="L49" s="114"/>
      <c r="M49" s="114"/>
    </row>
    <row r="50" spans="1:13" ht="19">
      <c r="A50" s="18">
        <v>2049</v>
      </c>
      <c r="B50" s="199">
        <v>5</v>
      </c>
      <c r="C50" s="199">
        <v>4</v>
      </c>
      <c r="E50" s="18">
        <v>2049</v>
      </c>
      <c r="F50" s="30">
        <v>4</v>
      </c>
      <c r="G50" s="161">
        <v>3</v>
      </c>
      <c r="H50" s="161">
        <v>3</v>
      </c>
      <c r="I50" s="136"/>
      <c r="J50" s="135"/>
      <c r="K50" s="114"/>
      <c r="L50" s="114"/>
      <c r="M50" s="114"/>
    </row>
    <row r="51" spans="1:13" ht="20" thickBot="1">
      <c r="A51" s="20">
        <v>2050</v>
      </c>
      <c r="B51" s="199">
        <v>5</v>
      </c>
      <c r="C51" s="199">
        <v>4</v>
      </c>
      <c r="E51" s="20">
        <v>2050</v>
      </c>
      <c r="F51" s="32">
        <v>4</v>
      </c>
      <c r="G51" s="161">
        <v>3</v>
      </c>
      <c r="H51" s="161">
        <v>3</v>
      </c>
      <c r="I51" s="136"/>
      <c r="J51" s="135"/>
      <c r="K51" s="114"/>
      <c r="L51" s="114"/>
      <c r="M51" s="114"/>
    </row>
    <row r="52" spans="1:13">
      <c r="H52" s="114"/>
      <c r="I52" s="114"/>
      <c r="J52" s="114"/>
      <c r="K52" s="114"/>
      <c r="L52" s="114"/>
      <c r="M52" s="114"/>
    </row>
    <row r="53" spans="1:13">
      <c r="H53" s="114"/>
      <c r="I53" s="114"/>
      <c r="J53" s="114"/>
      <c r="K53" s="114"/>
      <c r="L53" s="114"/>
      <c r="M53" s="114"/>
    </row>
    <row r="54" spans="1:13">
      <c r="H54" s="114"/>
      <c r="I54" s="114"/>
      <c r="J54" s="114"/>
      <c r="K54" s="114"/>
      <c r="L54" s="114"/>
      <c r="M54" s="114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9B5-9790-9C47-A4C7-72279D6D9F9A}">
  <dimension ref="A1:N64"/>
  <sheetViews>
    <sheetView workbookViewId="0">
      <selection activeCell="H16" sqref="H16"/>
    </sheetView>
  </sheetViews>
  <sheetFormatPr baseColWidth="10" defaultRowHeight="16"/>
  <cols>
    <col min="2" max="2" width="26.33203125" customWidth="1"/>
    <col min="4" max="4" width="22.1640625" customWidth="1"/>
    <col min="5" max="5" width="27.1640625" customWidth="1"/>
    <col min="6" max="6" width="18.5" customWidth="1"/>
    <col min="7" max="7" width="19.83203125" customWidth="1"/>
    <col min="8" max="11" width="21.6640625" customWidth="1"/>
    <col min="13" max="13" width="39.1640625" customWidth="1"/>
    <col min="14" max="14" width="37.33203125" customWidth="1"/>
  </cols>
  <sheetData>
    <row r="1" spans="1:14">
      <c r="A1" s="132" t="s">
        <v>63</v>
      </c>
    </row>
    <row r="3" spans="1:14" ht="19">
      <c r="A3" s="133"/>
      <c r="B3" s="176" t="s">
        <v>64</v>
      </c>
      <c r="C3" s="177" t="s">
        <v>65</v>
      </c>
      <c r="D3" s="178"/>
      <c r="E3" s="178"/>
      <c r="F3" s="178"/>
      <c r="G3" s="179" t="s">
        <v>97</v>
      </c>
      <c r="H3" s="178"/>
      <c r="I3" s="176"/>
      <c r="J3" s="178"/>
      <c r="K3" s="179" t="s">
        <v>86</v>
      </c>
      <c r="L3" s="175"/>
    </row>
    <row r="4" spans="1:14">
      <c r="B4" s="178" t="s">
        <v>66</v>
      </c>
      <c r="C4" s="178">
        <v>2</v>
      </c>
      <c r="D4" s="178"/>
      <c r="E4" s="178"/>
      <c r="F4" s="178"/>
      <c r="G4" s="178"/>
      <c r="H4" s="178"/>
      <c r="I4" s="178"/>
      <c r="J4" s="178"/>
      <c r="K4" s="178"/>
    </row>
    <row r="5" spans="1:14">
      <c r="B5" s="191" t="s">
        <v>87</v>
      </c>
      <c r="C5" s="191" t="s">
        <v>88</v>
      </c>
      <c r="D5" s="191" t="s">
        <v>89</v>
      </c>
      <c r="E5" s="191" t="s">
        <v>90</v>
      </c>
      <c r="F5" s="191" t="s">
        <v>91</v>
      </c>
      <c r="G5" s="192" t="s">
        <v>92</v>
      </c>
      <c r="H5" s="191" t="s">
        <v>93</v>
      </c>
      <c r="I5" s="191" t="s">
        <v>94</v>
      </c>
      <c r="J5" s="191" t="s">
        <v>95</v>
      </c>
      <c r="K5" s="193" t="s">
        <v>96</v>
      </c>
      <c r="M5" s="160" t="s">
        <v>79</v>
      </c>
      <c r="N5" s="160" t="s">
        <v>80</v>
      </c>
    </row>
    <row r="6" spans="1:14">
      <c r="B6" s="180">
        <v>1992</v>
      </c>
      <c r="C6" s="181"/>
      <c r="D6" s="181">
        <v>3297</v>
      </c>
      <c r="E6" s="181">
        <v>43</v>
      </c>
      <c r="F6" s="181"/>
      <c r="G6" s="200"/>
      <c r="H6" s="181"/>
      <c r="I6" s="181">
        <v>349</v>
      </c>
      <c r="J6" s="181">
        <v>2</v>
      </c>
      <c r="K6" s="203"/>
      <c r="M6" s="170"/>
      <c r="N6" s="170"/>
    </row>
    <row r="7" spans="1:14">
      <c r="B7" s="180">
        <v>1993</v>
      </c>
      <c r="C7" s="181"/>
      <c r="D7" s="181">
        <v>3297</v>
      </c>
      <c r="E7" s="181">
        <v>50</v>
      </c>
      <c r="F7" s="181"/>
      <c r="G7" s="200"/>
      <c r="H7" s="181"/>
      <c r="I7" s="181">
        <v>497</v>
      </c>
      <c r="J7" s="181">
        <v>7</v>
      </c>
      <c r="K7" s="203"/>
      <c r="M7" s="170"/>
      <c r="N7" s="170"/>
    </row>
    <row r="8" spans="1:14">
      <c r="B8" s="180">
        <v>1994</v>
      </c>
      <c r="C8" s="181"/>
      <c r="D8" s="181">
        <v>3299</v>
      </c>
      <c r="E8" s="181">
        <v>82</v>
      </c>
      <c r="F8" s="181"/>
      <c r="G8" s="200"/>
      <c r="H8" s="181"/>
      <c r="I8" s="181">
        <v>1042</v>
      </c>
      <c r="J8" s="181">
        <v>32</v>
      </c>
      <c r="K8" s="203"/>
      <c r="M8" s="170"/>
      <c r="N8" s="170"/>
    </row>
    <row r="9" spans="1:14">
      <c r="B9" s="180">
        <v>1995</v>
      </c>
      <c r="C9" s="181">
        <f>188</f>
        <v>188</v>
      </c>
      <c r="D9" s="181">
        <v>3299</v>
      </c>
      <c r="E9" s="181">
        <v>88</v>
      </c>
      <c r="F9" s="181"/>
      <c r="G9" s="200"/>
      <c r="H9" s="181"/>
      <c r="I9" s="181">
        <v>1065</v>
      </c>
      <c r="J9" s="181">
        <v>37</v>
      </c>
      <c r="K9" s="203"/>
      <c r="M9" s="170"/>
      <c r="N9" s="170"/>
    </row>
    <row r="10" spans="1:14">
      <c r="B10" s="180">
        <v>1996</v>
      </c>
      <c r="C10" s="181">
        <f>194</f>
        <v>194</v>
      </c>
      <c r="D10" s="181">
        <v>4252</v>
      </c>
      <c r="E10" s="181">
        <v>95</v>
      </c>
      <c r="F10" s="181">
        <v>72</v>
      </c>
      <c r="G10" s="200"/>
      <c r="H10" s="181"/>
      <c r="I10" s="181">
        <v>1419</v>
      </c>
      <c r="J10" s="181">
        <v>68</v>
      </c>
      <c r="K10" s="203">
        <v>190246</v>
      </c>
      <c r="M10" s="170"/>
      <c r="N10" s="170"/>
    </row>
    <row r="11" spans="1:14">
      <c r="B11" s="180">
        <v>1997</v>
      </c>
      <c r="C11" s="181">
        <f>310</f>
        <v>310</v>
      </c>
      <c r="D11" s="181">
        <v>4255</v>
      </c>
      <c r="E11" s="181">
        <v>106</v>
      </c>
      <c r="F11" s="181">
        <v>71</v>
      </c>
      <c r="G11" s="200"/>
      <c r="H11" s="181"/>
      <c r="I11" s="181">
        <v>1426</v>
      </c>
      <c r="J11" s="181">
        <v>71</v>
      </c>
      <c r="K11" s="203">
        <v>187892</v>
      </c>
      <c r="M11" s="170"/>
      <c r="N11" s="170"/>
    </row>
    <row r="12" spans="1:14">
      <c r="B12" s="180">
        <v>1998</v>
      </c>
      <c r="C12" s="181">
        <f>486</f>
        <v>486</v>
      </c>
      <c r="D12" s="181">
        <v>5318</v>
      </c>
      <c r="E12" s="181">
        <v>91</v>
      </c>
      <c r="F12" s="181">
        <v>66</v>
      </c>
      <c r="G12" s="200"/>
      <c r="H12" s="181"/>
      <c r="I12" s="181">
        <v>1268</v>
      </c>
      <c r="J12" s="181">
        <v>40</v>
      </c>
      <c r="K12" s="203">
        <v>182596</v>
      </c>
      <c r="M12" s="170"/>
      <c r="N12" s="170"/>
    </row>
    <row r="13" spans="1:14">
      <c r="B13" s="180">
        <v>1999</v>
      </c>
      <c r="C13" s="181">
        <f>490</f>
        <v>490</v>
      </c>
      <c r="D13" s="181">
        <v>4153</v>
      </c>
      <c r="E13" s="181">
        <v>51</v>
      </c>
      <c r="F13" s="181">
        <v>46</v>
      </c>
      <c r="G13" s="200"/>
      <c r="H13" s="181"/>
      <c r="I13" s="181">
        <v>1267</v>
      </c>
      <c r="J13" s="181">
        <v>49</v>
      </c>
      <c r="K13" s="203">
        <v>180567</v>
      </c>
      <c r="M13" s="170"/>
      <c r="N13" s="170"/>
    </row>
    <row r="14" spans="1:14">
      <c r="B14" s="180">
        <v>2000</v>
      </c>
      <c r="C14" s="181">
        <f>558</f>
        <v>558</v>
      </c>
      <c r="D14" s="181">
        <v>3268</v>
      </c>
      <c r="E14" s="181">
        <v>3</v>
      </c>
      <c r="F14" s="181">
        <v>44</v>
      </c>
      <c r="G14" s="200"/>
      <c r="H14" s="181">
        <v>2</v>
      </c>
      <c r="I14" s="181">
        <v>1217</v>
      </c>
      <c r="J14" s="181">
        <v>113</v>
      </c>
      <c r="K14" s="203">
        <v>175941</v>
      </c>
      <c r="M14" s="170"/>
      <c r="N14" s="170"/>
    </row>
    <row r="15" spans="1:14">
      <c r="B15" s="180">
        <v>2001</v>
      </c>
      <c r="C15" s="181">
        <f>693</f>
        <v>693</v>
      </c>
      <c r="D15" s="181">
        <v>3403</v>
      </c>
      <c r="E15" s="181"/>
      <c r="F15" s="181">
        <v>44</v>
      </c>
      <c r="G15" s="200"/>
      <c r="H15" s="181">
        <v>16</v>
      </c>
      <c r="I15" s="181">
        <v>1232</v>
      </c>
      <c r="J15" s="181">
        <v>154</v>
      </c>
      <c r="K15" s="203">
        <v>172169</v>
      </c>
      <c r="M15" s="170"/>
      <c r="N15" s="170"/>
    </row>
    <row r="16" spans="1:14" ht="19">
      <c r="B16" s="180">
        <v>2002</v>
      </c>
      <c r="C16" s="181">
        <f>873</f>
        <v>873</v>
      </c>
      <c r="D16" s="181">
        <v>3431</v>
      </c>
      <c r="E16" s="181"/>
      <c r="F16" s="181">
        <v>36</v>
      </c>
      <c r="G16" s="200">
        <v>7</v>
      </c>
      <c r="H16" s="181">
        <v>79</v>
      </c>
      <c r="I16" s="181">
        <v>1166</v>
      </c>
      <c r="J16" s="181">
        <v>149</v>
      </c>
      <c r="K16" s="203">
        <v>170018</v>
      </c>
      <c r="M16" s="171">
        <v>100000</v>
      </c>
      <c r="N16" s="171">
        <v>100000</v>
      </c>
    </row>
    <row r="17" spans="2:14" ht="19">
      <c r="B17" s="180">
        <v>2003</v>
      </c>
      <c r="C17" s="181">
        <f>830</f>
        <v>830</v>
      </c>
      <c r="D17" s="181">
        <v>3966</v>
      </c>
      <c r="E17" s="181"/>
      <c r="F17" s="181">
        <v>62</v>
      </c>
      <c r="G17" s="200">
        <v>7</v>
      </c>
      <c r="H17" s="181">
        <v>142</v>
      </c>
      <c r="I17" s="181">
        <v>1035</v>
      </c>
      <c r="J17" s="181">
        <v>188</v>
      </c>
      <c r="K17" s="203">
        <v>167571</v>
      </c>
      <c r="M17" s="171">
        <v>100000</v>
      </c>
      <c r="N17" s="171">
        <v>100000</v>
      </c>
    </row>
    <row r="18" spans="2:14" ht="19">
      <c r="B18" s="180">
        <v>2004</v>
      </c>
      <c r="C18" s="181">
        <f>671</f>
        <v>671</v>
      </c>
      <c r="D18" s="181">
        <v>3689</v>
      </c>
      <c r="E18" s="182"/>
      <c r="F18" s="181">
        <v>58</v>
      </c>
      <c r="G18" s="200">
        <v>9</v>
      </c>
      <c r="H18" s="181">
        <v>176</v>
      </c>
      <c r="I18" s="181">
        <v>917</v>
      </c>
      <c r="J18" s="181">
        <v>200</v>
      </c>
      <c r="K18" s="203">
        <v>167346</v>
      </c>
      <c r="M18" s="171">
        <v>100000</v>
      </c>
      <c r="N18" s="171">
        <v>100000</v>
      </c>
    </row>
    <row r="19" spans="2:14" ht="19">
      <c r="B19" s="180">
        <v>2005</v>
      </c>
      <c r="C19" s="181">
        <f>588</f>
        <v>588</v>
      </c>
      <c r="D19" s="181">
        <v>2995</v>
      </c>
      <c r="E19" s="182"/>
      <c r="F19" s="181">
        <v>40</v>
      </c>
      <c r="G19" s="200">
        <v>14</v>
      </c>
      <c r="H19" s="181">
        <v>304</v>
      </c>
      <c r="I19" s="181">
        <v>787</v>
      </c>
      <c r="J19" s="181">
        <v>436</v>
      </c>
      <c r="K19" s="203">
        <v>168987</v>
      </c>
      <c r="M19" s="171">
        <v>100000</v>
      </c>
      <c r="N19" s="171">
        <v>100000</v>
      </c>
    </row>
    <row r="20" spans="2:14" ht="19">
      <c r="B20" s="180">
        <v>2006</v>
      </c>
      <c r="C20" s="181">
        <f>465</f>
        <v>465</v>
      </c>
      <c r="D20" s="181">
        <v>2619</v>
      </c>
      <c r="E20" s="181"/>
      <c r="F20" s="181">
        <v>37</v>
      </c>
      <c r="G20" s="200">
        <v>17</v>
      </c>
      <c r="H20" s="181">
        <v>459</v>
      </c>
      <c r="I20" s="181">
        <v>732</v>
      </c>
      <c r="J20" s="181">
        <v>762</v>
      </c>
      <c r="K20" s="203">
        <v>167476</v>
      </c>
      <c r="M20" s="171">
        <v>100000</v>
      </c>
      <c r="N20" s="171">
        <v>100000</v>
      </c>
    </row>
    <row r="21" spans="2:14" ht="19">
      <c r="B21" s="180">
        <v>2007</v>
      </c>
      <c r="C21" s="183">
        <f>442</f>
        <v>442</v>
      </c>
      <c r="D21" s="183">
        <v>2371</v>
      </c>
      <c r="E21" s="181"/>
      <c r="F21" s="181">
        <v>35</v>
      </c>
      <c r="G21" s="200">
        <v>32</v>
      </c>
      <c r="H21" s="183">
        <v>742</v>
      </c>
      <c r="I21" s="183">
        <v>721</v>
      </c>
      <c r="J21" s="183">
        <v>1208</v>
      </c>
      <c r="K21" s="203">
        <v>164292</v>
      </c>
      <c r="M21" s="171">
        <v>100000</v>
      </c>
      <c r="N21" s="171">
        <v>100000</v>
      </c>
    </row>
    <row r="22" spans="2:14" ht="19">
      <c r="B22" s="180">
        <v>2008</v>
      </c>
      <c r="C22" s="183">
        <f>430</f>
        <v>430</v>
      </c>
      <c r="D22" s="183">
        <v>2175</v>
      </c>
      <c r="E22" s="181"/>
      <c r="F22" s="184">
        <v>38</v>
      </c>
      <c r="G22" s="200">
        <v>46</v>
      </c>
      <c r="H22" s="183">
        <v>645</v>
      </c>
      <c r="I22" s="183">
        <v>778</v>
      </c>
      <c r="J22" s="183">
        <v>1644</v>
      </c>
      <c r="K22" s="203">
        <v>161078</v>
      </c>
      <c r="M22" s="171">
        <v>100000</v>
      </c>
      <c r="N22" s="171">
        <v>100000</v>
      </c>
    </row>
    <row r="23" spans="2:14" ht="19">
      <c r="B23" s="180">
        <v>2009</v>
      </c>
      <c r="C23" s="183">
        <f>465</f>
        <v>465</v>
      </c>
      <c r="D23" s="183">
        <v>2468</v>
      </c>
      <c r="E23" s="181"/>
      <c r="F23" s="184">
        <v>36</v>
      </c>
      <c r="G23" s="200">
        <v>63</v>
      </c>
      <c r="H23" s="183">
        <v>679</v>
      </c>
      <c r="I23" s="183">
        <v>772</v>
      </c>
      <c r="J23" s="183">
        <v>1928</v>
      </c>
      <c r="K23" s="203">
        <v>162350</v>
      </c>
      <c r="M23" s="171">
        <v>100000</v>
      </c>
      <c r="N23" s="171">
        <v>100000</v>
      </c>
    </row>
    <row r="24" spans="2:14" ht="19">
      <c r="B24" s="180">
        <v>2010</v>
      </c>
      <c r="C24" s="183">
        <f>541</f>
        <v>541</v>
      </c>
      <c r="D24" s="183">
        <v>2647</v>
      </c>
      <c r="E24" s="181"/>
      <c r="F24" s="184">
        <v>39</v>
      </c>
      <c r="G24" s="200">
        <v>58</v>
      </c>
      <c r="H24" s="183">
        <v>644</v>
      </c>
      <c r="I24" s="183">
        <v>841</v>
      </c>
      <c r="J24" s="183">
        <v>2142</v>
      </c>
      <c r="K24" s="203">
        <v>159006</v>
      </c>
      <c r="M24" s="171">
        <v>100000</v>
      </c>
      <c r="N24" s="171">
        <v>100000</v>
      </c>
    </row>
    <row r="25" spans="2:14" ht="19">
      <c r="B25" s="180">
        <v>2011</v>
      </c>
      <c r="C25" s="185" t="e">
        <f>3394/plugs</f>
        <v>#DIV/0!</v>
      </c>
      <c r="D25" s="185">
        <v>2597</v>
      </c>
      <c r="E25" s="186"/>
      <c r="F25" s="184">
        <v>45</v>
      </c>
      <c r="G25" s="200">
        <v>56</v>
      </c>
      <c r="H25" s="185">
        <v>627</v>
      </c>
      <c r="I25" s="185">
        <v>910</v>
      </c>
      <c r="J25" s="185">
        <v>2442</v>
      </c>
      <c r="K25" s="203">
        <v>157393</v>
      </c>
      <c r="M25" s="171">
        <v>100000</v>
      </c>
      <c r="N25" s="171">
        <v>100000</v>
      </c>
    </row>
    <row r="26" spans="2:14" ht="19">
      <c r="B26" s="180">
        <v>2012</v>
      </c>
      <c r="C26" s="185" t="e">
        <f>13392/plugs</f>
        <v>#DIV/0!</v>
      </c>
      <c r="D26" s="185">
        <v>2654</v>
      </c>
      <c r="E26" s="186"/>
      <c r="F26" s="184">
        <v>59</v>
      </c>
      <c r="G26" s="200">
        <v>58</v>
      </c>
      <c r="H26" s="185">
        <v>675</v>
      </c>
      <c r="I26" s="185">
        <v>1107</v>
      </c>
      <c r="J26" s="185">
        <v>2553</v>
      </c>
      <c r="K26" s="203">
        <v>156065</v>
      </c>
      <c r="M26" s="171">
        <v>100000</v>
      </c>
      <c r="N26" s="171">
        <v>100000</v>
      </c>
    </row>
    <row r="27" spans="2:14" ht="19">
      <c r="B27" s="180">
        <v>2013</v>
      </c>
      <c r="C27" s="185" t="e">
        <f>19410/plugs</f>
        <v>#DIV/0!</v>
      </c>
      <c r="D27" s="185">
        <v>2956</v>
      </c>
      <c r="E27" s="186"/>
      <c r="F27" s="184">
        <v>81</v>
      </c>
      <c r="G27" s="200">
        <v>53</v>
      </c>
      <c r="H27" s="185">
        <v>757</v>
      </c>
      <c r="I27" s="185">
        <v>1263</v>
      </c>
      <c r="J27" s="185">
        <v>2639</v>
      </c>
      <c r="K27" s="203">
        <f>K26</f>
        <v>156065</v>
      </c>
      <c r="M27" s="171">
        <v>100000</v>
      </c>
      <c r="N27" s="171">
        <v>100000</v>
      </c>
    </row>
    <row r="28" spans="2:14" ht="19">
      <c r="B28" s="180">
        <v>2014</v>
      </c>
      <c r="C28" s="185" t="e">
        <f>25602/plugs</f>
        <v>#DIV/0!</v>
      </c>
      <c r="D28" s="185">
        <v>2931</v>
      </c>
      <c r="E28" s="186"/>
      <c r="F28" s="184">
        <v>103</v>
      </c>
      <c r="G28" s="200">
        <v>51</v>
      </c>
      <c r="H28" s="185">
        <v>783</v>
      </c>
      <c r="I28" s="185">
        <v>1495</v>
      </c>
      <c r="J28" s="185">
        <v>2840</v>
      </c>
      <c r="K28" s="203">
        <f t="shared" ref="K28:K64" si="0">K27</f>
        <v>156065</v>
      </c>
      <c r="M28" s="171">
        <v>100000</v>
      </c>
      <c r="N28" s="171">
        <v>100000</v>
      </c>
    </row>
    <row r="29" spans="2:14" ht="19">
      <c r="B29" s="180">
        <v>2015</v>
      </c>
      <c r="C29" s="187" t="e">
        <f>30945/plugs</f>
        <v>#DIV/0!</v>
      </c>
      <c r="D29" s="187">
        <v>3594</v>
      </c>
      <c r="E29" s="186"/>
      <c r="F29" s="187">
        <v>111</v>
      </c>
      <c r="G29" s="201">
        <v>45</v>
      </c>
      <c r="H29" s="187">
        <v>721</v>
      </c>
      <c r="I29" s="187">
        <v>1563</v>
      </c>
      <c r="J29" s="187">
        <v>2990</v>
      </c>
      <c r="K29" s="203">
        <f t="shared" si="0"/>
        <v>156065</v>
      </c>
      <c r="M29" s="171">
        <v>100000</v>
      </c>
      <c r="N29" s="171">
        <v>100000</v>
      </c>
    </row>
    <row r="30" spans="2:14" ht="19">
      <c r="B30" s="180">
        <v>2016</v>
      </c>
      <c r="C30" s="187" t="e">
        <f>42029/plugs</f>
        <v>#DIV/0!</v>
      </c>
      <c r="D30" s="187">
        <v>3665</v>
      </c>
      <c r="E30" s="186"/>
      <c r="F30" s="187">
        <v>140</v>
      </c>
      <c r="G30" s="201">
        <v>54</v>
      </c>
      <c r="H30" s="187">
        <v>697</v>
      </c>
      <c r="I30" s="187">
        <v>1725</v>
      </c>
      <c r="J30" s="187">
        <v>3090</v>
      </c>
      <c r="K30" s="203">
        <f t="shared" si="0"/>
        <v>156065</v>
      </c>
      <c r="M30" s="171">
        <v>100000</v>
      </c>
      <c r="N30" s="171">
        <v>100000</v>
      </c>
    </row>
    <row r="31" spans="2:14" ht="19">
      <c r="B31" s="180">
        <v>2017</v>
      </c>
      <c r="C31" s="188" t="e">
        <f>50627/plugs</f>
        <v>#DIV/0!</v>
      </c>
      <c r="D31" s="178"/>
      <c r="E31" s="178"/>
      <c r="F31" s="178"/>
      <c r="G31" s="202">
        <v>63</v>
      </c>
      <c r="H31" s="178"/>
      <c r="I31" s="178"/>
      <c r="J31" s="178"/>
      <c r="K31" s="203">
        <f t="shared" si="0"/>
        <v>156065</v>
      </c>
      <c r="M31" s="171">
        <v>100000</v>
      </c>
      <c r="N31" s="171">
        <v>100000</v>
      </c>
    </row>
    <row r="32" spans="2:14" ht="19">
      <c r="B32" s="180">
        <v>2018</v>
      </c>
      <c r="C32" s="188" t="e">
        <f>61067/plugs</f>
        <v>#DIV/0!</v>
      </c>
      <c r="D32" s="178"/>
      <c r="E32" s="178"/>
      <c r="F32" s="178"/>
      <c r="G32" s="202">
        <v>41</v>
      </c>
      <c r="H32" s="178"/>
      <c r="I32" s="178"/>
      <c r="J32" s="178"/>
      <c r="K32" s="203">
        <f t="shared" si="0"/>
        <v>156065</v>
      </c>
      <c r="M32" s="171">
        <v>100000</v>
      </c>
      <c r="N32" s="171">
        <v>100000</v>
      </c>
    </row>
    <row r="33" spans="2:14" ht="19">
      <c r="B33" s="180">
        <v>2019</v>
      </c>
      <c r="C33" s="188">
        <f>$R$109+B33*$R$110</f>
        <v>0</v>
      </c>
      <c r="D33" s="178"/>
      <c r="E33" s="178"/>
      <c r="F33" s="178"/>
      <c r="G33" s="202">
        <v>57</v>
      </c>
      <c r="H33" s="178"/>
      <c r="I33" s="178"/>
      <c r="J33" s="178"/>
      <c r="K33" s="203">
        <f t="shared" si="0"/>
        <v>156065</v>
      </c>
      <c r="M33" s="171">
        <v>100000</v>
      </c>
      <c r="N33" s="171">
        <v>100000</v>
      </c>
    </row>
    <row r="34" spans="2:14" ht="19">
      <c r="B34" s="180">
        <v>2020</v>
      </c>
      <c r="C34" s="188">
        <f t="shared" ref="C34:C64" si="1">$R$109+B34*$R$110</f>
        <v>0</v>
      </c>
      <c r="D34" s="189"/>
      <c r="E34" s="189"/>
      <c r="F34" s="189"/>
      <c r="G34" s="202">
        <v>75</v>
      </c>
      <c r="H34" s="189"/>
      <c r="I34" s="189"/>
      <c r="J34" s="189"/>
      <c r="K34" s="203">
        <f t="shared" si="0"/>
        <v>156065</v>
      </c>
      <c r="M34" s="171">
        <v>100000</v>
      </c>
      <c r="N34" s="171">
        <v>100000</v>
      </c>
    </row>
    <row r="35" spans="2:14" ht="19">
      <c r="B35" s="180">
        <v>2021</v>
      </c>
      <c r="C35" s="188">
        <f t="shared" si="1"/>
        <v>0</v>
      </c>
      <c r="D35" s="178"/>
      <c r="E35" s="178"/>
      <c r="F35" s="178"/>
      <c r="G35" s="202">
        <v>111</v>
      </c>
      <c r="H35" s="178"/>
      <c r="I35" s="178"/>
      <c r="J35" s="178"/>
      <c r="K35" s="203">
        <f t="shared" si="0"/>
        <v>156065</v>
      </c>
      <c r="M35" s="171">
        <v>100000</v>
      </c>
      <c r="N35" s="171">
        <v>100000</v>
      </c>
    </row>
    <row r="36" spans="2:14" ht="19">
      <c r="B36" s="180">
        <v>2022</v>
      </c>
      <c r="C36" s="188">
        <f t="shared" si="1"/>
        <v>0</v>
      </c>
      <c r="D36" s="178"/>
      <c r="E36" s="178"/>
      <c r="F36" s="178"/>
      <c r="G36" s="202">
        <v>161</v>
      </c>
      <c r="H36" s="178"/>
      <c r="I36" s="178"/>
      <c r="J36" s="178"/>
      <c r="K36" s="203">
        <f t="shared" si="0"/>
        <v>156065</v>
      </c>
      <c r="M36" s="171">
        <v>100000</v>
      </c>
      <c r="N36" s="171">
        <v>100000</v>
      </c>
    </row>
    <row r="37" spans="2:14" ht="19">
      <c r="B37" s="180">
        <v>2023</v>
      </c>
      <c r="C37" s="188">
        <f t="shared" si="1"/>
        <v>0</v>
      </c>
      <c r="D37" s="178"/>
      <c r="E37" s="178"/>
      <c r="F37" s="178"/>
      <c r="G37" s="202">
        <v>246</v>
      </c>
      <c r="H37" s="178"/>
      <c r="I37" s="178"/>
      <c r="J37" s="178"/>
      <c r="K37" s="203">
        <f t="shared" si="0"/>
        <v>156065</v>
      </c>
      <c r="M37" s="171">
        <v>100000</v>
      </c>
      <c r="N37" s="171">
        <v>100000</v>
      </c>
    </row>
    <row r="38" spans="2:14" ht="19">
      <c r="B38" s="180">
        <v>2024</v>
      </c>
      <c r="C38" s="188">
        <f t="shared" si="1"/>
        <v>0</v>
      </c>
      <c r="D38" s="178"/>
      <c r="E38" s="178"/>
      <c r="F38" s="178"/>
      <c r="G38" s="202">
        <v>967</v>
      </c>
      <c r="H38" s="178"/>
      <c r="I38" s="178"/>
      <c r="J38" s="178"/>
      <c r="K38" s="203">
        <f t="shared" si="0"/>
        <v>156065</v>
      </c>
      <c r="M38" s="171">
        <v>100000</v>
      </c>
      <c r="N38" s="171">
        <v>100000</v>
      </c>
    </row>
    <row r="39" spans="2:14" ht="19">
      <c r="B39" s="180">
        <v>2025</v>
      </c>
      <c r="C39" s="188">
        <f t="shared" si="1"/>
        <v>0</v>
      </c>
      <c r="D39" s="178"/>
      <c r="E39" s="178"/>
      <c r="F39" s="178"/>
      <c r="G39" s="202">
        <v>1975</v>
      </c>
      <c r="H39" s="178"/>
      <c r="I39" s="178"/>
      <c r="J39" s="178"/>
      <c r="K39" s="203">
        <f t="shared" si="0"/>
        <v>156065</v>
      </c>
      <c r="M39" s="171">
        <v>100000</v>
      </c>
      <c r="N39" s="171">
        <v>100000</v>
      </c>
    </row>
    <row r="40" spans="2:14" ht="19">
      <c r="B40" s="180">
        <v>2026</v>
      </c>
      <c r="C40" s="188">
        <f t="shared" si="1"/>
        <v>0</v>
      </c>
      <c r="D40" s="178"/>
      <c r="E40" s="178"/>
      <c r="F40" s="178"/>
      <c r="G40" s="202">
        <v>3242.3900000000003</v>
      </c>
      <c r="H40" s="178"/>
      <c r="I40" s="178"/>
      <c r="J40" s="178"/>
      <c r="K40" s="203">
        <f t="shared" si="0"/>
        <v>156065</v>
      </c>
      <c r="M40" s="171">
        <v>100000</v>
      </c>
      <c r="N40" s="171">
        <v>100000</v>
      </c>
    </row>
    <row r="41" spans="2:14" ht="19">
      <c r="B41" s="180">
        <v>2027</v>
      </c>
      <c r="C41" s="188">
        <f t="shared" si="1"/>
        <v>0</v>
      </c>
      <c r="D41" s="178"/>
      <c r="E41" s="178"/>
      <c r="F41" s="178"/>
      <c r="G41" s="202">
        <v>4626.9699999999993</v>
      </c>
      <c r="H41" s="178"/>
      <c r="I41" s="178"/>
      <c r="J41" s="178"/>
      <c r="K41" s="203">
        <f t="shared" si="0"/>
        <v>156065</v>
      </c>
      <c r="M41" s="171">
        <v>100000</v>
      </c>
      <c r="N41" s="171">
        <v>100000</v>
      </c>
    </row>
    <row r="42" spans="2:14" ht="19">
      <c r="B42" s="180">
        <v>2028</v>
      </c>
      <c r="C42" s="188">
        <f t="shared" si="1"/>
        <v>0</v>
      </c>
      <c r="D42" s="178"/>
      <c r="E42" s="178"/>
      <c r="F42" s="178"/>
      <c r="G42" s="202">
        <v>6873.7499999999991</v>
      </c>
      <c r="H42" s="178"/>
      <c r="I42" s="178"/>
      <c r="J42" s="178"/>
      <c r="K42" s="203">
        <f t="shared" si="0"/>
        <v>156065</v>
      </c>
      <c r="M42" s="171">
        <v>100000</v>
      </c>
      <c r="N42" s="171">
        <v>100000</v>
      </c>
    </row>
    <row r="43" spans="2:14" ht="19">
      <c r="B43" s="180">
        <v>2029</v>
      </c>
      <c r="C43" s="188">
        <f t="shared" si="1"/>
        <v>0</v>
      </c>
      <c r="D43" s="178"/>
      <c r="E43" s="178"/>
      <c r="F43" s="178"/>
      <c r="G43" s="202">
        <v>8874.9</v>
      </c>
      <c r="H43" s="178"/>
      <c r="I43" s="178"/>
      <c r="J43" s="178"/>
      <c r="K43" s="203">
        <f t="shared" si="0"/>
        <v>156065</v>
      </c>
      <c r="M43" s="171">
        <v>100000</v>
      </c>
      <c r="N43" s="171">
        <v>100000</v>
      </c>
    </row>
    <row r="44" spans="2:14" ht="19">
      <c r="B44" s="180">
        <v>2030</v>
      </c>
      <c r="C44" s="188">
        <f t="shared" si="1"/>
        <v>0</v>
      </c>
      <c r="D44" s="178"/>
      <c r="E44" s="178"/>
      <c r="F44" s="178"/>
      <c r="G44" s="202">
        <v>11075.6</v>
      </c>
      <c r="H44" s="178"/>
      <c r="I44" s="178"/>
      <c r="J44" s="178"/>
      <c r="K44" s="203">
        <f t="shared" si="0"/>
        <v>156065</v>
      </c>
      <c r="M44" s="171">
        <v>100000</v>
      </c>
      <c r="N44" s="171">
        <v>100000</v>
      </c>
    </row>
    <row r="45" spans="2:14" ht="19">
      <c r="B45" s="180">
        <v>2031</v>
      </c>
      <c r="C45" s="188">
        <f t="shared" si="1"/>
        <v>0</v>
      </c>
      <c r="D45" s="178"/>
      <c r="E45" s="178"/>
      <c r="F45" s="178"/>
      <c r="G45" s="202">
        <v>13478.789999999997</v>
      </c>
      <c r="H45" s="178"/>
      <c r="I45" s="178"/>
      <c r="J45" s="178"/>
      <c r="K45" s="203">
        <f t="shared" si="0"/>
        <v>156065</v>
      </c>
      <c r="M45" s="171">
        <v>100000</v>
      </c>
      <c r="N45" s="171">
        <v>100000</v>
      </c>
    </row>
    <row r="46" spans="2:14" ht="19">
      <c r="B46" s="180">
        <v>2032</v>
      </c>
      <c r="C46" s="188">
        <f t="shared" si="1"/>
        <v>0</v>
      </c>
      <c r="D46" s="178"/>
      <c r="E46" s="178"/>
      <c r="F46" s="178"/>
      <c r="G46" s="202">
        <v>16001.890000000003</v>
      </c>
      <c r="H46" s="178"/>
      <c r="I46" s="178"/>
      <c r="J46" s="178"/>
      <c r="K46" s="203">
        <f t="shared" si="0"/>
        <v>156065</v>
      </c>
      <c r="M46" s="171">
        <v>100000</v>
      </c>
      <c r="N46" s="171">
        <v>100000</v>
      </c>
    </row>
    <row r="47" spans="2:14" ht="19">
      <c r="B47" s="180">
        <v>2033</v>
      </c>
      <c r="C47" s="188">
        <f t="shared" si="1"/>
        <v>0</v>
      </c>
      <c r="D47" s="178"/>
      <c r="E47" s="178"/>
      <c r="F47" s="178"/>
      <c r="G47" s="202">
        <v>18199.889999999996</v>
      </c>
      <c r="H47" s="178"/>
      <c r="I47" s="178"/>
      <c r="J47" s="178"/>
      <c r="K47" s="203">
        <f t="shared" si="0"/>
        <v>156065</v>
      </c>
      <c r="M47" s="171">
        <v>100000</v>
      </c>
      <c r="N47" s="171">
        <v>100000</v>
      </c>
    </row>
    <row r="48" spans="2:14" ht="19">
      <c r="B48" s="180">
        <v>2034</v>
      </c>
      <c r="C48" s="188">
        <f t="shared" si="1"/>
        <v>0</v>
      </c>
      <c r="D48" s="178"/>
      <c r="E48" s="178"/>
      <c r="F48" s="178"/>
      <c r="G48" s="202">
        <v>20480.889999999996</v>
      </c>
      <c r="H48" s="178"/>
      <c r="I48" s="178"/>
      <c r="J48" s="178"/>
      <c r="K48" s="203">
        <f t="shared" si="0"/>
        <v>156065</v>
      </c>
      <c r="M48" s="171">
        <v>100000</v>
      </c>
      <c r="N48" s="171">
        <v>100000</v>
      </c>
    </row>
    <row r="49" spans="2:14" ht="19">
      <c r="B49" s="180">
        <v>2035</v>
      </c>
      <c r="C49" s="188">
        <f t="shared" si="1"/>
        <v>0</v>
      </c>
      <c r="D49" s="178"/>
      <c r="E49" s="178"/>
      <c r="F49" s="178"/>
      <c r="G49" s="202">
        <v>22921.889999999996</v>
      </c>
      <c r="H49" s="178"/>
      <c r="I49" s="178"/>
      <c r="J49" s="178"/>
      <c r="K49" s="203">
        <f t="shared" si="0"/>
        <v>156065</v>
      </c>
      <c r="M49" s="171">
        <v>100000</v>
      </c>
      <c r="N49" s="171">
        <v>100000</v>
      </c>
    </row>
    <row r="50" spans="2:14" ht="19">
      <c r="B50" s="180">
        <v>2036</v>
      </c>
      <c r="C50" s="188">
        <f t="shared" si="1"/>
        <v>0</v>
      </c>
      <c r="D50" s="178"/>
      <c r="E50" s="178"/>
      <c r="F50" s="178"/>
      <c r="G50" s="202">
        <v>25534.889999999996</v>
      </c>
      <c r="H50" s="178"/>
      <c r="I50" s="178"/>
      <c r="J50" s="178"/>
      <c r="K50" s="203">
        <f t="shared" si="0"/>
        <v>156065</v>
      </c>
      <c r="M50" s="171">
        <v>100000</v>
      </c>
      <c r="N50" s="171">
        <v>100000</v>
      </c>
    </row>
    <row r="51" spans="2:14" ht="19">
      <c r="B51" s="180">
        <v>2037</v>
      </c>
      <c r="C51" s="188">
        <f t="shared" si="1"/>
        <v>0</v>
      </c>
      <c r="D51" s="178"/>
      <c r="E51" s="178"/>
      <c r="F51" s="178"/>
      <c r="G51" s="202">
        <v>28238.889999999996</v>
      </c>
      <c r="H51" s="178"/>
      <c r="I51" s="178"/>
      <c r="J51" s="178"/>
      <c r="K51" s="203">
        <f t="shared" si="0"/>
        <v>156065</v>
      </c>
      <c r="M51" s="171">
        <v>100000</v>
      </c>
      <c r="N51" s="171">
        <v>100000</v>
      </c>
    </row>
    <row r="52" spans="2:14" ht="19">
      <c r="B52" s="180">
        <v>2038</v>
      </c>
      <c r="C52" s="188">
        <f t="shared" si="1"/>
        <v>0</v>
      </c>
      <c r="D52" s="178"/>
      <c r="E52" s="178"/>
      <c r="F52" s="178"/>
      <c r="G52" s="202">
        <v>31005.889999999996</v>
      </c>
      <c r="H52" s="178"/>
      <c r="I52" s="178"/>
      <c r="J52" s="178"/>
      <c r="K52" s="203">
        <f t="shared" si="0"/>
        <v>156065</v>
      </c>
      <c r="M52" s="171">
        <v>100000</v>
      </c>
      <c r="N52" s="171">
        <v>100000</v>
      </c>
    </row>
    <row r="53" spans="2:14" ht="19">
      <c r="B53" s="180">
        <v>2039</v>
      </c>
      <c r="C53" s="188">
        <f t="shared" si="1"/>
        <v>0</v>
      </c>
      <c r="D53" s="178"/>
      <c r="E53" s="178"/>
      <c r="F53" s="178"/>
      <c r="G53" s="202">
        <v>33834.89</v>
      </c>
      <c r="H53" s="178"/>
      <c r="I53" s="178"/>
      <c r="J53" s="178"/>
      <c r="K53" s="203">
        <f t="shared" si="0"/>
        <v>156065</v>
      </c>
      <c r="M53" s="171">
        <v>100000</v>
      </c>
      <c r="N53" s="171">
        <v>100000</v>
      </c>
    </row>
    <row r="54" spans="2:14" ht="19">
      <c r="B54" s="180">
        <v>2040</v>
      </c>
      <c r="C54" s="188">
        <f t="shared" si="1"/>
        <v>0</v>
      </c>
      <c r="D54" s="178"/>
      <c r="E54" s="178"/>
      <c r="F54" s="178"/>
      <c r="G54" s="202">
        <v>36523.89</v>
      </c>
      <c r="H54" s="178"/>
      <c r="I54" s="178"/>
      <c r="J54" s="178"/>
      <c r="K54" s="203">
        <f t="shared" si="0"/>
        <v>156065</v>
      </c>
      <c r="M54" s="171">
        <v>100000</v>
      </c>
      <c r="N54" s="171">
        <v>100000</v>
      </c>
    </row>
    <row r="55" spans="2:14" ht="19">
      <c r="B55" s="180">
        <v>2041</v>
      </c>
      <c r="C55" s="188">
        <f t="shared" si="1"/>
        <v>0</v>
      </c>
      <c r="D55" s="190"/>
      <c r="E55" s="190"/>
      <c r="F55" s="190"/>
      <c r="G55" s="202">
        <v>39429.890000000007</v>
      </c>
      <c r="H55" s="190"/>
      <c r="I55" s="190"/>
      <c r="J55" s="190"/>
      <c r="K55" s="203">
        <f t="shared" si="0"/>
        <v>156065</v>
      </c>
      <c r="M55" s="171">
        <v>100000</v>
      </c>
      <c r="N55" s="171">
        <v>100000</v>
      </c>
    </row>
    <row r="56" spans="2:14" ht="19">
      <c r="B56" s="180">
        <v>2042</v>
      </c>
      <c r="C56" s="188">
        <f t="shared" si="1"/>
        <v>0</v>
      </c>
      <c r="D56" s="190"/>
      <c r="E56" s="190"/>
      <c r="F56" s="190"/>
      <c r="G56" s="202">
        <v>42341.890000000007</v>
      </c>
      <c r="H56" s="190"/>
      <c r="I56" s="190"/>
      <c r="J56" s="190"/>
      <c r="K56" s="203">
        <f t="shared" si="0"/>
        <v>156065</v>
      </c>
      <c r="M56" s="171">
        <v>100000</v>
      </c>
      <c r="N56" s="171">
        <v>100000</v>
      </c>
    </row>
    <row r="57" spans="2:14" ht="19">
      <c r="B57" s="180">
        <v>2043</v>
      </c>
      <c r="C57" s="188">
        <f t="shared" si="1"/>
        <v>0</v>
      </c>
      <c r="D57" s="190"/>
      <c r="E57" s="190"/>
      <c r="F57" s="190"/>
      <c r="G57" s="202">
        <v>45272.890000000007</v>
      </c>
      <c r="H57" s="190"/>
      <c r="I57" s="190"/>
      <c r="J57" s="190"/>
      <c r="K57" s="203">
        <f t="shared" si="0"/>
        <v>156065</v>
      </c>
      <c r="M57" s="171">
        <v>100000</v>
      </c>
      <c r="N57" s="171">
        <v>100000</v>
      </c>
    </row>
    <row r="58" spans="2:14" ht="19">
      <c r="B58" s="180">
        <v>2044</v>
      </c>
      <c r="C58" s="188">
        <f t="shared" si="1"/>
        <v>0</v>
      </c>
      <c r="D58" s="190"/>
      <c r="E58" s="190"/>
      <c r="F58" s="190"/>
      <c r="G58" s="202">
        <v>48191.890000000007</v>
      </c>
      <c r="H58" s="190"/>
      <c r="I58" s="190"/>
      <c r="J58" s="190"/>
      <c r="K58" s="203">
        <f t="shared" si="0"/>
        <v>156065</v>
      </c>
      <c r="M58" s="171">
        <v>100000</v>
      </c>
      <c r="N58" s="171">
        <v>100000</v>
      </c>
    </row>
    <row r="59" spans="2:14" ht="19">
      <c r="B59" s="180">
        <v>2045</v>
      </c>
      <c r="C59" s="188">
        <f t="shared" si="1"/>
        <v>0</v>
      </c>
      <c r="D59" s="190"/>
      <c r="E59" s="190"/>
      <c r="F59" s="190"/>
      <c r="G59" s="202">
        <v>51068.890000000007</v>
      </c>
      <c r="H59" s="190"/>
      <c r="I59" s="190"/>
      <c r="J59" s="190"/>
      <c r="K59" s="203">
        <f t="shared" si="0"/>
        <v>156065</v>
      </c>
      <c r="M59" s="171">
        <v>100000</v>
      </c>
      <c r="N59" s="171">
        <v>100000</v>
      </c>
    </row>
    <row r="60" spans="2:14" ht="19">
      <c r="B60" s="180">
        <v>2046</v>
      </c>
      <c r="C60" s="188">
        <f t="shared" si="1"/>
        <v>0</v>
      </c>
      <c r="D60" s="190"/>
      <c r="E60" s="190"/>
      <c r="F60" s="190"/>
      <c r="G60" s="202">
        <v>53824.890000000007</v>
      </c>
      <c r="H60" s="190"/>
      <c r="I60" s="190"/>
      <c r="J60" s="190"/>
      <c r="K60" s="203">
        <f t="shared" si="0"/>
        <v>156065</v>
      </c>
      <c r="M60" s="171">
        <v>100000</v>
      </c>
      <c r="N60" s="171">
        <v>100000</v>
      </c>
    </row>
    <row r="61" spans="2:14" ht="19">
      <c r="B61" s="180">
        <v>2047</v>
      </c>
      <c r="C61" s="188">
        <f t="shared" si="1"/>
        <v>0</v>
      </c>
      <c r="D61" s="190"/>
      <c r="E61" s="190"/>
      <c r="F61" s="190"/>
      <c r="G61" s="202">
        <v>56484.890000000007</v>
      </c>
      <c r="H61" s="190"/>
      <c r="I61" s="190"/>
      <c r="J61" s="190"/>
      <c r="K61" s="203">
        <f t="shared" si="0"/>
        <v>156065</v>
      </c>
      <c r="M61" s="171">
        <v>100000</v>
      </c>
      <c r="N61" s="171">
        <v>100000</v>
      </c>
    </row>
    <row r="62" spans="2:14" ht="19">
      <c r="B62" s="180">
        <v>2048</v>
      </c>
      <c r="C62" s="188">
        <f t="shared" si="1"/>
        <v>0</v>
      </c>
      <c r="D62" s="190"/>
      <c r="E62" s="190"/>
      <c r="F62" s="190"/>
      <c r="G62" s="202">
        <v>59039.890000000007</v>
      </c>
      <c r="H62" s="190"/>
      <c r="I62" s="190"/>
      <c r="J62" s="190"/>
      <c r="K62" s="203">
        <f t="shared" si="0"/>
        <v>156065</v>
      </c>
      <c r="M62" s="171">
        <v>100000</v>
      </c>
      <c r="N62" s="171">
        <v>100000</v>
      </c>
    </row>
    <row r="63" spans="2:14" ht="19">
      <c r="B63" s="180">
        <v>2049</v>
      </c>
      <c r="C63" s="188">
        <f t="shared" si="1"/>
        <v>0</v>
      </c>
      <c r="D63" s="190"/>
      <c r="E63" s="190"/>
      <c r="F63" s="190"/>
      <c r="G63" s="202">
        <v>61442.890000000007</v>
      </c>
      <c r="H63" s="190"/>
      <c r="I63" s="190"/>
      <c r="J63" s="190"/>
      <c r="K63" s="203">
        <f t="shared" si="0"/>
        <v>156065</v>
      </c>
      <c r="M63" s="171">
        <v>100000</v>
      </c>
      <c r="N63" s="171">
        <v>100000</v>
      </c>
    </row>
    <row r="64" spans="2:14" ht="19">
      <c r="B64" s="180">
        <v>2050</v>
      </c>
      <c r="C64" s="188">
        <f t="shared" si="1"/>
        <v>0</v>
      </c>
      <c r="D64" s="190"/>
      <c r="E64" s="190"/>
      <c r="F64" s="190"/>
      <c r="G64" s="202">
        <v>63797.890000000007</v>
      </c>
      <c r="H64" s="190"/>
      <c r="I64" s="190"/>
      <c r="J64" s="190"/>
      <c r="K64" s="203">
        <f t="shared" si="0"/>
        <v>156065</v>
      </c>
      <c r="M64" s="171">
        <v>100000</v>
      </c>
      <c r="N64" s="171">
        <v>100000</v>
      </c>
    </row>
  </sheetData>
  <hyperlinks>
    <hyperlink ref="C3" r:id="rId1" xr:uid="{8260A1A9-E9F1-8D4C-B99E-BDBB67C1090F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FEFD-D104-B74E-86A9-FBD4F07EB707}">
  <dimension ref="A2:A34"/>
  <sheetViews>
    <sheetView workbookViewId="0">
      <selection activeCell="E36" sqref="E36"/>
    </sheetView>
  </sheetViews>
  <sheetFormatPr baseColWidth="10" defaultRowHeight="16"/>
  <sheetData>
    <row r="2" spans="1:1">
      <c r="A2" t="s">
        <v>68</v>
      </c>
    </row>
    <row r="34" spans="1:1">
      <c r="A34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Total Capital Cost</vt:lpstr>
      <vt:lpstr>Fuel Price</vt:lpstr>
      <vt:lpstr>Fuel Availability</vt:lpstr>
      <vt:lpstr>Outputs</vt:lpstr>
      <vt:lpstr>plugs</vt:lpstr>
      <vt:lpstr>plugs_per_station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2020-08-24T16:32:50Z</dcterms:created>
  <dcterms:modified xsi:type="dcterms:W3CDTF">2020-08-27T16:24:28Z</dcterms:modified>
</cp:coreProperties>
</file>